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Jérémy SEVIN/Vouzon/Doc LBC/"/>
    </mc:Choice>
  </mc:AlternateContent>
  <xr:revisionPtr revIDLastSave="55" documentId="11_E6967C7E78D5A5CAE6D435F968EBF6B69F8688AF" xr6:coauthVersionLast="47" xr6:coauthVersionMax="47" xr10:uidLastSave="{6ED0076D-3CF9-4700-9588-07E6F2367DA7}"/>
  <bookViews>
    <workbookView xWindow="-110" yWindow="-110" windowWidth="19420" windowHeight="1150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GL4" i="2"/>
  <c r="EC4" i="2"/>
  <c r="BQ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FS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HG113" i="2"/>
  <c r="HI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HG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FR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FS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H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D155" i="2"/>
  <c r="AX152" i="2"/>
  <c r="DH156" i="2" l="1"/>
  <c r="EX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EB161" i="2"/>
  <c r="EX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HG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V168" i="2"/>
  <c r="EB168" i="2"/>
  <c r="HI168" i="2"/>
  <c r="HH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H185" i="2"/>
  <c r="HI185" i="2"/>
  <c r="EB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HI192" i="2"/>
  <c r="EW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H202" i="2"/>
  <c r="FZ6" i="2"/>
  <c r="FR202" i="2"/>
  <c r="HG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1" i="2" a="1"/>
  <c r="GT121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150" i="2" a="1"/>
  <c r="EI150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88" i="2" a="1"/>
  <c r="FD188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60" i="2" a="1"/>
  <c r="FD160" i="2" s="1"/>
  <c r="BC164" i="2" a="1"/>
  <c r="BC164" i="2" s="1"/>
  <c r="BC32" i="2" a="1"/>
  <c r="BC32" i="2" s="1"/>
  <c r="BC84" i="2" a="1"/>
  <c r="BC84" i="2" s="1"/>
  <c r="BC31" i="2" a="1"/>
  <c r="BC31" i="2" s="1"/>
  <c r="BC185" i="2" a="1"/>
  <c r="BC185" i="2" s="1"/>
  <c r="DN63" i="2" a="1"/>
  <c r="DN63" i="2" s="1"/>
  <c r="GT12" i="2" a="1"/>
  <c r="GT12" i="2" s="1"/>
  <c r="GT21" i="2" a="1"/>
  <c r="GT21" i="2" s="1"/>
  <c r="GT198" i="2" a="1"/>
  <c r="GT198" i="2" s="1"/>
  <c r="GT178" i="2" a="1"/>
  <c r="GT178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AH151" i="2" l="1" a="1"/>
  <c r="AH151" i="2" s="1"/>
  <c r="CS105" i="2" a="1"/>
  <c r="CS105" i="2" s="1"/>
  <c r="BC126" i="2" a="1"/>
  <c r="BC126" i="2" s="1"/>
  <c r="GT189" i="2" a="1"/>
  <c r="GT189" i="2" s="1"/>
  <c r="BC143" i="2" a="1"/>
  <c r="BC143" i="2" s="1"/>
  <c r="FD137" i="2" a="1"/>
  <c r="FD137" i="2" s="1"/>
  <c r="FD60" i="2" a="1"/>
  <c r="FD60" i="2" s="1"/>
  <c r="EI29" i="2" a="1"/>
  <c r="EI29" i="2" s="1"/>
  <c r="GT122" i="2" a="1"/>
  <c r="GT122" i="2" s="1"/>
  <c r="BC82" i="2" a="1"/>
  <c r="BC82" i="2" s="1"/>
  <c r="BP203" i="2"/>
  <c r="HH203" i="2"/>
  <c r="CS161" i="2" a="1"/>
  <c r="CS161" i="2" s="1"/>
  <c r="CS66" i="2" a="1"/>
  <c r="CS66" i="2" s="1"/>
  <c r="BC55" i="2" a="1"/>
  <c r="BC55" i="2" s="1"/>
  <c r="AH199" i="2" a="1"/>
  <c r="AH199" i="2" s="1"/>
  <c r="GT191" i="2" a="1"/>
  <c r="GT191" i="2" s="1"/>
  <c r="FD189" i="2" a="1"/>
  <c r="FD189" i="2" s="1"/>
  <c r="GT147" i="2" a="1"/>
  <c r="GT147" i="2" s="1"/>
  <c r="AH92" i="2" a="1"/>
  <c r="AH92" i="2" s="1"/>
  <c r="GT38" i="2" a="1"/>
  <c r="GT38" i="2" s="1"/>
  <c r="FD14" i="2" a="1"/>
  <c r="FD14" i="2" s="1"/>
  <c r="AH19" i="2" a="1"/>
  <c r="AH19" i="2" s="1"/>
  <c r="EI178" i="2" a="1"/>
  <c r="EI178" i="2" s="1"/>
  <c r="GT152" i="2" a="1"/>
  <c r="GT152" i="2" s="1"/>
  <c r="BC181" i="2" a="1"/>
  <c r="BC181" i="2" s="1"/>
  <c r="CS129" i="2" a="1"/>
  <c r="CS129" i="2" s="1"/>
  <c r="CS52" i="2" a="1"/>
  <c r="CS52" i="2" s="1"/>
  <c r="CS114" i="2" a="1"/>
  <c r="CS114" i="2" s="1"/>
  <c r="CS120" i="2" a="1"/>
  <c r="CS120" i="2" s="1"/>
  <c r="AH163" i="2" a="1"/>
  <c r="AH163" i="2" s="1"/>
  <c r="CS72" i="2" a="1"/>
  <c r="CS72" i="2" s="1"/>
  <c r="CS56" i="2" a="1"/>
  <c r="CS56" i="2" s="1"/>
  <c r="BC192" i="2" a="1"/>
  <c r="BC192" i="2" s="1"/>
  <c r="AH62" i="2" a="1"/>
  <c r="AH62" i="2" s="1"/>
  <c r="CS116" i="2" a="1"/>
  <c r="CS116" i="2" s="1"/>
  <c r="BC18" i="2" a="1"/>
  <c r="BC18" i="2" s="1"/>
  <c r="CS185" i="2" a="1"/>
  <c r="CS185" i="2" s="1"/>
  <c r="BC38" i="2" a="1"/>
  <c r="BC38" i="2" s="1"/>
  <c r="BC130" i="2" a="1"/>
  <c r="BC130" i="2" s="1"/>
  <c r="AH166" i="2" a="1"/>
  <c r="AH166" i="2" s="1"/>
  <c r="BC117" i="2" a="1"/>
  <c r="BC117" i="2" s="1"/>
  <c r="FD21" i="2" a="1"/>
  <c r="FD21" i="2" s="1"/>
  <c r="CS24" i="2" a="1"/>
  <c r="CS24" i="2" s="1"/>
  <c r="EI71" i="2" a="1"/>
  <c r="EI71" i="2" s="1"/>
  <c r="BC83" i="2" a="1"/>
  <c r="BC83" i="2" s="1"/>
  <c r="FD187" i="2" a="1"/>
  <c r="FD187" i="2" s="1"/>
  <c r="EI37" i="2" a="1"/>
  <c r="EI37" i="2" s="1"/>
  <c r="EI57" i="2" a="1"/>
  <c r="EI57" i="2" s="1"/>
  <c r="GT126" i="2" a="1"/>
  <c r="GT126" i="2" s="1"/>
  <c r="BC151" i="2" a="1"/>
  <c r="BC151" i="2" s="1"/>
  <c r="FD194" i="2" a="1"/>
  <c r="FD194" i="2" s="1"/>
  <c r="FD48" i="2" a="1"/>
  <c r="FD48" i="2" s="1"/>
  <c r="AH90" i="2" a="1"/>
  <c r="AH90" i="2" s="1"/>
  <c r="EI145" i="2" a="1"/>
  <c r="EI145" i="2" s="1"/>
  <c r="GT33" i="2" a="1"/>
  <c r="GT33" i="2" s="1"/>
  <c r="BC65" i="2" a="1"/>
  <c r="BC65" i="2" s="1"/>
  <c r="CS137" i="2" a="1"/>
  <c r="CS137" i="2" s="1"/>
  <c r="FD64" i="2" a="1"/>
  <c r="FD64" i="2" s="1"/>
  <c r="FD144" i="2" a="1"/>
  <c r="FD144" i="2" s="1"/>
  <c r="CS134" i="2" a="1"/>
  <c r="CS134" i="2" s="1"/>
  <c r="GT74" i="2" a="1"/>
  <c r="GT74" i="2" s="1"/>
  <c r="BC7" i="2" a="1"/>
  <c r="BC7" i="2" s="1"/>
  <c r="FD19" i="2" a="1"/>
  <c r="FD19" i="2" s="1"/>
  <c r="FD44" i="2" a="1"/>
  <c r="FD44" i="2" s="1"/>
  <c r="CS77" i="2" a="1"/>
  <c r="CS77" i="2" s="1"/>
  <c r="EI162" i="2" a="1"/>
  <c r="EI162" i="2" s="1"/>
  <c r="GT133" i="2" a="1"/>
  <c r="GT133" i="2" s="1"/>
  <c r="BC114" i="2" a="1"/>
  <c r="BC11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<sst xmlns="http://schemas.openxmlformats.org/spreadsheetml/2006/main" count="1172" uniqueCount="325">
  <si>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</si>
  <si>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</si>
  <si>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</si>
  <si>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</si>
  <si>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</si>
  <si>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</si>
  <si>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</si>
  <si>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</si>
  <si>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</si>
  <si>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</si>
  <si>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</si>
  <si>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</si>
  <si>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</si>
  <si>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</si>
  <si>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</si>
  <si>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</si>
  <si>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Cèdre de l'Atlas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</si>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</sst>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283.45438999358527</c:v>
                </c:pt>
                <c:pt idx="66">
                  <c:v>293.80226750956672</c:v>
                </c:pt>
                <c:pt idx="67">
                  <c:v>304.14201262042326</c:v>
                </c:pt>
                <c:pt idx="68">
                  <c:v>314.47394093474514</c:v>
                </c:pt>
                <c:pt idx="69">
                  <c:v>324.79834561750624</c:v>
                </c:pt>
                <c:pt idx="70">
                  <c:v>335.11549966417408</c:v>
                </c:pt>
                <c:pt idx="71">
                  <c:v>345.42565787999462</c:v>
                </c:pt>
                <c:pt idx="72">
                  <c:v>355.72905861051368</c:v>
                </c:pt>
                <c:pt idx="73">
                  <c:v>366.02592526105212</c:v>
                </c:pt>
                <c:pt idx="74">
                  <c:v>281.90576500782794</c:v>
                </c:pt>
                <c:pt idx="75">
                  <c:v>291.46151941530667</c:v>
                </c:pt>
                <c:pt idx="76">
                  <c:v>301.0102774284689</c:v>
                </c:pt>
                <c:pt idx="77">
                  <c:v>310.55229243957859</c:v>
                </c:pt>
                <c:pt idx="78">
                  <c:v>320.08780098731637</c:v>
                </c:pt>
                <c:pt idx="79">
                  <c:v>329.6170243573369</c:v>
                </c:pt>
                <c:pt idx="80">
                  <c:v>339.14016998796109</c:v>
                </c:pt>
                <c:pt idx="81">
                  <c:v>348.65743270964526</c:v>
                </c:pt>
                <c:pt idx="82">
                  <c:v>358.16899584197989</c:v>
                </c:pt>
                <c:pt idx="83">
                  <c:v>367.67503216802317</c:v>
                </c:pt>
                <c:pt idx="84">
                  <c:v>377.17570480256546</c:v>
                </c:pt>
                <c:pt idx="85">
                  <c:v>386.67116796831215</c:v>
                </c:pt>
                <c:pt idx="86">
                  <c:v>310.25502677283174</c:v>
                </c:pt>
                <c:pt idx="87">
                  <c:v>318.98740593712301</c:v>
                </c:pt>
                <c:pt idx="88">
                  <c:v>327.71449394580162</c:v>
                </c:pt>
                <c:pt idx="89">
                  <c:v>336.4364516795992</c:v>
                </c:pt>
                <c:pt idx="90">
                  <c:v>345.15343099079388</c:v>
                </c:pt>
                <c:pt idx="91">
                  <c:v>353.86557543008075</c:v>
                </c:pt>
                <c:pt idx="92">
                  <c:v>362.57302089808604</c:v>
                </c:pt>
                <c:pt idx="93">
                  <c:v>371.27589623099493</c:v>
                </c:pt>
                <c:pt idx="94">
                  <c:v>379.97432372837642</c:v>
                </c:pt>
                <c:pt idx="95">
                  <c:v>388.66841963013439</c:v>
                </c:pt>
                <c:pt idx="96">
                  <c:v>397.35829454853587</c:v>
                </c:pt>
                <c:pt idx="97">
                  <c:v>406.04405386046182</c:v>
                </c:pt>
                <c:pt idx="98">
                  <c:v>334.41940603910456</c:v>
                </c:pt>
                <c:pt idx="99">
                  <c:v>342.29956794326159</c:v>
                </c:pt>
                <c:pt idx="100">
                  <c:v>350.17574235487018</c:v>
                </c:pt>
                <c:pt idx="101">
                  <c:v>358.04803168316045</c:v>
                </c:pt>
                <c:pt idx="102">
                  <c:v>365.91653346305492</c:v>
                </c:pt>
                <c:pt idx="103">
                  <c:v>373.78134068929762</c:v>
                </c:pt>
                <c:pt idx="104">
                  <c:v>381.64254212098064</c:v>
                </c:pt>
                <c:pt idx="105">
                  <c:v>389.50022255965672</c:v>
                </c:pt>
                <c:pt idx="106">
                  <c:v>397.35446310382684</c:v>
                </c:pt>
                <c:pt idx="107">
                  <c:v>405.20534138224889</c:v>
                </c:pt>
                <c:pt idx="108">
                  <c:v>413.05293176821243</c:v>
                </c:pt>
                <c:pt idx="109">
                  <c:v>420.89730557667417</c:v>
                </c:pt>
                <c:pt idx="110">
                  <c:v>347.55719193287587</c:v>
                </c:pt>
                <c:pt idx="111">
                  <c:v>354.63762505887615</c:v>
                </c:pt>
                <c:pt idx="112">
                  <c:v>361.71496177810815</c:v>
                </c:pt>
                <c:pt idx="113">
                  <c:v>368.78927127529045</c:v>
                </c:pt>
                <c:pt idx="114">
                  <c:v>375.86061986197745</c:v>
                </c:pt>
                <c:pt idx="115">
                  <c:v>382.92907114888618</c:v>
                </c:pt>
                <c:pt idx="116">
                  <c:v>389.99468620482725</c:v>
                </c:pt>
                <c:pt idx="117">
                  <c:v>397.05752370351092</c:v>
                </c:pt>
                <c:pt idx="118">
                  <c:v>404.11764005935697</c:v>
                </c:pt>
                <c:pt idx="119">
                  <c:v>411.17508955331436</c:v>
                </c:pt>
                <c:pt idx="120">
                  <c:v>418.2299244495868</c:v>
                </c:pt>
                <c:pt idx="121">
                  <c:v>425.28219510406871</c:v>
                </c:pt>
                <c:pt idx="122">
                  <c:v>222.90571332852667</c:v>
                </c:pt>
                <c:pt idx="123">
                  <c:v>227.8575926467731</c:v>
                </c:pt>
                <c:pt idx="124">
                  <c:v>232.80700909260065</c:v>
                </c:pt>
                <c:pt idx="125">
                  <c:v>237.75402251395406</c:v>
                </c:pt>
                <c:pt idx="126">
                  <c:v>242.69869006033142</c:v>
                </c:pt>
                <c:pt idx="127">
                  <c:v>247.64106635821645</c:v>
                </c:pt>
                <c:pt idx="128">
                  <c:v>252.58120367175192</c:v>
                </c:pt>
                <c:pt idx="129">
                  <c:v>257.51915205016786</c:v>
                </c:pt>
                <c:pt idx="130">
                  <c:v>262.4549594632943</c:v>
                </c:pt>
                <c:pt idx="131">
                  <c:v>267.3886719263333</c:v>
                </c:pt>
                <c:pt idx="132">
                  <c:v>1.2386324814023317E-11</c:v>
                </c:pt>
                <c:pt idx="133">
                  <c:v>1.2386324814023317E-11</c:v>
                </c:pt>
                <c:pt idx="134">
                  <c:v>1.2386324814023317E-11</c:v>
                </c:pt>
                <c:pt idx="135">
                  <c:v>1.2386324814023317E-11</c:v>
                </c:pt>
                <c:pt idx="136">
                  <c:v>1.2386324814023317E-11</c:v>
                </c:pt>
                <c:pt idx="137">
                  <c:v>1.2386324814023317E-11</c:v>
                </c:pt>
                <c:pt idx="138">
                  <c:v>1.2386324814023317E-11</c:v>
                </c:pt>
                <c:pt idx="139">
                  <c:v>1.2386324814023317E-11</c:v>
                </c:pt>
                <c:pt idx="140">
                  <c:v>1.2386324814023317E-11</c:v>
                </c:pt>
                <c:pt idx="141">
                  <c:v>1.2386324814023317E-11</c:v>
                </c:pt>
                <c:pt idx="142">
                  <c:v>1.2386324814023317E-11</c:v>
                </c:pt>
                <c:pt idx="143">
                  <c:v>1.2386324814023317E-11</c:v>
                </c:pt>
                <c:pt idx="144">
                  <c:v>1.2386324814023317E-11</c:v>
                </c:pt>
                <c:pt idx="145">
                  <c:v>1.2386324814023317E-11</c:v>
                </c:pt>
                <c:pt idx="146">
                  <c:v>1.2386324814023317E-11</c:v>
                </c:pt>
                <c:pt idx="147">
                  <c:v>1.2386324814023317E-11</c:v>
                </c:pt>
                <c:pt idx="148">
                  <c:v>1.2386324814023317E-11</c:v>
                </c:pt>
                <c:pt idx="149">
                  <c:v>1.2386324814023317E-11</c:v>
                </c:pt>
                <c:pt idx="150">
                  <c:v>1.2386324814023317E-11</c:v>
                </c:pt>
                <c:pt idx="151">
                  <c:v>1.2386324814023317E-11</c:v>
                </c:pt>
                <c:pt idx="152">
                  <c:v>1.2386324814023317E-11</c:v>
                </c:pt>
                <c:pt idx="153">
                  <c:v>1.2386324814023317E-11</c:v>
                </c:pt>
                <c:pt idx="154">
                  <c:v>1.2386324814023317E-11</c:v>
                </c:pt>
                <c:pt idx="155">
                  <c:v>1.2386324814023317E-11</c:v>
                </c:pt>
                <c:pt idx="156">
                  <c:v>1.2386324814023317E-11</c:v>
                </c:pt>
                <c:pt idx="157">
                  <c:v>1.2386324814023317E-11</c:v>
                </c:pt>
                <c:pt idx="158">
                  <c:v>1.2386324814023317E-11</c:v>
                </c:pt>
                <c:pt idx="159">
                  <c:v>1.2386324814023317E-11</c:v>
                </c:pt>
                <c:pt idx="160">
                  <c:v>1.2386324814023317E-11</c:v>
                </c:pt>
                <c:pt idx="161">
                  <c:v>1.2386324814023317E-11</c:v>
                </c:pt>
                <c:pt idx="162">
                  <c:v>1.2386324814023317E-11</c:v>
                </c:pt>
                <c:pt idx="163">
                  <c:v>1.2386324814023317E-11</c:v>
                </c:pt>
                <c:pt idx="164">
                  <c:v>1.2386324814023317E-11</c:v>
                </c:pt>
                <c:pt idx="165">
                  <c:v>1.2386324814023317E-11</c:v>
                </c:pt>
                <c:pt idx="166">
                  <c:v>1.2386324814023317E-11</c:v>
                </c:pt>
                <c:pt idx="167">
                  <c:v>1.2386324814023317E-11</c:v>
                </c:pt>
                <c:pt idx="168">
                  <c:v>1.2386324814023317E-11</c:v>
                </c:pt>
                <c:pt idx="169">
                  <c:v>1.2386324814023317E-11</c:v>
                </c:pt>
                <c:pt idx="170">
                  <c:v>1.2386324814023317E-11</c:v>
                </c:pt>
                <c:pt idx="171">
                  <c:v>1.2386324814023317E-11</c:v>
                </c:pt>
                <c:pt idx="172">
                  <c:v>1.2386324814023317E-11</c:v>
                </c:pt>
                <c:pt idx="173">
                  <c:v>1.2386324814023317E-11</c:v>
                </c:pt>
                <c:pt idx="174">
                  <c:v>1.2386324814023317E-11</c:v>
                </c:pt>
                <c:pt idx="175">
                  <c:v>1.2386324814023317E-11</c:v>
                </c:pt>
                <c:pt idx="176">
                  <c:v>1.2386324814023317E-11</c:v>
                </c:pt>
                <c:pt idx="177">
                  <c:v>1.2386324814023317E-11</c:v>
                </c:pt>
                <c:pt idx="178">
                  <c:v>1.2386324814023317E-11</c:v>
                </c:pt>
                <c:pt idx="179">
                  <c:v>1.2386324814023317E-11</c:v>
                </c:pt>
                <c:pt idx="180">
                  <c:v>1.2386324814023317E-11</c:v>
                </c:pt>
                <c:pt idx="181">
                  <c:v>1.2386324814023317E-11</c:v>
                </c:pt>
                <c:pt idx="182">
                  <c:v>1.2386324814023317E-11</c:v>
                </c:pt>
                <c:pt idx="183">
                  <c:v>1.2386324814023317E-11</c:v>
                </c:pt>
                <c:pt idx="184">
                  <c:v>1.2386324814023317E-11</c:v>
                </c:pt>
                <c:pt idx="185">
                  <c:v>1.2386324814023317E-11</c:v>
                </c:pt>
                <c:pt idx="186">
                  <c:v>1.2386324814023317E-11</c:v>
                </c:pt>
                <c:pt idx="187">
                  <c:v>1.2386324814023317E-11</c:v>
                </c:pt>
                <c:pt idx="188">
                  <c:v>1.2386324814023317E-11</c:v>
                </c:pt>
                <c:pt idx="189">
                  <c:v>1.2386324814023317E-11</c:v>
                </c:pt>
                <c:pt idx="190">
                  <c:v>1.2386324814023317E-11</c:v>
                </c:pt>
                <c:pt idx="191">
                  <c:v>1.2386324814023317E-11</c:v>
                </c:pt>
                <c:pt idx="192">
                  <c:v>1.2386324814023317E-11</c:v>
                </c:pt>
                <c:pt idx="193">
                  <c:v>1.2386324814023317E-11</c:v>
                </c:pt>
                <c:pt idx="194">
                  <c:v>1.2386324814023317E-11</c:v>
                </c:pt>
                <c:pt idx="195">
                  <c:v>1.2386324814023317E-11</c:v>
                </c:pt>
                <c:pt idx="196">
                  <c:v>1.2386324814023317E-11</c:v>
                </c:pt>
                <c:pt idx="197">
                  <c:v>1.2386324814023317E-11</c:v>
                </c:pt>
                <c:pt idx="198">
                  <c:v>1.2386324814023317E-11</c:v>
                </c:pt>
                <c:pt idx="199">
                  <c:v>1.2386324814023317E-11</c:v>
                </c:pt>
                <c:pt idx="200">
                  <c:v>1.2386324814023317E-11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1.9190286454012624</c:v>
                </c:pt>
                <c:pt idx="2">
                  <c:v>2.3745849545197242</c:v>
                </c:pt>
                <c:pt idx="3">
                  <c:v>2.938707459966293</c:v>
                </c:pt>
                <c:pt idx="4">
                  <c:v>3.6373642605922853</c:v>
                </c:pt>
                <c:pt idx="5">
                  <c:v>4.5027561309452855</c:v>
                </c:pt>
                <c:pt idx="6">
                  <c:v>5.5748172110080709</c:v>
                </c:pt>
                <c:pt idx="7">
                  <c:v>6.9030780907738958</c:v>
                </c:pt>
                <c:pt idx="8">
                  <c:v>8.5489790386098861</c:v>
                </c:pt>
                <c:pt idx="9">
                  <c:v>10.588742421786387</c:v>
                </c:pt>
                <c:pt idx="10">
                  <c:v>13.116939848545632</c:v>
                </c:pt>
                <c:pt idx="11">
                  <c:v>16.250922486723002</c:v>
                </c:pt>
                <c:pt idx="12">
                  <c:v>20.136323955741016</c:v>
                </c:pt>
                <c:pt idx="13">
                  <c:v>24.953896102189773</c:v>
                </c:pt>
                <c:pt idx="14">
                  <c:v>30.928001287430916</c:v>
                </c:pt>
                <c:pt idx="15">
                  <c:v>38.337163566726382</c:v>
                </c:pt>
                <c:pt idx="16">
                  <c:v>47.527179091678228</c:v>
                </c:pt>
                <c:pt idx="17">
                  <c:v>58.927407911319868</c:v>
                </c:pt>
                <c:pt idx="18">
                  <c:v>73.071020919484155</c:v>
                </c:pt>
                <c:pt idx="19">
                  <c:v>90.620164263085925</c:v>
                </c:pt>
                <c:pt idx="20">
                  <c:v>112.39723813230249</c:v>
                </c:pt>
                <c:pt idx="21">
                  <c:v>139.42377875850318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158.76051047616974</c:v>
                </c:pt>
                <c:pt idx="29">
                  <c:v>175.59896515661083</c:v>
                </c:pt>
                <c:pt idx="30">
                  <c:v>192.39950654022337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220.02792534458789</c:v>
                </c:pt>
                <c:pt idx="36">
                  <c:v>236.44664825214033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318.18531578207222</c:v>
                </c:pt>
                <c:pt idx="42">
                  <c:v>258.41598708702207</c:v>
                </c:pt>
                <c:pt idx="43">
                  <c:v>273.64897539352847</c:v>
                </c:pt>
                <c:pt idx="44">
                  <c:v>288.86291050410301</c:v>
                </c:pt>
                <c:pt idx="45">
                  <c:v>304.05893725366747</c:v>
                </c:pt>
                <c:pt idx="46">
                  <c:v>319.23807668113341</c:v>
                </c:pt>
                <c:pt idx="47">
                  <c:v>334.40124478994881</c:v>
                </c:pt>
                <c:pt idx="48">
                  <c:v>349.54926772624776</c:v>
                </c:pt>
                <c:pt idx="49">
                  <c:v>364.68289418741483</c:v>
                </c:pt>
                <c:pt idx="50">
                  <c:v>379.80280566271313</c:v>
                </c:pt>
                <c:pt idx="51">
                  <c:v>322.84049712168786</c:v>
                </c:pt>
                <c:pt idx="52">
                  <c:v>336.46900936276592</c:v>
                </c:pt>
                <c:pt idx="53">
                  <c:v>350.08536930552197</c:v>
                </c:pt>
                <c:pt idx="54">
                  <c:v>363.69011622210314</c:v>
                </c:pt>
                <c:pt idx="55">
                  <c:v>377.28374574247255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431.55573603859699</c:v>
                </c:pt>
                <c:pt idx="60">
                  <c:v>445.09999862375906</c:v>
                </c:pt>
                <c:pt idx="61">
                  <c:v>387.77711671492489</c:v>
                </c:pt>
                <c:pt idx="62">
                  <c:v>399.46857547560199</c:v>
                </c:pt>
                <c:pt idx="63">
                  <c:v>411.15262834415716</c:v>
                </c:pt>
                <c:pt idx="64">
                  <c:v>422.82951547202782</c:v>
                </c:pt>
                <c:pt idx="65">
                  <c:v>434.49946266268324</c:v>
                </c:pt>
                <c:pt idx="66">
                  <c:v>446.16268259938073</c:v>
                </c:pt>
                <c:pt idx="67">
                  <c:v>457.81937593784545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445.12148725674382</c:v>
                </c:pt>
                <c:pt idx="73">
                  <c:v>454.71688879830617</c:v>
                </c:pt>
                <c:pt idx="74">
                  <c:v>464.30796390444101</c:v>
                </c:pt>
                <c:pt idx="75">
                  <c:v>473.89481456791833</c:v>
                </c:pt>
                <c:pt idx="76">
                  <c:v>483.47753831734195</c:v>
                </c:pt>
                <c:pt idx="77">
                  <c:v>493.05622849905484</c:v>
                </c:pt>
                <c:pt idx="78">
                  <c:v>502.63097453599818</c:v>
                </c:pt>
                <c:pt idx="79">
                  <c:v>512.20186216581476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8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1" sqref="E1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2.2799999999999998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0.5</v>
      </c>
      <c r="D9" s="33">
        <f t="shared" ref="D9:D18" si="0">C9*$C$5</f>
        <v>1.1399999999999999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0.5</v>
      </c>
      <c r="D10" s="33">
        <f t="shared" si="0"/>
        <v>1.1399999999999999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28</v>
      </c>
      <c r="C19" s="37">
        <f>SUM(C9:C18)</f>
        <v>1</v>
      </c>
      <c r="D19" s="38">
        <f>SUM(D9:D18)</f>
        <v>2.2799999999999998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29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35</v>
      </c>
      <c r="B26" s="42" t="s">
        <v>36</v>
      </c>
      <c r="C26" s="43">
        <v>0.15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41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Cèdre de l'Atlas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43</v>
      </c>
      <c r="C34" s="258" t="s">
        <v>44</v>
      </c>
      <c r="D34" s="258"/>
      <c r="E34" s="259" t="s">
        <v>45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147.25384615384615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4.9084615384615384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51</v>
      </c>
      <c r="B37" s="60">
        <v>387.56923076923078</v>
      </c>
      <c r="C37" s="60">
        <v>1</v>
      </c>
      <c r="D37" s="60">
        <v>170.16153846153847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11.443589743589744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61</v>
      </c>
      <c r="B38" s="60">
        <v>329.11538461538464</v>
      </c>
      <c r="C38" s="60">
        <v>2</v>
      </c>
      <c r="D38" s="60">
        <v>94.76153846153845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11.170769230769233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73</v>
      </c>
      <c r="B39" s="60">
        <v>358.13076923076926</v>
      </c>
      <c r="C39" s="60">
        <v>3</v>
      </c>
      <c r="D39" s="60">
        <v>93.584615384615375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10.314743589743591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85</v>
      </c>
      <c r="B40" s="60">
        <v>378.83076923076919</v>
      </c>
      <c r="C40" s="60">
        <v>4</v>
      </c>
      <c r="D40" s="60">
        <v>85.207692307692298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9.5237179487179446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97</v>
      </c>
      <c r="B41" s="60">
        <v>398.27692307692308</v>
      </c>
      <c r="C41" s="60">
        <v>5</v>
      </c>
      <c r="D41" s="60">
        <v>79.669230769230765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8.7211538461538485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109</v>
      </c>
      <c r="B42" s="60">
        <v>413.2</v>
      </c>
      <c r="C42" s="60">
        <v>6</v>
      </c>
      <c r="D42" s="60">
        <v>80.653846153846146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7.882692307692305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121</v>
      </c>
      <c r="B43" s="60">
        <v>417.60769230769228</v>
      </c>
      <c r="C43" s="60">
        <v>7</v>
      </c>
      <c r="D43" s="60">
        <v>207.07692307692307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7.0884615384615346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131</v>
      </c>
      <c r="B44" s="60">
        <v>259.61538461538458</v>
      </c>
      <c r="C44" s="60">
        <v>8</v>
      </c>
      <c r="D44" s="60">
        <v>259.61538461538458</v>
      </c>
      <c r="E44" s="51">
        <v>0.7</v>
      </c>
      <c r="F44" s="51">
        <v>0.16800000000000001</v>
      </c>
      <c r="G44" s="51">
        <v>0.13200000000000001</v>
      </c>
      <c r="H44" s="51">
        <v>0</v>
      </c>
      <c r="I44" s="49">
        <f t="shared" si="1"/>
        <v>4.9084615384615375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laricio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43</v>
      </c>
      <c r="C60" s="258" t="s">
        <v>44</v>
      </c>
      <c r="D60" s="258"/>
      <c r="E60" s="259" t="s">
        <v>45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22</v>
      </c>
      <c r="B62" s="60">
        <v>129.98461538461538</v>
      </c>
      <c r="C62" s="60">
        <v>1</v>
      </c>
      <c r="D62" s="60">
        <v>52.746153846153838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5.9083916083916082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27</v>
      </c>
      <c r="B63" s="60">
        <v>140.71538461538461</v>
      </c>
      <c r="C63" s="60">
        <v>2</v>
      </c>
      <c r="D63" s="60">
        <v>34.646153846153844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12.695384615384615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33</v>
      </c>
      <c r="B64" s="60">
        <v>183.89999999999998</v>
      </c>
      <c r="C64" s="60">
        <v>3</v>
      </c>
      <c r="D64" s="60">
        <v>43.007692307692302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12.97179487179487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41</v>
      </c>
      <c r="B65" s="60">
        <v>242.81538461538457</v>
      </c>
      <c r="C65" s="60">
        <v>4</v>
      </c>
      <c r="D65" s="60">
        <v>58.484615384615381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12.740384615384613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50</v>
      </c>
      <c r="B66" s="60">
        <v>291.08461538461535</v>
      </c>
      <c r="C66" s="60">
        <v>5</v>
      </c>
      <c r="D66" s="60">
        <v>55.292307692307688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11.861538461538462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60</v>
      </c>
      <c r="B67" s="60">
        <v>342.42307692307696</v>
      </c>
      <c r="C67" s="60">
        <v>6</v>
      </c>
      <c r="D67" s="60">
        <v>54.261538461538464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10.663076923076932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70</v>
      </c>
      <c r="B68" s="60">
        <v>379.99230769230769</v>
      </c>
      <c r="C68" s="60">
        <v>7</v>
      </c>
      <c r="D68" s="60">
        <v>52.669230769230765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9.1830769230769196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80</v>
      </c>
      <c r="B69" s="50">
        <v>402.90769230769229</v>
      </c>
      <c r="C69" s="50">
        <v>8</v>
      </c>
      <c r="D69" s="50">
        <v>402.90769230769229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7.5584615384615343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43</v>
      </c>
      <c r="C86" s="258" t="s">
        <v>44</v>
      </c>
      <c r="D86" s="258"/>
      <c r="E86" s="259" t="s">
        <v>45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43</v>
      </c>
      <c r="C112" s="258" t="s">
        <v>44</v>
      </c>
      <c r="D112" s="258"/>
      <c r="E112" s="259" t="s">
        <v>45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43</v>
      </c>
      <c r="C138" s="258" t="s">
        <v>44</v>
      </c>
      <c r="D138" s="258"/>
      <c r="E138" s="259" t="s">
        <v>45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43</v>
      </c>
      <c r="C164" s="258" t="s">
        <v>44</v>
      </c>
      <c r="D164" s="258"/>
      <c r="E164" s="259" t="s">
        <v>45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43</v>
      </c>
      <c r="C190" s="258" t="s">
        <v>44</v>
      </c>
      <c r="D190" s="258"/>
      <c r="E190" s="259" t="s">
        <v>45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43</v>
      </c>
      <c r="C216" s="258" t="s">
        <v>44</v>
      </c>
      <c r="D216" s="258"/>
      <c r="E216" s="259" t="s">
        <v>45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43</v>
      </c>
      <c r="C242" s="258" t="s">
        <v>44</v>
      </c>
      <c r="D242" s="258"/>
      <c r="E242" s="259" t="s">
        <v>45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43</v>
      </c>
      <c r="C268" s="258" t="s">
        <v>44</v>
      </c>
      <c r="D268" s="258"/>
      <c r="E268" s="259" t="s">
        <v>45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5" zoomScaleNormal="100" workbookViewId="0">
      <selection activeCell="B10" sqref="B1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55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60</v>
      </c>
      <c r="D8" s="23"/>
      <c r="E8" s="105">
        <v>4</v>
      </c>
      <c r="F8" s="61">
        <v>0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1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57</v>
      </c>
      <c r="C15" s="4"/>
      <c r="D15" s="23"/>
      <c r="E15" s="4"/>
      <c r="F15" s="4"/>
      <c r="G15" s="2" t="s">
        <v>69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73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50</v>
      </c>
      <c r="X2" s="7" t="s">
        <v>51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50</v>
      </c>
      <c r="AS2" s="7" t="s">
        <v>51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50</v>
      </c>
      <c r="BN2" s="7" t="s">
        <v>51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50</v>
      </c>
      <c r="CI2" s="7" t="s">
        <v>51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50</v>
      </c>
      <c r="DD2" s="7" t="s">
        <v>51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50</v>
      </c>
      <c r="DY2" s="7" t="s">
        <v>51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50</v>
      </c>
      <c r="ET2" s="7" t="s">
        <v>51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50</v>
      </c>
      <c r="FO2" s="7" t="s">
        <v>51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50</v>
      </c>
      <c r="GJ2" s="7" t="s">
        <v>51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50</v>
      </c>
      <c r="HE2" s="7" t="s">
        <v>51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204.77882499755987</v>
      </c>
      <c r="T3" s="59">
        <f>IF('Données projet'!E9&gt;30,$R$33-$H$33,LOOKUP('Données projet'!$E$9,$A$3:$A$203,R3:R203)-LOOKUP('Données projet'!$E$9,$A$3:$A$203,$H$3:$H$203))</f>
        <v>152.46480920430594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237.03649693529445</v>
      </c>
      <c r="AO3" s="59">
        <f>IF('Données projet'!E10&gt;30,$AM$33-$H$33,LOOKUP('Données projet'!$E$10,$A$3:$A$203,AM3:AM203)-LOOKUP('Données projet'!$E$10,$A$3:$A$203,$H$3:$H$203))</f>
        <v>191.04289411674887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4.9084615384615384</v>
      </c>
      <c r="N4" s="13">
        <f>IF('Données projet'!$A$36&gt;35,N3+M4-V3,IF(A4&lt;'Données projet'!$A$36,$K$205^A4,IF(A4='Données projet'!$A$36,'Données projet'!$B$36,N3+M4-V3)))</f>
        <v>1.1810516433311786</v>
      </c>
      <c r="O4" s="13">
        <f>N4*VLOOKUP('Données projet'!$B$9,Paramètres!$A$1:$I$89,3,0)*VLOOKUP('Données projet'!$B$9,Paramètres!$A$1:$I$89,5,0)</f>
        <v>0.55273216907899159</v>
      </c>
      <c r="P4" s="13">
        <f>EXP(-1.0587+0.8836*LN(O4)+0.284)</f>
        <v>0.27292171413945432</v>
      </c>
      <c r="Q4" s="20">
        <f t="shared" ref="Q4:Q34" si="2">(O4+P4)*0.475*44/12</f>
        <v>1.4380138466054599</v>
      </c>
      <c r="R4" s="59">
        <f t="shared" si="0"/>
        <v>259.32690273549434</v>
      </c>
      <c r="S4" s="59">
        <f ca="1">AVERAGE(OFFSET($R$3,0,0,'Données projet'!$E$9+1,1))-AVERAGE(OFFSET($H$3,0,0,'Données projet'!$E$9+1,1))</f>
        <v>204.77882499755987</v>
      </c>
      <c r="T4" s="59">
        <f>$T$3</f>
        <v>152.46480920430594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5.9083916083916082</v>
      </c>
      <c r="AI4" s="13">
        <f>IF('Données projet'!$A$62&gt;35,AI3+AH4-AQ3,IF(A4&lt;'Données projet'!$A$62,$AF$205^A4,IF(A4='Données projet'!$A$62,'Données projet'!$B$62,AI3+AH4-AQ3)))</f>
        <v>1.2476305424001204</v>
      </c>
      <c r="AJ4" s="13">
        <f>AI4*VLOOKUP('Données projet'!$B$10,Paramètres!$A$1:$I$89,3,0)*VLOOKUP('Données projet'!$B$10,Paramètres!$A$1:$I$89,5,0)</f>
        <v>0.74608306435527205</v>
      </c>
      <c r="AK4" s="13">
        <f>EXP(-1.0587+0.8836*LN(AJ4)+0.284)</f>
        <v>0.35575156458325191</v>
      </c>
      <c r="AL4" s="20">
        <f t="shared" ref="AL4:AL67" si="4">(AJ4+AK4)*0.475*44/12</f>
        <v>1.9190286454012624</v>
      </c>
      <c r="AM4" s="59">
        <f t="shared" ref="AM4:AM67" si="5">AL4+(AD4+AE4)*44/12</f>
        <v>259.80791753429014</v>
      </c>
      <c r="AN4" s="59">
        <f ca="1">AVERAGE(OFFSET($AM$3,0,0,'Données projet'!$E$10+1,1))-AVERAGE(OFFSET($H$3,0,0,'Données projet'!$E$10+1,1))</f>
        <v>237.03649693529445</v>
      </c>
      <c r="AO4" s="59">
        <f>$AO$3</f>
        <v>191.04289411674887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4.9084615384615384</v>
      </c>
      <c r="N5" s="13">
        <f>IF('Données projet'!$A$36&gt;35,N4+M5-V4,IF(A5&lt;'Données projet'!$A$36,$K$205^A5,IF(A5='Données projet'!$A$36,'Données projet'!$B$36,N4+M5-V4)))</f>
        <v>1.3948829842152777</v>
      </c>
      <c r="O5" s="13">
        <f>N5*VLOOKUP('Données projet'!$B$9,Paramètres!$A$1:$I$89,3,0)*VLOOKUP('Données projet'!$B$9,Paramètres!$A$1:$I$89,5,0)</f>
        <v>0.65280523661274992</v>
      </c>
      <c r="P5" s="13">
        <f t="shared" ref="P5:P68" si="33">EXP(-1.0587+0.8836*LN(O5)+0.284)</f>
        <v>0.31615123301372139</v>
      </c>
      <c r="Q5" s="20">
        <f t="shared" si="2"/>
        <v>1.6875991845994376</v>
      </c>
      <c r="R5" s="59">
        <f t="shared" si="0"/>
        <v>260.79871029571058</v>
      </c>
      <c r="S5" s="59">
        <f ca="1">AVERAGE(OFFSET($R$3,0,0,'Données projet'!$E$9+1,1))-AVERAGE(OFFSET($H$3,0,0,'Données projet'!$E$9+1,1))</f>
        <v>204.77882499755987</v>
      </c>
      <c r="T5" s="59">
        <f t="shared" ref="T5:T68" si="34">$T$3</f>
        <v>152.46480920430594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5.9083916083916082</v>
      </c>
      <c r="AI5" s="13">
        <f>IF('Données projet'!$A$62&gt;35,AI4+AH5-AQ4,IF(A5&lt;'Données projet'!$A$62,$AF$205^A5,IF(A5='Données projet'!$A$62,'Données projet'!$B$62,AI4+AH5-AQ4)))</f>
        <v>1.5565819703296186</v>
      </c>
      <c r="AJ5" s="13">
        <f>AI5*VLOOKUP('Données projet'!$B$10,Paramètres!$A$1:$I$89,3,0)*VLOOKUP('Données projet'!$B$10,Paramètres!$A$1:$I$89,5,0)</f>
        <v>0.93083601825711204</v>
      </c>
      <c r="AK5" s="13">
        <f t="shared" ref="AK5:AK68" si="35">EXP(-1.0587+0.8836*LN(AJ5)+0.284)</f>
        <v>0.43256204175421276</v>
      </c>
      <c r="AL5" s="20">
        <f t="shared" si="4"/>
        <v>2.3745849545197242</v>
      </c>
      <c r="AM5" s="59">
        <f t="shared" si="5"/>
        <v>261.48569606563086</v>
      </c>
      <c r="AN5" s="59">
        <f ca="1">AVERAGE(OFFSET($AM$3,0,0,'Données projet'!$E$10+1,1))-AVERAGE(OFFSET($H$3,0,0,'Données projet'!$E$10+1,1))</f>
        <v>237.03649693529445</v>
      </c>
      <c r="AO5" s="59">
        <f t="shared" ref="AO5:AO68" si="36">$AO$3</f>
        <v>191.04289411674887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4.9084615384615384</v>
      </c>
      <c r="N6" s="13">
        <f>IF('Données projet'!$A$36&gt;35,N5+M6-V5,IF(A6&lt;'Données projet'!$A$36,$K$205^A6,IF(A6='Données projet'!$A$36,'Données projet'!$B$36,N5+M6-V5)))</f>
        <v>1.6474288407621522</v>
      </c>
      <c r="O6" s="13">
        <f>N6*VLOOKUP('Données projet'!$B$9,Paramètres!$A$1:$I$89,3,0)*VLOOKUP('Données projet'!$B$9,Paramètres!$A$1:$I$89,5,0)</f>
        <v>0.7709966974766872</v>
      </c>
      <c r="P6" s="13">
        <f t="shared" si="33"/>
        <v>0.36622810482944673</v>
      </c>
      <c r="Q6" s="20">
        <f t="shared" si="2"/>
        <v>1.9806665306831832</v>
      </c>
      <c r="R6" s="59">
        <f t="shared" si="0"/>
        <v>262.31399986401652</v>
      </c>
      <c r="S6" s="59">
        <f ca="1">AVERAGE(OFFSET($R$3,0,0,'Données projet'!$E$9+1,1))-AVERAGE(OFFSET($H$3,0,0,'Données projet'!$E$9+1,1))</f>
        <v>204.77882499755987</v>
      </c>
      <c r="T6" s="59">
        <f t="shared" si="34"/>
        <v>152.46480920430594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5.9083916083916082</v>
      </c>
      <c r="AI6" s="13">
        <f>IF('Données projet'!$A$62&gt;35,AI5+AH6-AQ5,IF(A6&lt;'Données projet'!$A$62,$AF$205^A6,IF(A6='Données projet'!$A$62,'Données projet'!$B$62,AI5+AH6-AQ5)))</f>
        <v>1.9420392079325903</v>
      </c>
      <c r="AJ6" s="13">
        <f>AI6*VLOOKUP('Données projet'!$B$10,Paramètres!$A$1:$I$89,3,0)*VLOOKUP('Données projet'!$B$10,Paramètres!$A$1:$I$89,5,0)</f>
        <v>1.1613394463436892</v>
      </c>
      <c r="AK6" s="13">
        <f t="shared" si="35"/>
        <v>0.52595670291925423</v>
      </c>
      <c r="AL6" s="20">
        <f t="shared" si="4"/>
        <v>2.938707459966293</v>
      </c>
      <c r="AM6" s="59">
        <f t="shared" si="5"/>
        <v>263.2720407932996</v>
      </c>
      <c r="AN6" s="59">
        <f ca="1">AVERAGE(OFFSET($AM$3,0,0,'Données projet'!$E$10+1,1))-AVERAGE(OFFSET($H$3,0,0,'Données projet'!$E$10+1,1))</f>
        <v>237.03649693529445</v>
      </c>
      <c r="AO6" s="59">
        <f t="shared" si="36"/>
        <v>191.04289411674887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4.9084615384615384</v>
      </c>
      <c r="N7" s="13">
        <f>IF('Données projet'!$A$36&gt;35,N6+M7-V6,IF(A7&lt;'Données projet'!$A$36,$K$205^A7,IF(A7='Données projet'!$A$36,'Données projet'!$B$36,N6+M7-V6)))</f>
        <v>1.9456985396533186</v>
      </c>
      <c r="O7" s="13">
        <f>N7*VLOOKUP('Données projet'!$B$9,Paramètres!$A$1:$I$89,3,0)*VLOOKUP('Données projet'!$B$9,Paramètres!$A$1:$I$89,5,0)</f>
        <v>0.91058691655775315</v>
      </c>
      <c r="P7" s="13">
        <f t="shared" si="33"/>
        <v>0.42423691816235021</v>
      </c>
      <c r="Q7" s="20">
        <f t="shared" si="2"/>
        <v>2.32481817880418</v>
      </c>
      <c r="R7" s="59">
        <f t="shared" si="0"/>
        <v>263.88037373435975</v>
      </c>
      <c r="S7" s="59">
        <f ca="1">AVERAGE(OFFSET($R$3,0,0,'Données projet'!$E$9+1,1))-AVERAGE(OFFSET($H$3,0,0,'Données projet'!$E$9+1,1))</f>
        <v>204.77882499755987</v>
      </c>
      <c r="T7" s="59">
        <f t="shared" si="34"/>
        <v>152.46480920430594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5.9083916083916082</v>
      </c>
      <c r="AI7" s="13">
        <f>IF('Données projet'!$A$62&gt;35,AI6+AH7-AQ6,IF(A7&lt;'Données projet'!$A$62,$AF$205^A7,IF(A7='Données projet'!$A$62,'Données projet'!$B$62,AI6+AH7-AQ6)))</f>
        <v>2.4229474303552379</v>
      </c>
      <c r="AJ7" s="13">
        <f>AI7*VLOOKUP('Données projet'!$B$10,Paramètres!$A$1:$I$89,3,0)*VLOOKUP('Données projet'!$B$10,Paramètres!$A$1:$I$89,5,0)</f>
        <v>1.4489225633524323</v>
      </c>
      <c r="AK7" s="13">
        <f t="shared" si="35"/>
        <v>0.63951624655701411</v>
      </c>
      <c r="AL7" s="20">
        <f t="shared" si="4"/>
        <v>3.6373642605922853</v>
      </c>
      <c r="AM7" s="59">
        <f t="shared" si="5"/>
        <v>265.19291981614782</v>
      </c>
      <c r="AN7" s="59">
        <f ca="1">AVERAGE(OFFSET($AM$3,0,0,'Données projet'!$E$10+1,1))-AVERAGE(OFFSET($H$3,0,0,'Données projet'!$E$10+1,1))</f>
        <v>237.03649693529445</v>
      </c>
      <c r="AO7" s="59">
        <f t="shared" si="36"/>
        <v>191.04289411674887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4.9084615384615384</v>
      </c>
      <c r="N8" s="13">
        <f>IF('Données projet'!$A$36&gt;35,N7+M8-V7,IF(A8&lt;'Données projet'!$A$36,$K$205^A8,IF(A8='Données projet'!$A$36,'Données projet'!$B$36,N7+M8-V7)))</f>
        <v>2.2979704576846265</v>
      </c>
      <c r="O8" s="13">
        <f>N8*VLOOKUP('Données projet'!$B$9,Paramètres!$A$1:$I$89,3,0)*VLOOKUP('Données projet'!$B$9,Paramètres!$A$1:$I$89,5,0)</f>
        <v>1.0754501741964051</v>
      </c>
      <c r="P8" s="13">
        <f t="shared" si="33"/>
        <v>0.49143405532927165</v>
      </c>
      <c r="Q8" s="20">
        <f t="shared" si="2"/>
        <v>2.7289900330905534</v>
      </c>
      <c r="R8" s="59">
        <f t="shared" si="0"/>
        <v>265.50676781086833</v>
      </c>
      <c r="S8" s="59">
        <f ca="1">AVERAGE(OFFSET($R$3,0,0,'Données projet'!$E$9+1,1))-AVERAGE(OFFSET($H$3,0,0,'Données projet'!$E$9+1,1))</f>
        <v>204.77882499755987</v>
      </c>
      <c r="T8" s="59">
        <f t="shared" si="34"/>
        <v>152.46480920430594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5.9083916083916082</v>
      </c>
      <c r="AI8" s="13">
        <f>IF('Données projet'!$A$62&gt;35,AI7+AH8-AQ7,IF(A8&lt;'Données projet'!$A$62,$AF$205^A8,IF(A8='Données projet'!$A$62,'Données projet'!$B$62,AI7+AH8-AQ7)))</f>
        <v>3.0229432167410835</v>
      </c>
      <c r="AJ8" s="13">
        <f>AI8*VLOOKUP('Données projet'!$B$10,Paramètres!$A$1:$I$89,3,0)*VLOOKUP('Données projet'!$B$10,Paramètres!$A$1:$I$89,5,0)</f>
        <v>1.807720043611168</v>
      </c>
      <c r="AK8" s="13">
        <f t="shared" si="35"/>
        <v>0.7775944813334934</v>
      </c>
      <c r="AL8" s="20">
        <f t="shared" si="4"/>
        <v>4.5027561309452855</v>
      </c>
      <c r="AM8" s="59">
        <f t="shared" si="5"/>
        <v>267.28053390872304</v>
      </c>
      <c r="AN8" s="59">
        <f ca="1">AVERAGE(OFFSET($AM$3,0,0,'Données projet'!$E$10+1,1))-AVERAGE(OFFSET($H$3,0,0,'Données projet'!$E$10+1,1))</f>
        <v>237.03649693529445</v>
      </c>
      <c r="AO8" s="59">
        <f t="shared" si="36"/>
        <v>191.04289411674887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4.9084615384615384</v>
      </c>
      <c r="N9" s="13">
        <f>IF('Données projet'!$A$36&gt;35,N8+M9-V8,IF(A9&lt;'Données projet'!$A$36,$K$205^A9,IF(A9='Données projet'!$A$36,'Données projet'!$B$36,N8+M9-V8)))</f>
        <v>2.7140217853749289</v>
      </c>
      <c r="O9" s="13">
        <f>N9*VLOOKUP('Données projet'!$B$9,Paramètres!$A$1:$I$89,3,0)*VLOOKUP('Données projet'!$B$9,Paramètres!$A$1:$I$89,5,0)</f>
        <v>1.2701621955554667</v>
      </c>
      <c r="P9" s="13">
        <f t="shared" si="33"/>
        <v>0.56927490371064715</v>
      </c>
      <c r="Q9" s="20">
        <f t="shared" si="2"/>
        <v>3.203686281221815</v>
      </c>
      <c r="R9" s="59">
        <f t="shared" si="0"/>
        <v>267.20368628122179</v>
      </c>
      <c r="S9" s="59">
        <f ca="1">AVERAGE(OFFSET($R$3,0,0,'Données projet'!$E$9+1,1))-AVERAGE(OFFSET($H$3,0,0,'Données projet'!$E$9+1,1))</f>
        <v>204.77882499755987</v>
      </c>
      <c r="T9" s="59">
        <f t="shared" si="34"/>
        <v>152.46480920430594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5.9083916083916082</v>
      </c>
      <c r="AI9" s="13">
        <f>IF('Données projet'!$A$62&gt;35,AI8+AH9-AQ8,IF(A9&lt;'Données projet'!$A$62,$AF$205^A9,IF(A9='Données projet'!$A$62,'Données projet'!$B$62,AI8+AH9-AQ8)))</f>
        <v>3.7715162851474426</v>
      </c>
      <c r="AJ9" s="13">
        <f>AI9*VLOOKUP('Données projet'!$B$10,Paramètres!$A$1:$I$89,3,0)*VLOOKUP('Données projet'!$B$10,Paramètres!$A$1:$I$89,5,0)</f>
        <v>2.255366738518171</v>
      </c>
      <c r="AK9" s="13">
        <f t="shared" si="35"/>
        <v>0.9454852486634967</v>
      </c>
      <c r="AL9" s="20">
        <f t="shared" si="4"/>
        <v>5.5748172110080709</v>
      </c>
      <c r="AM9" s="59">
        <f t="shared" si="5"/>
        <v>269.57481721100805</v>
      </c>
      <c r="AN9" s="59">
        <f ca="1">AVERAGE(OFFSET($AM$3,0,0,'Données projet'!$E$10+1,1))-AVERAGE(OFFSET($H$3,0,0,'Données projet'!$E$10+1,1))</f>
        <v>237.03649693529445</v>
      </c>
      <c r="AO9" s="59">
        <f t="shared" si="36"/>
        <v>191.04289411674887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4.9084615384615384</v>
      </c>
      <c r="N10" s="13">
        <f>IF('Données projet'!$A$36&gt;35,N9+M10-V9,IF(A10&lt;'Données projet'!$A$36,$K$205^A10,IF(A10='Données projet'!$A$36,'Données projet'!$B$36,N9+M10-V9)))</f>
        <v>3.2053998896536791</v>
      </c>
      <c r="O10" s="13">
        <f>N10*VLOOKUP('Données projet'!$B$9,Paramètres!$A$1:$I$89,3,0)*VLOOKUP('Données projet'!$B$9,Paramètres!$A$1:$I$89,5,0)</f>
        <v>1.5001271483579217</v>
      </c>
      <c r="P10" s="13">
        <f t="shared" si="33"/>
        <v>0.65944537721878049</v>
      </c>
      <c r="Q10" s="20">
        <f t="shared" si="2"/>
        <v>3.7612554820460891</v>
      </c>
      <c r="R10" s="59">
        <f t="shared" si="0"/>
        <v>268.9834777042683</v>
      </c>
      <c r="S10" s="59">
        <f ca="1">AVERAGE(OFFSET($R$3,0,0,'Données projet'!$E$9+1,1))-AVERAGE(OFFSET($H$3,0,0,'Données projet'!$E$9+1,1))</f>
        <v>204.77882499755987</v>
      </c>
      <c r="T10" s="59">
        <f t="shared" si="34"/>
        <v>152.46480920430594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5.9083916083916082</v>
      </c>
      <c r="AI10" s="13">
        <f>IF('Données projet'!$A$62&gt;35,AI9+AH10-AQ9,IF(A10&lt;'Données projet'!$A$62,$AF$205^A10,IF(A10='Données projet'!$A$62,'Données projet'!$B$62,AI9+AH10-AQ9)))</f>
        <v>4.7054589085093914</v>
      </c>
      <c r="AJ10" s="13">
        <f>AI10*VLOOKUP('Données projet'!$B$10,Paramètres!$A$1:$I$89,3,0)*VLOOKUP('Données projet'!$B$10,Paramètres!$A$1:$I$89,5,0)</f>
        <v>2.8138644272886166</v>
      </c>
      <c r="AK10" s="13">
        <f t="shared" si="35"/>
        <v>1.1496253855959169</v>
      </c>
      <c r="AL10" s="20">
        <f t="shared" si="4"/>
        <v>6.9030780907738958</v>
      </c>
      <c r="AM10" s="59">
        <f t="shared" si="5"/>
        <v>272.1253003129961</v>
      </c>
      <c r="AN10" s="59">
        <f ca="1">AVERAGE(OFFSET($AM$3,0,0,'Données projet'!$E$10+1,1))-AVERAGE(OFFSET($H$3,0,0,'Données projet'!$E$10+1,1))</f>
        <v>237.03649693529445</v>
      </c>
      <c r="AO10" s="59">
        <f t="shared" si="36"/>
        <v>191.04289411674887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4.9084615384615384</v>
      </c>
      <c r="N11" s="13">
        <f>IF('Données projet'!$A$36&gt;35,N10+M11-V10,IF(A11&lt;'Données projet'!$A$36,$K$205^A11,IF(A11='Données projet'!$A$36,'Données projet'!$B$36,N10+M11-V10)))</f>
        <v>3.7857428072090569</v>
      </c>
      <c r="O11" s="13">
        <f>N11*VLOOKUP('Données projet'!$B$9,Paramètres!$A$1:$I$89,3,0)*VLOOKUP('Données projet'!$B$9,Paramètres!$A$1:$I$89,5,0)</f>
        <v>1.7717276337738388</v>
      </c>
      <c r="P11" s="13">
        <f t="shared" si="33"/>
        <v>0.76389843061877893</v>
      </c>
      <c r="Q11" s="20">
        <f t="shared" si="2"/>
        <v>4.4162153954838086</v>
      </c>
      <c r="R11" s="59">
        <f t="shared" si="0"/>
        <v>270.86065983992825</v>
      </c>
      <c r="S11" s="59">
        <f ca="1">AVERAGE(OFFSET($R$3,0,0,'Données projet'!$E$9+1,1))-AVERAGE(OFFSET($H$3,0,0,'Données projet'!$E$9+1,1))</f>
        <v>204.77882499755987</v>
      </c>
      <c r="T11" s="59">
        <f t="shared" si="34"/>
        <v>152.46480920430594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5.9083916083916082</v>
      </c>
      <c r="AI11" s="13">
        <f>IF('Données projet'!$A$62&gt;35,AI10+AH11-AQ10,IF(A11&lt;'Données projet'!$A$62,$AF$205^A11,IF(A11='Données projet'!$A$62,'Données projet'!$B$62,AI10+AH11-AQ10)))</f>
        <v>5.8706742502650497</v>
      </c>
      <c r="AJ11" s="13">
        <f>AI11*VLOOKUP('Données projet'!$B$10,Paramètres!$A$1:$I$89,3,0)*VLOOKUP('Données projet'!$B$10,Paramètres!$A$1:$I$89,5,0)</f>
        <v>3.5106632016584998</v>
      </c>
      <c r="AK11" s="13">
        <f t="shared" si="35"/>
        <v>1.3978415095050716</v>
      </c>
      <c r="AL11" s="20">
        <f t="shared" si="4"/>
        <v>8.5489790386098861</v>
      </c>
      <c r="AM11" s="59">
        <f t="shared" si="5"/>
        <v>274.99342348305436</v>
      </c>
      <c r="AN11" s="59">
        <f ca="1">AVERAGE(OFFSET($AM$3,0,0,'Données projet'!$E$10+1,1))-AVERAGE(OFFSET($H$3,0,0,'Données projet'!$E$10+1,1))</f>
        <v>237.03649693529445</v>
      </c>
      <c r="AO11" s="59">
        <f t="shared" si="36"/>
        <v>191.04289411674887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4.9084615384615384</v>
      </c>
      <c r="N12" s="13">
        <f>IF('Données projet'!$A$36&gt;35,N11+M12-V11,IF(A12&lt;'Données projet'!$A$36,$K$205^A12,IF(A12='Données projet'!$A$36,'Données projet'!$B$36,N11+M12-V11)))</f>
        <v>4.4711577636834461</v>
      </c>
      <c r="O12" s="13">
        <f>N12*VLOOKUP('Données projet'!$B$9,Paramètres!$A$1:$I$89,3,0)*VLOOKUP('Données projet'!$B$9,Paramètres!$A$1:$I$89,5,0)</f>
        <v>2.0925018334038525</v>
      </c>
      <c r="P12" s="13">
        <f t="shared" si="33"/>
        <v>0.8848963575465858</v>
      </c>
      <c r="Q12" s="20">
        <f t="shared" si="2"/>
        <v>5.1856351825720131</v>
      </c>
      <c r="R12" s="59">
        <f t="shared" si="0"/>
        <v>272.8523018492387</v>
      </c>
      <c r="S12" s="59">
        <f ca="1">AVERAGE(OFFSET($R$3,0,0,'Données projet'!$E$9+1,1))-AVERAGE(OFFSET($H$3,0,0,'Données projet'!$E$9+1,1))</f>
        <v>204.77882499755987</v>
      </c>
      <c r="T12" s="59">
        <f t="shared" si="34"/>
        <v>152.46480920430594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5.9083916083916082</v>
      </c>
      <c r="AI12" s="13">
        <f>IF('Données projet'!$A$62&gt;35,AI11+AH12-AQ11,IF(A12&lt;'Données projet'!$A$62,$AF$205^A12,IF(A12='Données projet'!$A$62,'Données projet'!$B$62,AI11+AH12-AQ11)))</f>
        <v>7.3244324991126044</v>
      </c>
      <c r="AJ12" s="13">
        <f>AI12*VLOOKUP('Données projet'!$B$10,Paramètres!$A$1:$I$89,3,0)*VLOOKUP('Données projet'!$B$10,Paramètres!$A$1:$I$89,5,0)</f>
        <v>4.3800106344693379</v>
      </c>
      <c r="AK12" s="13">
        <f t="shared" si="35"/>
        <v>1.6996500861735646</v>
      </c>
      <c r="AL12" s="20">
        <f t="shared" si="4"/>
        <v>10.588742421786387</v>
      </c>
      <c r="AM12" s="59">
        <f t="shared" si="5"/>
        <v>278.25540908845306</v>
      </c>
      <c r="AN12" s="59">
        <f ca="1">AVERAGE(OFFSET($AM$3,0,0,'Données projet'!$E$10+1,1))-AVERAGE(OFFSET($H$3,0,0,'Données projet'!$E$10+1,1))</f>
        <v>237.03649693529445</v>
      </c>
      <c r="AO12" s="59">
        <f t="shared" si="36"/>
        <v>191.04289411674887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4.9084615384615384</v>
      </c>
      <c r="N13" s="13">
        <f>IF('Données projet'!$A$36&gt;35,N12+M13-V12,IF(A13&lt;'Données projet'!$A$36,$K$205^A13,IF(A13='Données projet'!$A$36,'Données projet'!$B$36,N12+M13-V12)))</f>
        <v>5.2806682243912917</v>
      </c>
      <c r="O13" s="13">
        <f>N13*VLOOKUP('Données projet'!$B$9,Paramètres!$A$1:$I$89,3,0)*VLOOKUP('Données projet'!$B$9,Paramètres!$A$1:$I$89,5,0)</f>
        <v>2.4713527290151243</v>
      </c>
      <c r="P13" s="13">
        <f t="shared" si="33"/>
        <v>1.0250597883345953</v>
      </c>
      <c r="Q13" s="20">
        <f t="shared" si="2"/>
        <v>6.0895851343840945</v>
      </c>
      <c r="R13" s="59">
        <f t="shared" si="0"/>
        <v>274.97847402327295</v>
      </c>
      <c r="S13" s="59">
        <f ca="1">AVERAGE(OFFSET($R$3,0,0,'Données projet'!$E$9+1,1))-AVERAGE(OFFSET($H$3,0,0,'Données projet'!$E$9+1,1))</f>
        <v>204.77882499755987</v>
      </c>
      <c r="T13" s="59">
        <f t="shared" si="34"/>
        <v>152.46480920430594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5.9083916083916082</v>
      </c>
      <c r="AI13" s="13">
        <f>IF('Données projet'!$A$62&gt;35,AI12+AH13-AQ12,IF(A13&lt;'Données projet'!$A$62,$AF$205^A13,IF(A13='Données projet'!$A$62,'Données projet'!$B$62,AI12+AH13-AQ12)))</f>
        <v>9.1381856916409276</v>
      </c>
      <c r="AJ13" s="13">
        <f>AI13*VLOOKUP('Données projet'!$B$10,Paramètres!$A$1:$I$89,3,0)*VLOOKUP('Données projet'!$B$10,Paramètres!$A$1:$I$89,5,0)</f>
        <v>5.4646350436012749</v>
      </c>
      <c r="AK13" s="13">
        <f t="shared" si="35"/>
        <v>2.0666222857072225</v>
      </c>
      <c r="AL13" s="20">
        <f t="shared" si="4"/>
        <v>13.116939848545632</v>
      </c>
      <c r="AM13" s="59">
        <f t="shared" si="5"/>
        <v>282.00582873743451</v>
      </c>
      <c r="AN13" s="59">
        <f ca="1">AVERAGE(OFFSET($AM$3,0,0,'Données projet'!$E$10+1,1))-AVERAGE(OFFSET($H$3,0,0,'Données projet'!$E$10+1,1))</f>
        <v>237.03649693529445</v>
      </c>
      <c r="AO13" s="59">
        <f t="shared" si="36"/>
        <v>191.04289411674887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4.9084615384615384</v>
      </c>
      <c r="N14" s="13">
        <f>IF('Données projet'!$A$36&gt;35,N13+M14-V13,IF(A14&lt;'Données projet'!$A$36,$K$205^A14,IF(A14='Données projet'!$A$36,'Données projet'!$B$36,N13+M14-V13)))</f>
        <v>6.2367418843040729</v>
      </c>
      <c r="O14" s="13">
        <f>N14*VLOOKUP('Données projet'!$B$9,Paramètres!$A$1:$I$89,3,0)*VLOOKUP('Données projet'!$B$9,Paramètres!$A$1:$I$89,5,0)</f>
        <v>2.9187952018543064</v>
      </c>
      <c r="P14" s="13">
        <f t="shared" si="33"/>
        <v>1.1874244488629264</v>
      </c>
      <c r="Q14" s="20">
        <f t="shared" si="2"/>
        <v>7.1516658916658464</v>
      </c>
      <c r="R14" s="59">
        <f t="shared" si="0"/>
        <v>277.262777002777</v>
      </c>
      <c r="S14" s="59">
        <f ca="1">AVERAGE(OFFSET($R$3,0,0,'Données projet'!$E$9+1,1))-AVERAGE(OFFSET($H$3,0,0,'Données projet'!$E$9+1,1))</f>
        <v>204.77882499755987</v>
      </c>
      <c r="T14" s="59">
        <f t="shared" si="34"/>
        <v>152.46480920430594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5.9083916083916082</v>
      </c>
      <c r="AI14" s="13">
        <f>IF('Données projet'!$A$62&gt;35,AI13+AH14-AQ13,IF(A14&lt;'Données projet'!$A$62,$AF$205^A14,IF(A14='Données projet'!$A$62,'Données projet'!$B$62,AI13+AH14-AQ13)))</f>
        <v>11.401079571014991</v>
      </c>
      <c r="AJ14" s="13">
        <f>AI14*VLOOKUP('Données projet'!$B$10,Paramètres!$A$1:$I$89,3,0)*VLOOKUP('Données projet'!$B$10,Paramètres!$A$1:$I$89,5,0)</f>
        <v>6.8178455834669647</v>
      </c>
      <c r="AK14" s="13">
        <f t="shared" si="35"/>
        <v>2.5128276146515063</v>
      </c>
      <c r="AL14" s="20">
        <f t="shared" si="4"/>
        <v>16.250922486723002</v>
      </c>
      <c r="AM14" s="59">
        <f t="shared" si="5"/>
        <v>286.36203359783417</v>
      </c>
      <c r="AN14" s="59">
        <f ca="1">AVERAGE(OFFSET($AM$3,0,0,'Données projet'!$E$10+1,1))-AVERAGE(OFFSET($H$3,0,0,'Données projet'!$E$10+1,1))</f>
        <v>237.03649693529445</v>
      </c>
      <c r="AO14" s="59">
        <f t="shared" si="36"/>
        <v>191.04289411674887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4.9084615384615384</v>
      </c>
      <c r="N15" s="13">
        <f>IF('Données projet'!$A$36&gt;35,N14+M15-V14,IF(A15&lt;'Données projet'!$A$36,$K$205^A15,IF(A15='Données projet'!$A$36,'Données projet'!$B$36,N14+M15-V14)))</f>
        <v>7.3659142514897171</v>
      </c>
      <c r="O15" s="13">
        <f>N15*VLOOKUP('Données projet'!$B$9,Paramètres!$A$1:$I$89,3,0)*VLOOKUP('Données projet'!$B$9,Paramètres!$A$1:$I$89,5,0)</f>
        <v>3.447247869697188</v>
      </c>
      <c r="P15" s="13">
        <f t="shared" si="33"/>
        <v>1.3755069097464061</v>
      </c>
      <c r="Q15" s="20">
        <f t="shared" si="2"/>
        <v>8.3996312408642595</v>
      </c>
      <c r="R15" s="59">
        <f t="shared" si="0"/>
        <v>279.73296457419758</v>
      </c>
      <c r="S15" s="59">
        <f ca="1">AVERAGE(OFFSET($R$3,0,0,'Données projet'!$E$9+1,1))-AVERAGE(OFFSET($H$3,0,0,'Données projet'!$E$9+1,1))</f>
        <v>204.77882499755987</v>
      </c>
      <c r="T15" s="59">
        <f t="shared" si="34"/>
        <v>152.46480920430594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5.9083916083916082</v>
      </c>
      <c r="AI15" s="13">
        <f>IF('Données projet'!$A$62&gt;35,AI14+AH15-AQ14,IF(A15&lt;'Données projet'!$A$62,$AF$205^A15,IF(A15='Données projet'!$A$62,'Données projet'!$B$62,AI14+AH15-AQ14)))</f>
        <v>14.224335089132365</v>
      </c>
      <c r="AJ15" s="13">
        <f>AI15*VLOOKUP('Données projet'!$B$10,Paramètres!$A$1:$I$89,3,0)*VLOOKUP('Données projet'!$B$10,Paramètres!$A$1:$I$89,5,0)</f>
        <v>8.5061523833011545</v>
      </c>
      <c r="AK15" s="13">
        <f t="shared" si="35"/>
        <v>3.0553733329137835</v>
      </c>
      <c r="AL15" s="20">
        <f t="shared" si="4"/>
        <v>20.136323955741016</v>
      </c>
      <c r="AM15" s="59">
        <f t="shared" si="5"/>
        <v>291.46965728907435</v>
      </c>
      <c r="AN15" s="59">
        <f ca="1">AVERAGE(OFFSET($AM$3,0,0,'Données projet'!$E$10+1,1))-AVERAGE(OFFSET($H$3,0,0,'Données projet'!$E$10+1,1))</f>
        <v>237.03649693529445</v>
      </c>
      <c r="AO15" s="59">
        <f t="shared" si="36"/>
        <v>191.04289411674887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4.9084615384615384</v>
      </c>
      <c r="N16" s="13">
        <f>IF('Données projet'!$A$36&gt;35,N15+M16-V15,IF(A16&lt;'Données projet'!$A$36,$K$205^A16,IF(A16='Données projet'!$A$36,'Données projet'!$B$36,N15+M16-V15)))</f>
        <v>8.6995251313584792</v>
      </c>
      <c r="O16" s="13">
        <f>N16*VLOOKUP('Données projet'!$B$9,Paramètres!$A$1:$I$89,3,0)*VLOOKUP('Données projet'!$B$9,Paramètres!$A$1:$I$89,5,0)</f>
        <v>4.0713777614757687</v>
      </c>
      <c r="P16" s="13">
        <f t="shared" si="33"/>
        <v>1.5933807498842545</v>
      </c>
      <c r="Q16" s="20">
        <f t="shared" si="2"/>
        <v>9.8661210739520406</v>
      </c>
      <c r="R16" s="59">
        <f t="shared" si="0"/>
        <v>282.4216766295076</v>
      </c>
      <c r="S16" s="59">
        <f ca="1">AVERAGE(OFFSET($R$3,0,0,'Données projet'!$E$9+1,1))-AVERAGE(OFFSET($H$3,0,0,'Données projet'!$E$9+1,1))</f>
        <v>204.77882499755987</v>
      </c>
      <c r="T16" s="59">
        <f t="shared" si="34"/>
        <v>152.46480920430594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5.9083916083916082</v>
      </c>
      <c r="AI16" s="13">
        <f>IF('Données projet'!$A$62&gt;35,AI15+AH16-AQ15,IF(A16&lt;'Données projet'!$A$62,$AF$205^A16,IF(A16='Données projet'!$A$62,'Données projet'!$B$62,AI15+AH16-AQ15)))</f>
        <v>17.746714902535278</v>
      </c>
      <c r="AJ16" s="13">
        <f>AI16*VLOOKUP('Données projet'!$B$10,Paramètres!$A$1:$I$89,3,0)*VLOOKUP('Données projet'!$B$10,Paramètres!$A$1:$I$89,5,0)</f>
        <v>10.612535511716098</v>
      </c>
      <c r="AK16" s="13">
        <f t="shared" si="35"/>
        <v>3.7150603364311414</v>
      </c>
      <c r="AL16" s="20">
        <f t="shared" si="4"/>
        <v>24.953896102189773</v>
      </c>
      <c r="AM16" s="59">
        <f t="shared" si="5"/>
        <v>297.50945165774533</v>
      </c>
      <c r="AN16" s="59">
        <f ca="1">AVERAGE(OFFSET($AM$3,0,0,'Données projet'!$E$10+1,1))-AVERAGE(OFFSET($H$3,0,0,'Données projet'!$E$10+1,1))</f>
        <v>237.03649693529445</v>
      </c>
      <c r="AO16" s="59">
        <f t="shared" si="36"/>
        <v>191.04289411674887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4.9084615384615384</v>
      </c>
      <c r="N17" s="13">
        <f>IF('Données projet'!$A$36&gt;35,N16+M17-V16,IF(A17&lt;'Données projet'!$A$36,$K$205^A17,IF(A17='Données projet'!$A$36,'Données projet'!$B$36,N16+M17-V16)))</f>
        <v>10.27458845259182</v>
      </c>
      <c r="O17" s="13">
        <f>N17*VLOOKUP('Données projet'!$B$9,Paramètres!$A$1:$I$89,3,0)*VLOOKUP('Données projet'!$B$9,Paramètres!$A$1:$I$89,5,0)</f>
        <v>4.8085073958129714</v>
      </c>
      <c r="P17" s="13">
        <f t="shared" si="33"/>
        <v>1.8457647839586531</v>
      </c>
      <c r="Q17" s="20">
        <f t="shared" si="2"/>
        <v>11.589524046435578</v>
      </c>
      <c r="R17" s="59">
        <f t="shared" si="0"/>
        <v>285.36730182421337</v>
      </c>
      <c r="S17" s="59">
        <f ca="1">AVERAGE(OFFSET($R$3,0,0,'Données projet'!$E$9+1,1))-AVERAGE(OFFSET($H$3,0,0,'Données projet'!$E$9+1,1))</f>
        <v>204.77882499755987</v>
      </c>
      <c r="T17" s="59">
        <f t="shared" si="34"/>
        <v>152.46480920430594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5.9083916083916082</v>
      </c>
      <c r="AI17" s="13">
        <f>IF('Données projet'!$A$62&gt;35,AI16+AH17-AQ16,IF(A17&lt;'Données projet'!$A$62,$AF$205^A17,IF(A17='Données projet'!$A$62,'Données projet'!$B$62,AI16+AH17-AQ16)))</f>
        <v>22.141343539670387</v>
      </c>
      <c r="AJ17" s="13">
        <f>AI17*VLOOKUP('Données projet'!$B$10,Paramètres!$A$1:$I$89,3,0)*VLOOKUP('Données projet'!$B$10,Paramètres!$A$1:$I$89,5,0)</f>
        <v>13.240523436722894</v>
      </c>
      <c r="AK17" s="13">
        <f t="shared" si="35"/>
        <v>4.5171806517541881</v>
      </c>
      <c r="AL17" s="20">
        <f t="shared" si="4"/>
        <v>30.928001287430916</v>
      </c>
      <c r="AM17" s="59">
        <f t="shared" si="5"/>
        <v>304.70577906520867</v>
      </c>
      <c r="AN17" s="59">
        <f ca="1">AVERAGE(OFFSET($AM$3,0,0,'Données projet'!$E$10+1,1))-AVERAGE(OFFSET($H$3,0,0,'Données projet'!$E$10+1,1))</f>
        <v>237.03649693529445</v>
      </c>
      <c r="AO17" s="59">
        <f t="shared" si="36"/>
        <v>191.04289411674887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4.9084615384615384</v>
      </c>
      <c r="N18" s="13">
        <f>IF('Données projet'!$A$36&gt;35,N17+M18-V17,IF(A18&lt;'Données projet'!$A$36,$K$205^A18,IF(A18='Données projet'!$A$36,'Données projet'!$B$36,N17+M18-V17)))</f>
        <v>12.134819576485119</v>
      </c>
      <c r="O18" s="13">
        <f>N18*VLOOKUP('Données projet'!$B$9,Paramètres!$A$1:$I$89,3,0)*VLOOKUP('Données projet'!$B$9,Paramètres!$A$1:$I$89,5,0)</f>
        <v>5.6790955617950356</v>
      </c>
      <c r="P18" s="13">
        <f t="shared" si="33"/>
        <v>2.1381252647550886</v>
      </c>
      <c r="Q18" s="20">
        <f t="shared" si="2"/>
        <v>13.614992939574798</v>
      </c>
      <c r="R18" s="59">
        <f t="shared" si="0"/>
        <v>288.61499293957479</v>
      </c>
      <c r="S18" s="59">
        <f ca="1">AVERAGE(OFFSET($R$3,0,0,'Données projet'!$E$9+1,1))-AVERAGE(OFFSET($H$3,0,0,'Données projet'!$E$9+1,1))</f>
        <v>204.77882499755987</v>
      </c>
      <c r="T18" s="59">
        <f t="shared" si="34"/>
        <v>152.46480920430594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5.9083916083916082</v>
      </c>
      <c r="AI18" s="13">
        <f>IF('Données projet'!$A$62&gt;35,AI17+AH18-AQ17,IF(A18&lt;'Données projet'!$A$62,$AF$205^A18,IF(A18='Données projet'!$A$62,'Données projet'!$B$62,AI17+AH18-AQ17)))</f>
        <v>27.62421644986637</v>
      </c>
      <c r="AJ18" s="13">
        <f>AI18*VLOOKUP('Données projet'!$B$10,Paramètres!$A$1:$I$89,3,0)*VLOOKUP('Données projet'!$B$10,Paramètres!$A$1:$I$89,5,0)</f>
        <v>16.519281437020091</v>
      </c>
      <c r="AK18" s="13">
        <f t="shared" si="35"/>
        <v>5.4924871180381194</v>
      </c>
      <c r="AL18" s="20">
        <f t="shared" si="4"/>
        <v>38.337163566726382</v>
      </c>
      <c r="AM18" s="59">
        <f t="shared" si="5"/>
        <v>313.33716356672636</v>
      </c>
      <c r="AN18" s="59">
        <f ca="1">AVERAGE(OFFSET($AM$3,0,0,'Données projet'!$E$10+1,1))-AVERAGE(OFFSET($H$3,0,0,'Données projet'!$E$10+1,1))</f>
        <v>237.03649693529445</v>
      </c>
      <c r="AO18" s="59">
        <f t="shared" si="36"/>
        <v>191.04289411674887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4.9084615384615384</v>
      </c>
      <c r="N19" s="13">
        <f>IF('Données projet'!$A$36&gt;35,N18+M19-V18,IF(A19&lt;'Données projet'!$A$36,$K$205^A19,IF(A19='Données projet'!$A$36,'Données projet'!$B$36,N18+M19-V18)))</f>
        <v>14.331848602335111</v>
      </c>
      <c r="O19" s="13">
        <f>N19*VLOOKUP('Données projet'!$B$9,Paramètres!$A$1:$I$89,3,0)*VLOOKUP('Données projet'!$B$9,Paramètres!$A$1:$I$89,5,0)</f>
        <v>6.7073051458928319</v>
      </c>
      <c r="P19" s="13">
        <f t="shared" si="33"/>
        <v>2.4767942738506736</v>
      </c>
      <c r="Q19" s="20">
        <f t="shared" si="2"/>
        <v>15.995639822719939</v>
      </c>
      <c r="R19" s="59">
        <f t="shared" si="0"/>
        <v>292.21786204494219</v>
      </c>
      <c r="S19" s="59">
        <f ca="1">AVERAGE(OFFSET($R$3,0,0,'Données projet'!$E$9+1,1))-AVERAGE(OFFSET($H$3,0,0,'Données projet'!$E$9+1,1))</f>
        <v>204.77882499755987</v>
      </c>
      <c r="T19" s="59">
        <f t="shared" si="34"/>
        <v>152.46480920430594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5.9083916083916082</v>
      </c>
      <c r="AI19" s="13">
        <f>IF('Données projet'!$A$62&gt;35,AI18+AH19-AQ18,IF(A19&lt;'Données projet'!$A$62,$AF$205^A19,IF(A19='Données projet'!$A$62,'Données projet'!$B$62,AI18+AH19-AQ18)))</f>
        <v>34.464816152725106</v>
      </c>
      <c r="AJ19" s="13">
        <f>AI19*VLOOKUP('Données projet'!$B$10,Paramètres!$A$1:$I$89,3,0)*VLOOKUP('Données projet'!$B$10,Paramètres!$A$1:$I$89,5,0)</f>
        <v>20.609960059329616</v>
      </c>
      <c r="AK19" s="13">
        <f t="shared" si="35"/>
        <v>6.6783724334999919</v>
      </c>
      <c r="AL19" s="20">
        <f t="shared" si="4"/>
        <v>47.527179091678228</v>
      </c>
      <c r="AM19" s="59">
        <f t="shared" si="5"/>
        <v>323.74940131390048</v>
      </c>
      <c r="AN19" s="59">
        <f ca="1">AVERAGE(OFFSET($AM$3,0,0,'Données projet'!$E$10+1,1))-AVERAGE(OFFSET($H$3,0,0,'Données projet'!$E$10+1,1))</f>
        <v>237.03649693529445</v>
      </c>
      <c r="AO19" s="59">
        <f t="shared" si="36"/>
        <v>191.04289411674887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4.9084615384615384</v>
      </c>
      <c r="N20" s="13">
        <f>IF('Données projet'!$A$36&gt;35,N19+M20-V19,IF(A20&lt;'Données projet'!$A$36,$K$205^A20,IF(A20='Données projet'!$A$36,'Données projet'!$B$36,N19+M20-V19)))</f>
        <v>16.926653343761537</v>
      </c>
      <c r="O20" s="13">
        <f>N20*VLOOKUP('Données projet'!$B$9,Paramètres!$A$1:$I$89,3,0)*VLOOKUP('Données projet'!$B$9,Paramètres!$A$1:$I$89,5,0)</f>
        <v>7.9216737648803992</v>
      </c>
      <c r="P20" s="13">
        <f t="shared" si="33"/>
        <v>2.8691068648319642</v>
      </c>
      <c r="Q20" s="20">
        <f t="shared" si="2"/>
        <v>18.793942930082366</v>
      </c>
      <c r="R20" s="59">
        <f t="shared" si="0"/>
        <v>296.23838737452684</v>
      </c>
      <c r="S20" s="59">
        <f ca="1">AVERAGE(OFFSET($R$3,0,0,'Données projet'!$E$9+1,1))-AVERAGE(OFFSET($H$3,0,0,'Données projet'!$E$9+1,1))</f>
        <v>204.77882499755987</v>
      </c>
      <c r="T20" s="59">
        <f t="shared" si="34"/>
        <v>152.46480920430594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5.9083916083916082</v>
      </c>
      <c r="AI20" s="13">
        <f>IF('Données projet'!$A$62&gt;35,AI19+AH20-AQ19,IF(A20&lt;'Données projet'!$A$62,$AF$205^A20,IF(A20='Données projet'!$A$62,'Données projet'!$B$62,AI19+AH20-AQ19)))</f>
        <v>42.999357270344852</v>
      </c>
      <c r="AJ20" s="13">
        <f>AI20*VLOOKUP('Données projet'!$B$10,Paramètres!$A$1:$I$89,3,0)*VLOOKUP('Données projet'!$B$10,Paramètres!$A$1:$I$89,5,0)</f>
        <v>25.71361564766622</v>
      </c>
      <c r="AK20" s="13">
        <f t="shared" si="35"/>
        <v>8.1203027703164814</v>
      </c>
      <c r="AL20" s="20">
        <f t="shared" si="4"/>
        <v>58.927407911319868</v>
      </c>
      <c r="AM20" s="59">
        <f t="shared" si="5"/>
        <v>336.3718523557643</v>
      </c>
      <c r="AN20" s="59">
        <f ca="1">AVERAGE(OFFSET($AM$3,0,0,'Données projet'!$E$10+1,1))-AVERAGE(OFFSET($H$3,0,0,'Données projet'!$E$10+1,1))</f>
        <v>237.03649693529445</v>
      </c>
      <c r="AO20" s="59">
        <f t="shared" si="36"/>
        <v>191.04289411674887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4.9084615384615384</v>
      </c>
      <c r="N21" s="13">
        <f>IF('Données projet'!$A$36&gt;35,N20+M21-V20,IF(A21&lt;'Données projet'!$A$36,$K$205^A21,IF(A21='Données projet'!$A$36,'Données projet'!$B$36,N20+M21-V20)))</f>
        <v>19.991251747746755</v>
      </c>
      <c r="O21" s="13">
        <f>N21*VLOOKUP('Données projet'!$B$9,Paramètres!$A$1:$I$89,3,0)*VLOOKUP('Données projet'!$B$9,Paramètres!$A$1:$I$89,5,0)</f>
        <v>9.3559058179454802</v>
      </c>
      <c r="P21" s="13">
        <f t="shared" si="33"/>
        <v>3.3235599293549551</v>
      </c>
      <c r="Q21" s="20">
        <f t="shared" si="2"/>
        <v>22.083402843214927</v>
      </c>
      <c r="R21" s="59">
        <f t="shared" si="0"/>
        <v>300.7500695098816</v>
      </c>
      <c r="S21" s="59">
        <f ca="1">AVERAGE(OFFSET($R$3,0,0,'Données projet'!$E$9+1,1))-AVERAGE(OFFSET($H$3,0,0,'Données projet'!$E$9+1,1))</f>
        <v>204.77882499755987</v>
      </c>
      <c r="T21" s="59">
        <f t="shared" si="34"/>
        <v>152.46480920430594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5.9083916083916082</v>
      </c>
      <c r="AI21" s="13">
        <f>IF('Données projet'!$A$62&gt;35,AI20+AH21-AQ20,IF(A21&lt;'Données projet'!$A$62,$AF$205^A21,IF(A21='Données projet'!$A$62,'Données projet'!$B$62,AI20+AH21-AQ20)))</f>
        <v>53.64731143405691</v>
      </c>
      <c r="AJ21" s="13">
        <f>AI21*VLOOKUP('Données projet'!$B$10,Paramètres!$A$1:$I$89,3,0)*VLOOKUP('Données projet'!$B$10,Paramètres!$A$1:$I$89,5,0)</f>
        <v>32.081092237566033</v>
      </c>
      <c r="AK21" s="13">
        <f t="shared" si="35"/>
        <v>9.8735609219464049</v>
      </c>
      <c r="AL21" s="20">
        <f t="shared" si="4"/>
        <v>73.071020919484155</v>
      </c>
      <c r="AM21" s="59">
        <f t="shared" si="5"/>
        <v>351.73768758615086</v>
      </c>
      <c r="AN21" s="59">
        <f ca="1">AVERAGE(OFFSET($AM$3,0,0,'Données projet'!$E$10+1,1))-AVERAGE(OFFSET($H$3,0,0,'Données projet'!$E$10+1,1))</f>
        <v>237.03649693529445</v>
      </c>
      <c r="AO21" s="59">
        <f t="shared" si="36"/>
        <v>191.04289411674887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4.9084615384615384</v>
      </c>
      <c r="N22" s="13">
        <f>IF('Données projet'!$A$36&gt;35,N21+M22-V21,IF(A22&lt;'Données projet'!$A$36,$K$205^A22,IF(A22='Données projet'!$A$36,'Données projet'!$B$36,N21+M22-V21)))</f>
        <v>23.610700728923604</v>
      </c>
      <c r="O22" s="13">
        <f>N22*VLOOKUP('Données projet'!$B$9,Paramètres!$A$1:$I$89,3,0)*VLOOKUP('Données projet'!$B$9,Paramètres!$A$1:$I$89,5,0)</f>
        <v>11.049807941136248</v>
      </c>
      <c r="P22" s="13">
        <f t="shared" si="33"/>
        <v>3.8499962268435248</v>
      </c>
      <c r="Q22" s="20">
        <f t="shared" si="2"/>
        <v>25.950492259231435</v>
      </c>
      <c r="R22" s="59">
        <f t="shared" si="0"/>
        <v>305.83938114812031</v>
      </c>
      <c r="S22" s="59">
        <f ca="1">AVERAGE(OFFSET($R$3,0,0,'Données projet'!$E$9+1,1))-AVERAGE(OFFSET($H$3,0,0,'Données projet'!$E$9+1,1))</f>
        <v>204.77882499755987</v>
      </c>
      <c r="T22" s="59">
        <f t="shared" si="34"/>
        <v>152.46480920430594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5.9083916083916082</v>
      </c>
      <c r="AI22" s="13">
        <f>IF('Données projet'!$A$62&gt;35,AI21+AH22-AQ21,IF(A22&lt;'Données projet'!$A$62,$AF$205^A22,IF(A22='Données projet'!$A$62,'Données projet'!$B$62,AI21+AH22-AQ21)))</f>
        <v>66.932024262780615</v>
      </c>
      <c r="AJ22" s="13">
        <f>AI22*VLOOKUP('Données projet'!$B$10,Paramètres!$A$1:$I$89,3,0)*VLOOKUP('Données projet'!$B$10,Paramètres!$A$1:$I$89,5,0)</f>
        <v>40.025350509142811</v>
      </c>
      <c r="AK22" s="13">
        <f t="shared" si="35"/>
        <v>12.005365814160106</v>
      </c>
      <c r="AL22" s="20">
        <f t="shared" si="4"/>
        <v>90.620164263085925</v>
      </c>
      <c r="AM22" s="59">
        <f t="shared" si="5"/>
        <v>370.5090531519748</v>
      </c>
      <c r="AN22" s="59">
        <f ca="1">AVERAGE(OFFSET($AM$3,0,0,'Données projet'!$E$10+1,1))-AVERAGE(OFFSET($H$3,0,0,'Données projet'!$E$10+1,1))</f>
        <v>237.03649693529445</v>
      </c>
      <c r="AO22" s="59">
        <f t="shared" si="36"/>
        <v>191.04289411674887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4.9084615384615384</v>
      </c>
      <c r="N23" s="13">
        <f>IF('Données projet'!$A$36&gt;35,N22+M23-V22,IF(A23&lt;'Données projet'!$A$36,$K$205^A23,IF(A23='Données projet'!$A$36,'Données projet'!$B$36,N22+M23-V22)))</f>
        <v>27.885456896095882</v>
      </c>
      <c r="O23" s="13">
        <f>N23*VLOOKUP('Données projet'!$B$9,Paramètres!$A$1:$I$89,3,0)*VLOOKUP('Données projet'!$B$9,Paramètres!$A$1:$I$89,5,0)</f>
        <v>13.050393827372874</v>
      </c>
      <c r="P23" s="13">
        <f t="shared" si="33"/>
        <v>4.459817563628576</v>
      </c>
      <c r="Q23" s="20">
        <f t="shared" si="2"/>
        <v>30.49695150599419</v>
      </c>
      <c r="R23" s="59">
        <f t="shared" si="0"/>
        <v>311.60806261710536</v>
      </c>
      <c r="S23" s="59">
        <f ca="1">AVERAGE(OFFSET($R$3,0,0,'Données projet'!$E$9+1,1))-AVERAGE(OFFSET($H$3,0,0,'Données projet'!$E$9+1,1))</f>
        <v>204.77882499755987</v>
      </c>
      <c r="T23" s="59">
        <f t="shared" si="34"/>
        <v>152.46480920430594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5.9083916083916082</v>
      </c>
      <c r="AI23" s="13">
        <f>IF('Données projet'!$A$62&gt;35,AI22+AH23-AQ22,IF(A23&lt;'Données projet'!$A$62,$AF$205^A23,IF(A23='Données projet'!$A$62,'Données projet'!$B$62,AI22+AH23-AQ22)))</f>
        <v>83.506437734910989</v>
      </c>
      <c r="AJ23" s="13">
        <f>AI23*VLOOKUP('Données projet'!$B$10,Paramètres!$A$1:$I$89,3,0)*VLOOKUP('Données projet'!$B$10,Paramètres!$A$1:$I$89,5,0)</f>
        <v>49.936849765476779</v>
      </c>
      <c r="AK23" s="13">
        <f t="shared" si="35"/>
        <v>14.597449640629918</v>
      </c>
      <c r="AL23" s="20">
        <f t="shared" si="4"/>
        <v>112.39723813230249</v>
      </c>
      <c r="AM23" s="59">
        <f t="shared" si="5"/>
        <v>393.50834924341365</v>
      </c>
      <c r="AN23" s="59">
        <f ca="1">AVERAGE(OFFSET($AM$3,0,0,'Données projet'!$E$10+1,1))-AVERAGE(OFFSET($H$3,0,0,'Données projet'!$E$10+1,1))</f>
        <v>237.03649693529445</v>
      </c>
      <c r="AO23" s="59">
        <f t="shared" si="36"/>
        <v>191.04289411674887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4.9084615384615384</v>
      </c>
      <c r="N24" s="13">
        <f>IF('Données projet'!$A$36&gt;35,N23+M24-V23,IF(A24&lt;'Données projet'!$A$36,$K$205^A24,IF(A24='Données projet'!$A$36,'Données projet'!$B$36,N23+M24-V23)))</f>
        <v>32.934164692174789</v>
      </c>
      <c r="O24" s="13">
        <f>N24*VLOOKUP('Données projet'!$B$9,Paramètres!$A$1:$I$89,3,0)*VLOOKUP('Données projet'!$B$9,Paramètres!$A$1:$I$89,5,0)</f>
        <v>15.413189075937803</v>
      </c>
      <c r="P24" s="13">
        <f t="shared" si="33"/>
        <v>5.166231738662507</v>
      </c>
      <c r="Q24" s="20">
        <f t="shared" si="2"/>
        <v>35.842491252095542</v>
      </c>
      <c r="R24" s="59">
        <f t="shared" si="0"/>
        <v>318.17582458542887</v>
      </c>
      <c r="S24" s="59">
        <f ca="1">AVERAGE(OFFSET($R$3,0,0,'Données projet'!$E$9+1,1))-AVERAGE(OFFSET($H$3,0,0,'Données projet'!$E$9+1,1))</f>
        <v>204.77882499755987</v>
      </c>
      <c r="T24" s="59">
        <f t="shared" si="34"/>
        <v>152.46480920430594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5.9083916083916082</v>
      </c>
      <c r="AI24" s="13">
        <f>IF('Données projet'!$A$62&gt;35,AI23+AH24-AQ23,IF(A24&lt;'Données projet'!$A$62,$AF$205^A24,IF(A24='Données projet'!$A$62,'Données projet'!$B$62,AI23+AH24-AQ23)))</f>
        <v>104.18518220510889</v>
      </c>
      <c r="AJ24" s="13">
        <f>AI24*VLOOKUP('Données projet'!$B$10,Paramètres!$A$1:$I$89,3,0)*VLOOKUP('Données projet'!$B$10,Paramètres!$A$1:$I$89,5,0)</f>
        <v>62.302738958655119</v>
      </c>
      <c r="AK24" s="13">
        <f t="shared" si="35"/>
        <v>17.749191429002199</v>
      </c>
      <c r="AL24" s="20">
        <f t="shared" si="4"/>
        <v>139.42377875850318</v>
      </c>
      <c r="AM24" s="59">
        <f t="shared" si="5"/>
        <v>421.75711209183646</v>
      </c>
      <c r="AN24" s="59">
        <f ca="1">AVERAGE(OFFSET($AM$3,0,0,'Données projet'!$E$10+1,1))-AVERAGE(OFFSET($H$3,0,0,'Données projet'!$E$10+1,1))</f>
        <v>237.03649693529445</v>
      </c>
      <c r="AO24" s="59">
        <f t="shared" si="36"/>
        <v>191.04289411674887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4.9084615384615384</v>
      </c>
      <c r="N25" s="13">
        <f>IF('Données projet'!$A$36&gt;35,N24+M25-V24,IF(A25&lt;'Données projet'!$A$36,$K$205^A25,IF(A25='Données projet'!$A$36,'Données projet'!$B$36,N24+M25-V24)))</f>
        <v>38.896949331432715</v>
      </c>
      <c r="O25" s="13">
        <f>N25*VLOOKUP('Données projet'!$B$9,Paramètres!$A$1:$I$89,3,0)*VLOOKUP('Données projet'!$B$9,Paramètres!$A$1:$I$89,5,0)</f>
        <v>18.20377228711051</v>
      </c>
      <c r="P25" s="13">
        <f t="shared" si="33"/>
        <v>5.9845386042761088</v>
      </c>
      <c r="Q25" s="20">
        <f t="shared" si="2"/>
        <v>42.127974802498365</v>
      </c>
      <c r="R25" s="59">
        <f t="shared" si="0"/>
        <v>325.68353035805393</v>
      </c>
      <c r="S25" s="59">
        <f ca="1">AVERAGE(OFFSET($R$3,0,0,'Données projet'!$E$9+1,1))-AVERAGE(OFFSET($H$3,0,0,'Données projet'!$E$9+1,1))</f>
        <v>204.77882499755987</v>
      </c>
      <c r="T25" s="59">
        <f t="shared" si="34"/>
        <v>152.46480920430594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129.98461538461538</v>
      </c>
      <c r="AG25" s="12">
        <f>VLOOKUP(A25,'Données projet'!$A$61:$I$81,9,0)</f>
        <v>5.9083916083916082</v>
      </c>
      <c r="AH25" s="12">
        <f t="array" ref="AH25">INDEX(AG:AG,MIN(IF(ISNUMBER(AG25:AG221),ROW(AG25:AG221),"")))</f>
        <v>5.9083916083916082</v>
      </c>
      <c r="AI25" s="13">
        <f>IF('Données projet'!$A$62&gt;35,AI24+AH25-AQ24,IF(A25&lt;'Données projet'!$A$62,$AF$205^A25,IF(A25='Données projet'!$A$62,'Données projet'!$B$62,AI24+AH25-AQ24)))</f>
        <v>129.98461538461538</v>
      </c>
      <c r="AJ25" s="13">
        <f>AI25*VLOOKUP('Données projet'!$B$10,Paramètres!$A$1:$I$89,3,0)*VLOOKUP('Données projet'!$B$10,Paramètres!$A$1:$I$89,5,0)</f>
        <v>77.730800000000002</v>
      </c>
      <c r="AK25" s="13">
        <f t="shared" si="35"/>
        <v>21.581427176601697</v>
      </c>
      <c r="AL25" s="20">
        <f t="shared" si="4"/>
        <v>172.96879566591463</v>
      </c>
      <c r="AM25" s="59">
        <f t="shared" si="5"/>
        <v>456.52435122147017</v>
      </c>
      <c r="AN25" s="59">
        <f ca="1">AVERAGE(OFFSET($AM$3,0,0,'Données projet'!$E$10+1,1))-AVERAGE(OFFSET($H$3,0,0,'Données projet'!$E$10+1,1))</f>
        <v>237.03649693529445</v>
      </c>
      <c r="AO25" s="59">
        <f t="shared" si="36"/>
        <v>191.04289411674887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52.746153846153838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0.25200000000000006</v>
      </c>
      <c r="AT25" s="16">
        <f>IF(ISNA(VLOOKUP(A25,'Données projet'!$A$61:$I$81,7,0)),0%,VLOOKUP(A25,'Données projet'!$A$61:$I$81,7,0))</f>
        <v>0.44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10.502858638823966</v>
      </c>
      <c r="AW25" s="21">
        <f>EXP(-LN(2)/2)*AW24+(1-EXP(-LN(2)/2))/(LN(2)/2)*AQ25*AT25*VLOOKUP('Données projet'!$B$10,Paramètres!$A$1:$I$89,3,0)*0.475*44/12</f>
        <v>15.713762933017286</v>
      </c>
      <c r="AX25" s="21">
        <f t="shared" si="6"/>
        <v>26.216621571841252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4.9084615384615384</v>
      </c>
      <c r="N26" s="13">
        <f>IF('Données projet'!$A$36&gt;35,N25+M26-V25,IF(A26&lt;'Données projet'!$A$36,$K$205^A26,IF(A26='Données projet'!$A$36,'Données projet'!$B$36,N25+M26-V25)))</f>
        <v>45.939305928458197</v>
      </c>
      <c r="O26" s="13">
        <f>N26*VLOOKUP('Données projet'!$B$9,Paramètres!$A$1:$I$89,3,0)*VLOOKUP('Données projet'!$B$9,Paramètres!$A$1:$I$89,5,0)</f>
        <v>21.499595174518436</v>
      </c>
      <c r="P26" s="13">
        <f t="shared" si="33"/>
        <v>6.9324614376170377</v>
      </c>
      <c r="Q26" s="20">
        <f t="shared" si="2"/>
        <v>49.51916526613595</v>
      </c>
      <c r="R26" s="59">
        <f t="shared" si="0"/>
        <v>334.2969430439137</v>
      </c>
      <c r="S26" s="59">
        <f ca="1">AVERAGE(OFFSET($R$3,0,0,'Données projet'!$E$9+1,1))-AVERAGE(OFFSET($H$3,0,0,'Données projet'!$E$9+1,1))</f>
        <v>204.77882499755987</v>
      </c>
      <c r="T26" s="59">
        <f t="shared" si="34"/>
        <v>152.46480920430594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12.695384615384615</v>
      </c>
      <c r="AI26" s="13">
        <f>IF('Données projet'!$A$62&gt;35,AI25+AH26-AQ25,IF(A26&lt;'Données projet'!$A$62,$AF$205^A26,IF(A26='Données projet'!$A$62,'Données projet'!$B$62,AI25+AH26-AQ25)))</f>
        <v>89.933846153846162</v>
      </c>
      <c r="AJ26" s="13">
        <f>AI26*VLOOKUP('Données projet'!$B$10,Paramètres!$A$1:$I$89,3,0)*VLOOKUP('Données projet'!$B$10,Paramètres!$A$1:$I$89,5,0)</f>
        <v>53.780440000000013</v>
      </c>
      <c r="AK26" s="13">
        <f t="shared" si="35"/>
        <v>15.5858948320701</v>
      </c>
      <c r="AL26" s="20">
        <f t="shared" si="4"/>
        <v>120.81303316585546</v>
      </c>
      <c r="AM26" s="59">
        <f t="shared" si="5"/>
        <v>405.59081094363324</v>
      </c>
      <c r="AN26" s="59">
        <f ca="1">AVERAGE(OFFSET($AM$3,0,0,'Données projet'!$E$10+1,1))-AVERAGE(OFFSET($H$3,0,0,'Données projet'!$E$10+1,1))</f>
        <v>237.03649693529445</v>
      </c>
      <c r="AO26" s="59">
        <f t="shared" si="36"/>
        <v>191.04289411674887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10.215657417023994</v>
      </c>
      <c r="AW26" s="21">
        <f>EXP(-LN(2)/2)*AW25+(1-EXP(-LN(2)/2))/(LN(2)/2)*AQ26*AT26*VLOOKUP('Données projet'!$B$10,Paramètres!$A$1:$I$89,3,0)*0.475*44/12</f>
        <v>11.111308327894335</v>
      </c>
      <c r="AX26" s="21">
        <f t="shared" si="6"/>
        <v>21.326965744918329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4.9084615384615384</v>
      </c>
      <c r="N27" s="13">
        <f>IF('Données projet'!$A$36&gt;35,N26+M27-V26,IF(A27&lt;'Données projet'!$A$36,$K$205^A27,IF(A27='Données projet'!$A$36,'Données projet'!$B$36,N26+M27-V26)))</f>
        <v>54.256692760299323</v>
      </c>
      <c r="O27" s="13">
        <f>N27*VLOOKUP('Données projet'!$B$9,Paramètres!$A$1:$I$89,3,0)*VLOOKUP('Données projet'!$B$9,Paramètres!$A$1:$I$89,5,0)</f>
        <v>25.392132211820083</v>
      </c>
      <c r="P27" s="13">
        <f t="shared" si="33"/>
        <v>8.0305307997692346</v>
      </c>
      <c r="Q27" s="20">
        <f t="shared" si="2"/>
        <v>58.211138078518069</v>
      </c>
      <c r="R27" s="59">
        <f t="shared" si="0"/>
        <v>344.21113807851805</v>
      </c>
      <c r="S27" s="59">
        <f ca="1">AVERAGE(OFFSET($R$3,0,0,'Données projet'!$E$9+1,1))-AVERAGE(OFFSET($H$3,0,0,'Données projet'!$E$9+1,1))</f>
        <v>204.77882499755987</v>
      </c>
      <c r="T27" s="59">
        <f t="shared" si="34"/>
        <v>152.46480920430594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12.695384615384615</v>
      </c>
      <c r="AI27" s="13">
        <f>IF('Données projet'!$A$62&gt;35,AI26+AH27-AQ26,IF(A27&lt;'Données projet'!$A$62,$AF$205^A27,IF(A27='Données projet'!$A$62,'Données projet'!$B$62,AI26+AH27-AQ26)))</f>
        <v>102.62923076923077</v>
      </c>
      <c r="AJ27" s="13">
        <f>AI27*VLOOKUP('Données projet'!$B$10,Paramètres!$A$1:$I$89,3,0)*VLOOKUP('Données projet'!$B$10,Paramètres!$A$1:$I$89,5,0)</f>
        <v>61.372280000000011</v>
      </c>
      <c r="AK27" s="13">
        <f t="shared" si="35"/>
        <v>17.514766499235456</v>
      </c>
      <c r="AL27" s="20">
        <f t="shared" si="4"/>
        <v>137.39493931950179</v>
      </c>
      <c r="AM27" s="59">
        <f t="shared" si="5"/>
        <v>423.39493931950176</v>
      </c>
      <c r="AN27" s="59">
        <f ca="1">AVERAGE(OFFSET($AM$3,0,0,'Données projet'!$E$10+1,1))-AVERAGE(OFFSET($H$3,0,0,'Données projet'!$E$10+1,1))</f>
        <v>237.03649693529445</v>
      </c>
      <c r="AO27" s="59">
        <f t="shared" si="36"/>
        <v>191.04289411674887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9.9363097277373971</v>
      </c>
      <c r="AW27" s="21">
        <f>EXP(-LN(2)/2)*AW26+(1-EXP(-LN(2)/2))/(LN(2)/2)*AQ27*AT27*VLOOKUP('Données projet'!$B$10,Paramètres!$A$1:$I$89,3,0)*0.475*44/12</f>
        <v>7.8568814665086437</v>
      </c>
      <c r="AX27" s="21">
        <f t="shared" si="6"/>
        <v>17.793191194246042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4.9084615384615384</v>
      </c>
      <c r="N28" s="13">
        <f>IF('Données projet'!$A$36&gt;35,N27+M28-V27,IF(A28&lt;'Données projet'!$A$36,$K$205^A28,IF(A28='Données projet'!$A$36,'Données projet'!$B$36,N27+M28-V27)))</f>
        <v>64.079956146266369</v>
      </c>
      <c r="O28" s="13">
        <f>N28*VLOOKUP('Données projet'!$B$9,Paramètres!$A$1:$I$89,3,0)*VLOOKUP('Données projet'!$B$9,Paramètres!$A$1:$I$89,5,0)</f>
        <v>29.98941947645266</v>
      </c>
      <c r="P28" s="13">
        <f t="shared" si="33"/>
        <v>9.3025291963556676</v>
      </c>
      <c r="Q28" s="20">
        <f t="shared" si="2"/>
        <v>68.433477271807831</v>
      </c>
      <c r="R28" s="59">
        <f t="shared" si="0"/>
        <v>355.65569949403005</v>
      </c>
      <c r="S28" s="59">
        <f ca="1">AVERAGE(OFFSET($R$3,0,0,'Données projet'!$E$9+1,1))-AVERAGE(OFFSET($H$3,0,0,'Données projet'!$E$9+1,1))</f>
        <v>204.77882499755987</v>
      </c>
      <c r="T28" s="59">
        <f t="shared" si="34"/>
        <v>152.46480920430594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12.695384615384615</v>
      </c>
      <c r="AI28" s="13">
        <f>IF('Données projet'!$A$62&gt;35,AI27+AH28-AQ27,IF(A28&lt;'Données projet'!$A$62,$AF$205^A28,IF(A28='Données projet'!$A$62,'Données projet'!$B$62,AI27+AH28-AQ27)))</f>
        <v>115.32461538461538</v>
      </c>
      <c r="AJ28" s="13">
        <f>AI28*VLOOKUP('Données projet'!$B$10,Paramètres!$A$1:$I$89,3,0)*VLOOKUP('Données projet'!$B$10,Paramètres!$A$1:$I$89,5,0)</f>
        <v>68.964120000000008</v>
      </c>
      <c r="AK28" s="13">
        <f t="shared" si="35"/>
        <v>19.415989273317052</v>
      </c>
      <c r="AL28" s="20">
        <f t="shared" si="4"/>
        <v>153.92869031769388</v>
      </c>
      <c r="AM28" s="59">
        <f t="shared" si="5"/>
        <v>441.15091253991613</v>
      </c>
      <c r="AN28" s="59">
        <f ca="1">AVERAGE(OFFSET($AM$3,0,0,'Données projet'!$E$10+1,1))-AVERAGE(OFFSET($H$3,0,0,'Données projet'!$E$10+1,1))</f>
        <v>237.03649693529445</v>
      </c>
      <c r="AO28" s="59">
        <f t="shared" si="36"/>
        <v>191.04289411674887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9.6646008157045991</v>
      </c>
      <c r="AW28" s="21">
        <f>EXP(-LN(2)/2)*AW27+(1-EXP(-LN(2)/2))/(LN(2)/2)*AQ28*AT28*VLOOKUP('Données projet'!$B$10,Paramètres!$A$1:$I$89,3,0)*0.475*44/12</f>
        <v>5.5556541639471684</v>
      </c>
      <c r="AX28" s="21">
        <f t="shared" si="6"/>
        <v>15.220254979651767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4.9084615384615384</v>
      </c>
      <c r="N29" s="13">
        <f>IF('Données projet'!$A$36&gt;35,N28+M29-V28,IF(A29&lt;'Données projet'!$A$36,$K$205^A29,IF(A29='Données projet'!$A$36,'Données projet'!$B$36,N28+M29-V28)))</f>
        <v>75.681737511137769</v>
      </c>
      <c r="O29" s="13">
        <f>N29*VLOOKUP('Données projet'!$B$9,Paramètres!$A$1:$I$89,3,0)*VLOOKUP('Données projet'!$B$9,Paramètres!$A$1:$I$89,5,0)</f>
        <v>35.419053155212474</v>
      </c>
      <c r="P29" s="13">
        <f t="shared" si="33"/>
        <v>10.776006170294048</v>
      </c>
      <c r="Q29" s="20">
        <f t="shared" si="2"/>
        <v>80.456394991923858</v>
      </c>
      <c r="R29" s="59">
        <f t="shared" si="0"/>
        <v>368.9008394363683</v>
      </c>
      <c r="S29" s="59">
        <f ca="1">AVERAGE(OFFSET($R$3,0,0,'Données projet'!$E$9+1,1))-AVERAGE(OFFSET($H$3,0,0,'Données projet'!$E$9+1,1))</f>
        <v>204.77882499755987</v>
      </c>
      <c r="T29" s="59">
        <f t="shared" si="34"/>
        <v>152.46480920430594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12.695384615384615</v>
      </c>
      <c r="AI29" s="13">
        <f>IF('Données projet'!$A$62&gt;35,AI28+AH29-AQ28,IF(A29&lt;'Données projet'!$A$62,$AF$205^A29,IF(A29='Données projet'!$A$62,'Données projet'!$B$62,AI28+AH29-AQ28)))</f>
        <v>128.02000000000001</v>
      </c>
      <c r="AJ29" s="13">
        <f>AI29*VLOOKUP('Données projet'!$B$10,Paramètres!$A$1:$I$89,3,0)*VLOOKUP('Données projet'!$B$10,Paramètres!$A$1:$I$89,5,0)</f>
        <v>76.555960000000013</v>
      </c>
      <c r="AK29" s="13">
        <f t="shared" si="35"/>
        <v>21.292953972936246</v>
      </c>
      <c r="AL29" s="20">
        <f t="shared" si="4"/>
        <v>170.42019183619729</v>
      </c>
      <c r="AM29" s="59">
        <f t="shared" si="5"/>
        <v>458.86463628064178</v>
      </c>
      <c r="AN29" s="59">
        <f ca="1">AVERAGE(OFFSET($AM$3,0,0,'Données projet'!$E$10+1,1))-AVERAGE(OFFSET($H$3,0,0,'Données projet'!$E$10+1,1))</f>
        <v>237.03649693529445</v>
      </c>
      <c r="AO29" s="59">
        <f t="shared" si="36"/>
        <v>191.04289411674887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9.4003217981598883</v>
      </c>
      <c r="AW29" s="21">
        <f>EXP(-LN(2)/2)*AW28+(1-EXP(-LN(2)/2))/(LN(2)/2)*AQ29*AT29*VLOOKUP('Données projet'!$B$10,Paramètres!$A$1:$I$89,3,0)*0.475*44/12</f>
        <v>3.9284407332543223</v>
      </c>
      <c r="AX29" s="21">
        <f t="shared" si="6"/>
        <v>13.32876253141421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4.9084615384615384</v>
      </c>
      <c r="N30" s="13">
        <f>IF('Données projet'!$A$36&gt;35,N29+M30-V29,IF(A30&lt;'Données projet'!$A$36,$K$205^A30,IF(A30='Données projet'!$A$36,'Données projet'!$B$36,N29+M30-V29)))</f>
        <v>89.384040457688172</v>
      </c>
      <c r="O30" s="13">
        <f>N30*VLOOKUP('Données projet'!$B$9,Paramètres!$A$1:$I$89,3,0)*VLOOKUP('Données projet'!$B$9,Paramètres!$A$1:$I$89,5,0)</f>
        <v>41.831730934198063</v>
      </c>
      <c r="P30" s="13">
        <f t="shared" si="33"/>
        <v>12.482874982828019</v>
      </c>
      <c r="Q30" s="20">
        <f t="shared" si="2"/>
        <v>94.597938638820423</v>
      </c>
      <c r="R30" s="59">
        <f t="shared" si="0"/>
        <v>384.26460530548712</v>
      </c>
      <c r="S30" s="59">
        <f ca="1">AVERAGE(OFFSET($R$3,0,0,'Données projet'!$E$9+1,1))-AVERAGE(OFFSET($H$3,0,0,'Données projet'!$E$9+1,1))</f>
        <v>204.77882499755987</v>
      </c>
      <c r="T30" s="59">
        <f t="shared" si="34"/>
        <v>152.46480920430594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140.71538461538461</v>
      </c>
      <c r="AG30" s="12">
        <f>VLOOKUP(A30,'Données projet'!$A$61:$I$81,9,0)</f>
        <v>12.695384615384615</v>
      </c>
      <c r="AH30" s="12">
        <f t="array" ref="AH30">INDEX(AG:AG,MIN(IF(ISNUMBER(AG30:AG226),ROW(AG30:AG226),"")))</f>
        <v>12.695384615384615</v>
      </c>
      <c r="AI30" s="13">
        <f>IF('Données projet'!$A$62&gt;35,AI29+AH30-AQ29,IF(A30&lt;'Données projet'!$A$62,$AF$205^A30,IF(A30='Données projet'!$A$62,'Données projet'!$B$62,AI29+AH30-AQ29)))</f>
        <v>140.71538461538464</v>
      </c>
      <c r="AJ30" s="13">
        <f>AI30*VLOOKUP('Données projet'!$B$10,Paramètres!$A$1:$I$89,3,0)*VLOOKUP('Données projet'!$B$10,Paramètres!$A$1:$I$89,5,0)</f>
        <v>84.147800000000018</v>
      </c>
      <c r="AK30" s="13">
        <f t="shared" si="35"/>
        <v>23.148340019013897</v>
      </c>
      <c r="AL30" s="20">
        <f t="shared" si="4"/>
        <v>186.8741105331159</v>
      </c>
      <c r="AM30" s="59">
        <f t="shared" si="5"/>
        <v>476.54077719978261</v>
      </c>
      <c r="AN30" s="59">
        <f ca="1">AVERAGE(OFFSET($AM$3,0,0,'Données projet'!$E$10+1,1))-AVERAGE(OFFSET($H$3,0,0,'Données projet'!$E$10+1,1))</f>
        <v>237.03649693529445</v>
      </c>
      <c r="AO30" s="59">
        <f t="shared" si="36"/>
        <v>191.04289411674887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34.646153846153844</v>
      </c>
      <c r="AR30" s="16">
        <f>IF(ISNA(VLOOKUP(A30,'Données projet'!$A$61:$I$81,5,0)),0%,VLOOKUP(A30,'Données projet'!$A$61:$I$81,5,0)*VLOOKUP('Données projet'!$B$10,Paramètres!$A$1:$I$89,7,0))</f>
        <v>0.315</v>
      </c>
      <c r="AS30" s="16">
        <f>IF(ISNA(VLOOKUP(A30,'Données projet'!$A$61:$I$81,6,0)),0%,VLOOKUP(A30,'Données projet'!$A$61:$I$81,6,0)*VLOOKUP('Données projet'!$B$10,Paramètres!$A$1:$I$89,7,0))</f>
        <v>7.5600000000000001E-2</v>
      </c>
      <c r="AT30" s="16">
        <f>IF(ISNA(VLOOKUP(A30,'Données projet'!$A$61:$I$81,7,0)),0%,VLOOKUP(A30,'Données projet'!$A$61:$I$81,7,0))</f>
        <v>0.13200000000000001</v>
      </c>
      <c r="AU30" s="21">
        <f>EXP(-LN(2)/35)*AU29+(1-EXP(-LN(2)/35))/(LN(2)/35)*AQ30*AR30*VLOOKUP('Données projet'!$B$10,Paramètres!$A$1:$I$89,3,0)*0.475*44/12</f>
        <v>8.6575522992772491</v>
      </c>
      <c r="AV30" s="21">
        <f>EXP(-LN(2)/25)*AV29+(1-EXP(-LN(2)/25))/(LN(2)/25)*Calculateur!AQ30*Calculateur!AS30*VLOOKUP('Données projet'!$B$10,Paramètres!$A$1:$I$89,3,0)*0.475*44/12</f>
        <v>11.212900916349115</v>
      </c>
      <c r="AW30" s="21">
        <f>EXP(-LN(2)/2)*AW29+(1-EXP(-LN(2)/2))/(LN(2)/2)*AQ30*AT30*VLOOKUP('Données projet'!$B$10,Paramètres!$A$1:$I$89,3,0)*0.475*44/12</f>
        <v>5.8742885775391311</v>
      </c>
      <c r="AX30" s="21">
        <f t="shared" si="6"/>
        <v>25.744741793165495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4.9084615384615384</v>
      </c>
      <c r="N31" s="13">
        <f>IF('Données projet'!$A$36&gt;35,N30+M31-V30,IF(A31&lt;'Données projet'!$A$36,$K$205^A31,IF(A31='Données projet'!$A$36,'Données projet'!$B$36,N30+M31-V30)))</f>
        <v>105.56716787013318</v>
      </c>
      <c r="O31" s="13">
        <f>N31*VLOOKUP('Données projet'!$B$9,Paramètres!$A$1:$I$89,3,0)*VLOOKUP('Données projet'!$B$9,Paramètres!$A$1:$I$89,5,0)</f>
        <v>49.405434563222322</v>
      </c>
      <c r="P31" s="13">
        <f t="shared" si="33"/>
        <v>14.46010380603388</v>
      </c>
      <c r="Q31" s="20">
        <f t="shared" si="2"/>
        <v>111.23247932645454</v>
      </c>
      <c r="R31" s="59">
        <f t="shared" si="0"/>
        <v>402.12136821534341</v>
      </c>
      <c r="S31" s="59">
        <f ca="1">AVERAGE(OFFSET($R$3,0,0,'Données projet'!$E$9+1,1))-AVERAGE(OFFSET($H$3,0,0,'Données projet'!$E$9+1,1))</f>
        <v>204.77882499755987</v>
      </c>
      <c r="T31" s="59">
        <f t="shared" si="34"/>
        <v>152.46480920430594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12.97179487179487</v>
      </c>
      <c r="AI31" s="13">
        <f>IF('Données projet'!$A$62&gt;35,AI30+AH31-AQ30,IF(A31&lt;'Données projet'!$A$62,$AF$205^A31,IF(A31='Données projet'!$A$62,'Données projet'!$B$62,AI30+AH31-AQ30)))</f>
        <v>119.04102564102564</v>
      </c>
      <c r="AJ31" s="13">
        <f>AI31*VLOOKUP('Données projet'!$B$10,Paramètres!$A$1:$I$89,3,0)*VLOOKUP('Données projet'!$B$10,Paramètres!$A$1:$I$89,5,0)</f>
        <v>71.18653333333333</v>
      </c>
      <c r="AK31" s="13">
        <f t="shared" si="35"/>
        <v>19.967826748678</v>
      </c>
      <c r="AL31" s="20">
        <f t="shared" si="4"/>
        <v>158.76051047616974</v>
      </c>
      <c r="AM31" s="59">
        <f t="shared" si="5"/>
        <v>449.64939936505857</v>
      </c>
      <c r="AN31" s="59">
        <f ca="1">AVERAGE(OFFSET($AM$3,0,0,'Données projet'!$E$10+1,1))-AVERAGE(OFFSET($H$3,0,0,'Données projet'!$E$10+1,1))</f>
        <v>237.03649693529445</v>
      </c>
      <c r="AO31" s="59">
        <f t="shared" si="36"/>
        <v>191.04289411674887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8.487782979273911</v>
      </c>
      <c r="AV31" s="21">
        <f>EXP(-LN(2)/25)*AV30+(1-EXP(-LN(2)/25))/(LN(2)/25)*Calculateur!AQ31*Calculateur!AS31*VLOOKUP('Données projet'!$B$10,Paramètres!$A$1:$I$89,3,0)*0.475*44/12</f>
        <v>10.906283551130716</v>
      </c>
      <c r="AW31" s="21">
        <f>EXP(-LN(2)/2)*AW30+(1-EXP(-LN(2)/2))/(LN(2)/2)*AQ31*AT31*VLOOKUP('Données projet'!$B$10,Paramètres!$A$1:$I$89,3,0)*0.475*44/12</f>
        <v>4.1537492878245983</v>
      </c>
      <c r="AX31" s="21">
        <f t="shared" si="6"/>
        <v>23.547815818229228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4.9084615384615384</v>
      </c>
      <c r="N32" s="13">
        <f>IF('Données projet'!$A$36&gt;35,N31+M32-V31,IF(A32&lt;'Données projet'!$A$36,$K$205^A32,IF(A32='Données projet'!$A$36,'Données projet'!$B$36,N31+M32-V31)))</f>
        <v>124.68027709483918</v>
      </c>
      <c r="O32" s="13">
        <f>N32*VLOOKUP('Données projet'!$B$9,Paramètres!$A$1:$I$89,3,0)*VLOOKUP('Données projet'!$B$9,Paramètres!$A$1:$I$89,5,0)</f>
        <v>58.350369680384738</v>
      </c>
      <c r="P32" s="13">
        <f t="shared" si="33"/>
        <v>16.750516396977062</v>
      </c>
      <c r="Q32" s="20">
        <f t="shared" si="2"/>
        <v>130.80070991807179</v>
      </c>
      <c r="R32" s="59">
        <f t="shared" si="0"/>
        <v>422.91182102918293</v>
      </c>
      <c r="S32" s="59">
        <f ca="1">AVERAGE(OFFSET($R$3,0,0,'Données projet'!$E$9+1,1))-AVERAGE(OFFSET($H$3,0,0,'Données projet'!$E$9+1,1))</f>
        <v>204.77882499755987</v>
      </c>
      <c r="T32" s="59">
        <f t="shared" si="34"/>
        <v>152.46480920430594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12.97179487179487</v>
      </c>
      <c r="AI32" s="13">
        <f>IF('Données projet'!$A$62&gt;35,AI31+AH32-AQ31,IF(A32&lt;'Données projet'!$A$62,$AF$205^A32,IF(A32='Données projet'!$A$62,'Données projet'!$B$62,AI31+AH32-AQ31)))</f>
        <v>132.0128205128205</v>
      </c>
      <c r="AJ32" s="13">
        <f>AI32*VLOOKUP('Données projet'!$B$10,Paramètres!$A$1:$I$89,3,0)*VLOOKUP('Données projet'!$B$10,Paramètres!$A$1:$I$89,5,0)</f>
        <v>78.943666666666658</v>
      </c>
      <c r="AK32" s="13">
        <f t="shared" si="35"/>
        <v>21.878705672057272</v>
      </c>
      <c r="AL32" s="20">
        <f t="shared" si="4"/>
        <v>175.59896515661083</v>
      </c>
      <c r="AM32" s="59">
        <f t="shared" si="5"/>
        <v>467.710076267722</v>
      </c>
      <c r="AN32" s="59">
        <f ca="1">AVERAGE(OFFSET($AM$3,0,0,'Données projet'!$E$10+1,1))-AVERAGE(OFFSET($H$3,0,0,'Données projet'!$E$10+1,1))</f>
        <v>237.03649693529445</v>
      </c>
      <c r="AO32" s="59">
        <f t="shared" si="36"/>
        <v>191.04289411674887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8.3213427320867766</v>
      </c>
      <c r="AV32" s="21">
        <f>EXP(-LN(2)/25)*AV31+(1-EXP(-LN(2)/25))/(LN(2)/25)*Calculateur!AQ32*Calculateur!AS32*VLOOKUP('Données projet'!$B$10,Paramètres!$A$1:$I$89,3,0)*0.475*44/12</f>
        <v>10.608050653888522</v>
      </c>
      <c r="AW32" s="21">
        <f>EXP(-LN(2)/2)*AW31+(1-EXP(-LN(2)/2))/(LN(2)/2)*AQ32*AT32*VLOOKUP('Données projet'!$B$10,Paramètres!$A$1:$I$89,3,0)*0.475*44/12</f>
        <v>2.937144288769566</v>
      </c>
      <c r="AX32" s="21">
        <f t="shared" si="6"/>
        <v>21.866537674744865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147.25384615384615</v>
      </c>
      <c r="L33" s="12">
        <f>VLOOKUP(A33,'Données projet'!$A$35:$I$55,9,0)</f>
        <v>4.9084615384615384</v>
      </c>
      <c r="M33" s="12">
        <f t="array" ref="M33">INDEX(L:L,MIN(IF(ISNUMBER(L33:L229),ROW(L33:L229),"")))</f>
        <v>4.9084615384615384</v>
      </c>
      <c r="N33" s="13">
        <f>IF('Données projet'!$A$36&gt;35,N32+M33-V32,IF(A33&lt;'Données projet'!$A$36,$K$205^A33,IF(A33='Données projet'!$A$36,'Données projet'!$B$36,N32+M33-V32)))</f>
        <v>147.25384615384615</v>
      </c>
      <c r="O33" s="13">
        <f>N33*VLOOKUP('Données projet'!$B$9,Paramètres!$A$1:$I$89,3,0)*VLOOKUP('Données projet'!$B$9,Paramètres!$A$1:$I$89,5,0)</f>
        <v>68.9148</v>
      </c>
      <c r="P33" s="13">
        <f t="shared" si="33"/>
        <v>19.403719594897876</v>
      </c>
      <c r="Q33" s="20">
        <f t="shared" si="2"/>
        <v>153.82142162778047</v>
      </c>
      <c r="R33" s="59">
        <f t="shared" si="0"/>
        <v>447.15475496111378</v>
      </c>
      <c r="S33" s="59">
        <f ca="1">AVERAGE(OFFSET($R$3,0,0,'Données projet'!$E$9+1,1))-AVERAGE(OFFSET($H$3,0,0,'Données projet'!$E$9+1,1))</f>
        <v>204.77882499755987</v>
      </c>
      <c r="T33" s="59">
        <f t="shared" si="34"/>
        <v>152.46480920430594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12.97179487179487</v>
      </c>
      <c r="AI33" s="13">
        <f>IF('Données projet'!$A$62&gt;35,AI32+AH33-AQ32,IF(A33&lt;'Données projet'!$A$62,$AF$205^A33,IF(A33='Données projet'!$A$62,'Données projet'!$B$62,AI32+AH33-AQ32)))</f>
        <v>144.98461538461538</v>
      </c>
      <c r="AJ33" s="13">
        <f>AI33*VLOOKUP('Données projet'!$B$10,Paramètres!$A$1:$I$89,3,0)*VLOOKUP('Données projet'!$B$10,Paramètres!$A$1:$I$89,5,0)</f>
        <v>86.700800000000001</v>
      </c>
      <c r="AK33" s="13">
        <f t="shared" si="35"/>
        <v>23.767816195343574</v>
      </c>
      <c r="AL33" s="20">
        <f t="shared" si="4"/>
        <v>192.39950654022337</v>
      </c>
      <c r="AM33" s="59">
        <f t="shared" si="5"/>
        <v>485.73283987355671</v>
      </c>
      <c r="AN33" s="59">
        <f ca="1">AVERAGE(OFFSET($AM$3,0,0,'Données projet'!$E$10+1,1))-AVERAGE(OFFSET($H$3,0,0,'Données projet'!$E$10+1,1))</f>
        <v>237.03649693529445</v>
      </c>
      <c r="AO33" s="59">
        <f t="shared" si="36"/>
        <v>191.04289411674887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8.1581662766284548</v>
      </c>
      <c r="AV33" s="21">
        <f>EXP(-LN(2)/25)*AV32+(1-EXP(-LN(2)/25))/(LN(2)/25)*Calculateur!AQ33*Calculateur!AS33*VLOOKUP('Données projet'!$B$10,Paramètres!$A$1:$I$89,3,0)*0.475*44/12</f>
        <v>10.317972950904801</v>
      </c>
      <c r="AW33" s="21">
        <f>EXP(-LN(2)/2)*AW32+(1-EXP(-LN(2)/2))/(LN(2)/2)*AQ33*AT33*VLOOKUP('Données projet'!$B$10,Paramètres!$A$1:$I$89,3,0)*0.475*44/12</f>
        <v>2.0768746439122996</v>
      </c>
      <c r="AX33" s="21">
        <f t="shared" si="6"/>
        <v>20.553013871445557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11.443589743589744</v>
      </c>
      <c r="N34" s="13">
        <f>IF('Données projet'!$A$36&gt;35,N33+M34-V33,IF(A34&lt;'Données projet'!$A$36,$K$205^A34,IF(A34='Données projet'!$A$36,'Données projet'!$B$36,N33+M34-V33)))</f>
        <v>158.69743589743589</v>
      </c>
      <c r="O34" s="13">
        <f>N34*VLOOKUP('Données projet'!$B$9,Paramètres!$A$1:$I$89,3,0)*VLOOKUP('Données projet'!$B$9,Paramètres!$A$1:$I$89,5,0)</f>
        <v>74.270399999999995</v>
      </c>
      <c r="P34" s="13">
        <f t="shared" si="33"/>
        <v>20.730265914492005</v>
      </c>
      <c r="Q34" s="20">
        <f t="shared" si="2"/>
        <v>165.4594931344069</v>
      </c>
      <c r="R34" s="59">
        <f t="shared" si="0"/>
        <v>458.79282646774021</v>
      </c>
      <c r="S34" s="59">
        <f ca="1">AVERAGE(OFFSET($R$3,0,0,'Données projet'!$E$9+1,1))-AVERAGE(OFFSET($H$3,0,0,'Données projet'!$E$9+1,1))</f>
        <v>204.77882499755987</v>
      </c>
      <c r="T34" s="59">
        <f t="shared" si="34"/>
        <v>152.46480920430594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12.97179487179487</v>
      </c>
      <c r="AI34" s="13">
        <f>IF('Données projet'!$A$62&gt;35,AI33+AH34-AQ33,IF(A34&lt;'Données projet'!$A$62,$AF$205^A34,IF(A34='Données projet'!$A$62,'Données projet'!$B$62,AI33+AH34-AQ33)))</f>
        <v>157.95641025641027</v>
      </c>
      <c r="AJ34" s="13">
        <f>AI34*VLOOKUP('Données projet'!$B$10,Paramètres!$A$1:$I$89,3,0)*VLOOKUP('Données projet'!$B$10,Paramètres!$A$1:$I$89,5,0)</f>
        <v>94.457933333333344</v>
      </c>
      <c r="AK34" s="13">
        <f t="shared" si="35"/>
        <v>25.637327417415943</v>
      </c>
      <c r="AL34" s="20">
        <f t="shared" si="4"/>
        <v>209.16591247422164</v>
      </c>
      <c r="AM34" s="59">
        <f t="shared" si="5"/>
        <v>502.49924580755498</v>
      </c>
      <c r="AN34" s="59">
        <f ca="1">AVERAGE(OFFSET($AM$3,0,0,'Données projet'!$E$10+1,1))-AVERAGE(OFFSET($H$3,0,0,'Données projet'!$E$10+1,1))</f>
        <v>237.03649693529445</v>
      </c>
      <c r="AO34" s="59">
        <f t="shared" si="36"/>
        <v>191.04289411674887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7.9981896119338618</v>
      </c>
      <c r="AV34" s="21">
        <f>EXP(-LN(2)/25)*AV33+(1-EXP(-LN(2)/25))/(LN(2)/25)*Calculateur!AQ34*Calculateur!AS34*VLOOKUP('Données projet'!$B$10,Paramètres!$A$1:$I$89,3,0)*0.475*44/12</f>
        <v>10.035827437963695</v>
      </c>
      <c r="AW34" s="21">
        <f>EXP(-LN(2)/2)*AW33+(1-EXP(-LN(2)/2))/(LN(2)/2)*AQ34*AT34*VLOOKUP('Données projet'!$B$10,Paramètres!$A$1:$I$89,3,0)*0.475*44/12</f>
        <v>1.4685721443847832</v>
      </c>
      <c r="AX34" s="21">
        <f t="shared" si="6"/>
        <v>19.50258919428234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11.443589743589744</v>
      </c>
      <c r="N35" s="13">
        <f>IF('Données projet'!$A$36&gt;35,N34+M35-V34,IF(A35&lt;'Données projet'!$A$36,$K$205^A35,IF(A35='Données projet'!$A$36,'Données projet'!$B$36,N34+M35-V34)))</f>
        <v>170.14102564102564</v>
      </c>
      <c r="O35" s="13">
        <f>N35*VLOOKUP('Données projet'!$B$9,Paramètres!$A$1:$I$89,3,0)*VLOOKUP('Données projet'!$B$9,Paramètres!$A$1:$I$89,5,0)</f>
        <v>79.626000000000005</v>
      </c>
      <c r="P35" s="13">
        <f t="shared" si="33"/>
        <v>22.045714260156384</v>
      </c>
      <c r="Q35" s="20">
        <f t="shared" ref="Q35:Q66" si="53">(O35+P35)*0.475*44/12</f>
        <v>177.0782356697724</v>
      </c>
      <c r="R35" s="59">
        <f t="shared" si="0"/>
        <v>470.41156900310568</v>
      </c>
      <c r="S35" s="59">
        <f ca="1">AVERAGE(OFFSET($R$3,0,0,'Données projet'!$E$9+1,1))-AVERAGE(OFFSET($H$3,0,0,'Données projet'!$E$9+1,1))</f>
        <v>204.77882499755987</v>
      </c>
      <c r="T35" s="59">
        <f t="shared" si="34"/>
        <v>152.46480920430594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12.97179487179487</v>
      </c>
      <c r="AI35" s="13">
        <f>IF('Données projet'!$A$62&gt;35,AI34+AH35-AQ34,IF(A35&lt;'Données projet'!$A$62,$AF$205^A35,IF(A35='Données projet'!$A$62,'Données projet'!$B$62,AI34+AH35-AQ34)))</f>
        <v>170.92820512820515</v>
      </c>
      <c r="AJ35" s="13">
        <f>AI35*VLOOKUP('Données projet'!$B$10,Paramètres!$A$1:$I$89,3,0)*VLOOKUP('Données projet'!$B$10,Paramètres!$A$1:$I$89,5,0)</f>
        <v>102.21506666666667</v>
      </c>
      <c r="AK35" s="13">
        <f t="shared" si="35"/>
        <v>27.489031873505194</v>
      </c>
      <c r="AL35" s="20">
        <f t="shared" si="4"/>
        <v>225.90130495746598</v>
      </c>
      <c r="AM35" s="59">
        <f t="shared" si="5"/>
        <v>519.23463829079924</v>
      </c>
      <c r="AN35" s="59">
        <f ca="1">AVERAGE(OFFSET($AM$3,0,0,'Données projet'!$E$10+1,1))-AVERAGE(OFFSET($H$3,0,0,'Données projet'!$E$10+1,1))</f>
        <v>237.03649693529445</v>
      </c>
      <c r="AO35" s="59">
        <f t="shared" si="36"/>
        <v>191.04289411674887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7.8413499920577987</v>
      </c>
      <c r="AV35" s="21">
        <f>EXP(-LN(2)/25)*AV34+(1-EXP(-LN(2)/25))/(LN(2)/25)*Calculateur!AQ35*Calculateur!AS35*VLOOKUP('Données projet'!$B$10,Paramètres!$A$1:$I$89,3,0)*0.475*44/12</f>
        <v>9.7613972089113492</v>
      </c>
      <c r="AW35" s="21">
        <f>EXP(-LN(2)/2)*AW34+(1-EXP(-LN(2)/2))/(LN(2)/2)*AQ35*AT35*VLOOKUP('Données projet'!$B$10,Paramètres!$A$1:$I$89,3,0)*0.475*44/12</f>
        <v>1.0384373219561498</v>
      </c>
      <c r="AX35" s="21">
        <f t="shared" si="6"/>
        <v>18.641184522925297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11.443589743589744</v>
      </c>
      <c r="N36" s="13">
        <f>IF('Données projet'!$A$36&gt;35,N35+M36-V35,IF(A36&lt;'Données projet'!$A$36,$K$205^A36,IF(A36='Données projet'!$A$36,'Données projet'!$B$36,N35+M36-V35)))</f>
        <v>181.58461538461538</v>
      </c>
      <c r="O36" s="13">
        <f>N36*VLOOKUP('Données projet'!$B$9,Paramètres!$A$1:$I$89,3,0)*VLOOKUP('Données projet'!$B$9,Paramètres!$A$1:$I$89,5,0)</f>
        <v>84.981599999999986</v>
      </c>
      <c r="P36" s="13">
        <f t="shared" si="33"/>
        <v>23.350896003452508</v>
      </c>
      <c r="Q36" s="20">
        <f t="shared" si="53"/>
        <v>188.6790972060131</v>
      </c>
      <c r="R36" s="59">
        <f t="shared" si="0"/>
        <v>482.01243053934638</v>
      </c>
      <c r="S36" s="59">
        <f ca="1">AVERAGE(OFFSET($R$3,0,0,'Données projet'!$E$9+1,1))-AVERAGE(OFFSET($H$3,0,0,'Données projet'!$E$9+1,1))</f>
        <v>204.77882499755987</v>
      </c>
      <c r="T36" s="59">
        <f t="shared" si="34"/>
        <v>152.46480920430594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183.89999999999998</v>
      </c>
      <c r="AG36" s="12">
        <f>VLOOKUP(A36,'Données projet'!$A$61:$I$81,9,0)</f>
        <v>12.97179487179487</v>
      </c>
      <c r="AH36" s="12">
        <f t="array" ref="AH36">INDEX(AG:AG,MIN(IF(ISNUMBER(AG36:AG232),ROW(AG36:AG232),"")))</f>
        <v>12.97179487179487</v>
      </c>
      <c r="AI36" s="13">
        <f>IF('Données projet'!$A$62&gt;35,AI35+AH36-AQ35,IF(A36&lt;'Données projet'!$A$62,$AF$205^A36,IF(A36='Données projet'!$A$62,'Données projet'!$B$62,AI35+AH36-AQ35)))</f>
        <v>183.90000000000003</v>
      </c>
      <c r="AJ36" s="13">
        <f>AI36*VLOOKUP('Données projet'!$B$10,Paramètres!$A$1:$I$89,3,0)*VLOOKUP('Données projet'!$B$10,Paramètres!$A$1:$I$89,5,0)</f>
        <v>109.97220000000003</v>
      </c>
      <c r="AK36" s="13">
        <f t="shared" si="35"/>
        <v>29.324434579377328</v>
      </c>
      <c r="AL36" s="20">
        <f t="shared" si="4"/>
        <v>242.60830522574886</v>
      </c>
      <c r="AM36" s="59">
        <f t="shared" si="5"/>
        <v>535.94163855908221</v>
      </c>
      <c r="AN36" s="59">
        <f ca="1">AVERAGE(OFFSET($AM$3,0,0,'Données projet'!$E$10+1,1))-AVERAGE(OFFSET($H$3,0,0,'Données projet'!$E$10+1,1))</f>
        <v>237.03649693529445</v>
      </c>
      <c r="AO36" s="59">
        <f t="shared" si="36"/>
        <v>191.04289411674887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43.007692307692302</v>
      </c>
      <c r="AR36" s="16">
        <f>IF(ISNA(VLOOKUP(A36,'Données projet'!$A$61:$I$81,5,0)),0%,VLOOKUP(A36,'Données projet'!$A$61:$I$81,5,0)*VLOOKUP('Données projet'!$B$10,Paramètres!$A$1:$I$89,7,0))</f>
        <v>0.315</v>
      </c>
      <c r="AS36" s="16">
        <f>IF(ISNA(VLOOKUP(A36,'Données projet'!$A$61:$I$81,6,0)),0%,VLOOKUP(A36,'Données projet'!$A$61:$I$81,6,0)*VLOOKUP('Données projet'!$B$10,Paramètres!$A$1:$I$89,7,0))</f>
        <v>7.5600000000000001E-2</v>
      </c>
      <c r="AT36" s="16">
        <f>IF(ISNA(VLOOKUP(A36,'Données projet'!$A$61:$I$81,7,0)),0%,VLOOKUP(A36,'Données projet'!$A$61:$I$81,7,0))</f>
        <v>0.13200000000000001</v>
      </c>
      <c r="AU36" s="21">
        <f>EXP(-LN(2)/35)*AU35+(1-EXP(-LN(2)/35))/(LN(2)/35)*AQ36*AR36*VLOOKUP('Données projet'!$B$10,Paramètres!$A$1:$I$89,3,0)*0.475*44/12</f>
        <v>18.434560791620001</v>
      </c>
      <c r="AV36" s="21">
        <f>EXP(-LN(2)/25)*AV35+(1-EXP(-LN(2)/25))/(LN(2)/25)*Calculateur!AQ36*Calculateur!AS36*VLOOKUP('Données projet'!$B$10,Paramètres!$A$1:$I$89,3,0)*0.475*44/12</f>
        <v>12.063589678126709</v>
      </c>
      <c r="AW36" s="21">
        <f>EXP(-LN(2)/2)*AW35+(1-EXP(-LN(2)/2))/(LN(2)/2)*AQ36*AT36*VLOOKUP('Données projet'!$B$10,Paramètres!$A$1:$I$89,3,0)*0.475*44/12</f>
        <v>4.5780507750580615</v>
      </c>
      <c r="AX36" s="21">
        <f t="shared" si="6"/>
        <v>35.076201244804771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11.443589743589744</v>
      </c>
      <c r="N37" s="13">
        <f>IF('Données projet'!$A$36&gt;35,N36+M37-V36,IF(A37&lt;'Données projet'!$A$36,$K$205^A37,IF(A37='Données projet'!$A$36,'Données projet'!$B$36,N36+M37-V36)))</f>
        <v>193.02820512820512</v>
      </c>
      <c r="O37" s="13">
        <f>N37*VLOOKUP('Données projet'!$B$9,Paramètres!$A$1:$I$89,3,0)*VLOOKUP('Données projet'!$B$9,Paramètres!$A$1:$I$89,5,0)</f>
        <v>90.337199999999996</v>
      </c>
      <c r="P37" s="13">
        <f t="shared" si="33"/>
        <v>24.646531805527069</v>
      </c>
      <c r="Q37" s="20">
        <f t="shared" si="53"/>
        <v>200.2633328946263</v>
      </c>
      <c r="R37" s="59">
        <f t="shared" si="0"/>
        <v>493.59666622795964</v>
      </c>
      <c r="S37" s="59">
        <f ca="1">AVERAGE(OFFSET($R$3,0,0,'Données projet'!$E$9+1,1))-AVERAGE(OFFSET($H$3,0,0,'Données projet'!$E$9+1,1))</f>
        <v>204.77882499755987</v>
      </c>
      <c r="T37" s="59">
        <f t="shared" si="34"/>
        <v>152.46480920430594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12.740384615384613</v>
      </c>
      <c r="AI37" s="13">
        <f>IF('Données projet'!$A$62&gt;35,AI36+AH37-AQ36,IF(A37&lt;'Données projet'!$A$62,$AF$205^A37,IF(A37='Données projet'!$A$62,'Données projet'!$B$62,AI36+AH37-AQ36)))</f>
        <v>153.63269230769234</v>
      </c>
      <c r="AJ37" s="13">
        <f>AI37*VLOOKUP('Données projet'!$B$10,Paramètres!$A$1:$I$89,3,0)*VLOOKUP('Données projet'!$B$10,Paramètres!$A$1:$I$89,5,0)</f>
        <v>91.872350000000012</v>
      </c>
      <c r="AK37" s="13">
        <f t="shared" si="35"/>
        <v>25.016248165039102</v>
      </c>
      <c r="AL37" s="20">
        <f t="shared" si="4"/>
        <v>203.58097513744312</v>
      </c>
      <c r="AM37" s="59">
        <f t="shared" si="5"/>
        <v>496.9143084707764</v>
      </c>
      <c r="AN37" s="59">
        <f ca="1">AVERAGE(OFFSET($AM$3,0,0,'Données projet'!$E$10+1,1))-AVERAGE(OFFSET($H$3,0,0,'Données projet'!$E$10+1,1))</f>
        <v>237.03649693529445</v>
      </c>
      <c r="AO37" s="59">
        <f t="shared" si="36"/>
        <v>191.04289411674887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18.073070298468167</v>
      </c>
      <c r="AV37" s="21">
        <f>EXP(-LN(2)/25)*AV36+(1-EXP(-LN(2)/25))/(LN(2)/25)*Calculateur!AQ37*Calculateur!AS37*VLOOKUP('Données projet'!$B$10,Paramètres!$A$1:$I$89,3,0)*0.475*44/12</f>
        <v>11.733710183981724</v>
      </c>
      <c r="AW37" s="21">
        <f>EXP(-LN(2)/2)*AW36+(1-EXP(-LN(2)/2))/(LN(2)/2)*AQ37*AT37*VLOOKUP('Données projet'!$B$10,Paramètres!$A$1:$I$89,3,0)*0.475*44/12</f>
        <v>3.237170747659885</v>
      </c>
      <c r="AX37" s="21">
        <f t="shared" si="6"/>
        <v>33.043951230109776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11.443589743589744</v>
      </c>
      <c r="N38" s="13">
        <f>IF('Données projet'!$A$36&gt;35,N37+M38-V37,IF(A38&lt;'Données projet'!$A$36,$K$205^A38,IF(A38='Données projet'!$A$36,'Données projet'!$B$36,N37+M38-V37)))</f>
        <v>204.47179487179486</v>
      </c>
      <c r="O38" s="13">
        <f>N38*VLOOKUP('Données projet'!$B$9,Paramètres!$A$1:$I$89,3,0)*VLOOKUP('Données projet'!$B$9,Paramètres!$A$1:$I$89,5,0)</f>
        <v>95.692799999999991</v>
      </c>
      <c r="P38" s="13">
        <f t="shared" si="33"/>
        <v>25.93325205212474</v>
      </c>
      <c r="Q38" s="20">
        <f t="shared" si="53"/>
        <v>211.83204065745056</v>
      </c>
      <c r="R38" s="59">
        <f t="shared" si="0"/>
        <v>505.16537399078391</v>
      </c>
      <c r="S38" s="59">
        <f ca="1">AVERAGE(OFFSET($R$3,0,0,'Données projet'!$E$9+1,1))-AVERAGE(OFFSET($H$3,0,0,'Données projet'!$E$9+1,1))</f>
        <v>204.77882499755987</v>
      </c>
      <c r="T38" s="59">
        <f t="shared" si="34"/>
        <v>152.46480920430594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12.740384615384613</v>
      </c>
      <c r="AI38" s="13">
        <f>IF('Données projet'!$A$62&gt;35,AI37+AH38-AQ37,IF(A38&lt;'Données projet'!$A$62,$AF$205^A38,IF(A38='Données projet'!$A$62,'Données projet'!$B$62,AI37+AH38-AQ37)))</f>
        <v>166.37307692307695</v>
      </c>
      <c r="AJ38" s="13">
        <f>AI38*VLOOKUP('Données projet'!$B$10,Paramètres!$A$1:$I$89,3,0)*VLOOKUP('Données projet'!$B$10,Paramètres!$A$1:$I$89,5,0)</f>
        <v>99.491100000000031</v>
      </c>
      <c r="AK38" s="13">
        <f t="shared" si="35"/>
        <v>26.84072316435665</v>
      </c>
      <c r="AL38" s="20">
        <f t="shared" si="4"/>
        <v>220.02792534458789</v>
      </c>
      <c r="AM38" s="59">
        <f t="shared" si="5"/>
        <v>513.36125867792123</v>
      </c>
      <c r="AN38" s="59">
        <f ca="1">AVERAGE(OFFSET($AM$3,0,0,'Données projet'!$E$10+1,1))-AVERAGE(OFFSET($H$3,0,0,'Données projet'!$E$10+1,1))</f>
        <v>237.03649693529445</v>
      </c>
      <c r="AO38" s="59">
        <f t="shared" si="36"/>
        <v>191.04289411674887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17.718668413399609</v>
      </c>
      <c r="AV38" s="21">
        <f>EXP(-LN(2)/25)*AV37+(1-EXP(-LN(2)/25))/(LN(2)/25)*Calculateur!AQ38*Calculateur!AS38*VLOOKUP('Données projet'!$B$10,Paramètres!$A$1:$I$89,3,0)*0.475*44/12</f>
        <v>11.412851261951744</v>
      </c>
      <c r="AW38" s="21">
        <f>EXP(-LN(2)/2)*AW37+(1-EXP(-LN(2)/2))/(LN(2)/2)*AQ38*AT38*VLOOKUP('Données projet'!$B$10,Paramètres!$A$1:$I$89,3,0)*0.475*44/12</f>
        <v>2.2890253875290307</v>
      </c>
      <c r="AX38" s="21">
        <f t="shared" si="6"/>
        <v>31.420545062880382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11.443589743589744</v>
      </c>
      <c r="N39" s="13">
        <f>IF('Données projet'!$A$36&gt;35,N38+M39-V38,IF(A39&lt;'Données projet'!$A$36,$K$205^A39,IF(A39='Données projet'!$A$36,'Données projet'!$B$36,N38+M39-V38)))</f>
        <v>215.9153846153846</v>
      </c>
      <c r="O39" s="13">
        <f>N39*VLOOKUP('Données projet'!$B$9,Paramètres!$A$1:$I$89,3,0)*VLOOKUP('Données projet'!$B$9,Paramètres!$A$1:$I$89,5,0)</f>
        <v>101.04839999999999</v>
      </c>
      <c r="P39" s="13">
        <f t="shared" si="33"/>
        <v>27.21161258263702</v>
      </c>
      <c r="Q39" s="20">
        <f t="shared" si="53"/>
        <v>223.38618858142613</v>
      </c>
      <c r="R39" s="59">
        <f t="shared" si="0"/>
        <v>516.71952191475941</v>
      </c>
      <c r="S39" s="59">
        <f ca="1">AVERAGE(OFFSET($R$3,0,0,'Données projet'!$E$9+1,1))-AVERAGE(OFFSET($H$3,0,0,'Données projet'!$E$9+1,1))</f>
        <v>204.77882499755987</v>
      </c>
      <c r="T39" s="59">
        <f t="shared" si="34"/>
        <v>152.46480920430594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12.740384615384613</v>
      </c>
      <c r="AI39" s="13">
        <f>IF('Données projet'!$A$62&gt;35,AI38+AH39-AQ38,IF(A39&lt;'Données projet'!$A$62,$AF$205^A39,IF(A39='Données projet'!$A$62,'Données projet'!$B$62,AI38+AH39-AQ38)))</f>
        <v>179.11346153846156</v>
      </c>
      <c r="AJ39" s="13">
        <f>AI39*VLOOKUP('Données projet'!$B$10,Paramètres!$A$1:$I$89,3,0)*VLOOKUP('Données projet'!$B$10,Paramètres!$A$1:$I$89,5,0)</f>
        <v>107.10985000000002</v>
      </c>
      <c r="AK39" s="13">
        <f t="shared" si="35"/>
        <v>28.64899110170736</v>
      </c>
      <c r="AL39" s="20">
        <f t="shared" si="4"/>
        <v>236.44664825214033</v>
      </c>
      <c r="AM39" s="59">
        <f t="shared" si="5"/>
        <v>529.77998158547371</v>
      </c>
      <c r="AN39" s="59">
        <f ca="1">AVERAGE(OFFSET($AM$3,0,0,'Données projet'!$E$10+1,1))-AVERAGE(OFFSET($H$3,0,0,'Données projet'!$E$10+1,1))</f>
        <v>237.03649693529445</v>
      </c>
      <c r="AO39" s="59">
        <f t="shared" si="36"/>
        <v>191.04289411674887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17.371216133133441</v>
      </c>
      <c r="AV39" s="21">
        <f>EXP(-LN(2)/25)*AV38+(1-EXP(-LN(2)/25))/(LN(2)/25)*Calculateur!AQ39*Calculateur!AS39*VLOOKUP('Données projet'!$B$10,Paramètres!$A$1:$I$89,3,0)*0.475*44/12</f>
        <v>11.10076624401791</v>
      </c>
      <c r="AW39" s="21">
        <f>EXP(-LN(2)/2)*AW38+(1-EXP(-LN(2)/2))/(LN(2)/2)*AQ39*AT39*VLOOKUP('Données projet'!$B$10,Paramètres!$A$1:$I$89,3,0)*0.475*44/12</f>
        <v>1.6185853738299425</v>
      </c>
      <c r="AX39" s="21">
        <f t="shared" si="6"/>
        <v>30.090567750981293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11.443589743589744</v>
      </c>
      <c r="N40" s="13">
        <f>IF('Données projet'!$A$36&gt;35,N39+M40-V39,IF(A40&lt;'Données projet'!$A$36,$K$205^A40,IF(A40='Données projet'!$A$36,'Données projet'!$B$36,N39+M40-V39)))</f>
        <v>227.35897435897434</v>
      </c>
      <c r="O40" s="13">
        <f>N40*VLOOKUP('Données projet'!$B$9,Paramètres!$A$1:$I$89,3,0)*VLOOKUP('Données projet'!$B$9,Paramètres!$A$1:$I$89,5,0)</f>
        <v>106.40399999999998</v>
      </c>
      <c r="P40" s="13">
        <f t="shared" si="33"/>
        <v>28.482106989387589</v>
      </c>
      <c r="Q40" s="20">
        <f t="shared" si="53"/>
        <v>234.92663633985001</v>
      </c>
      <c r="R40" s="59">
        <f t="shared" si="0"/>
        <v>528.25996967318338</v>
      </c>
      <c r="S40" s="59">
        <f ca="1">AVERAGE(OFFSET($R$3,0,0,'Données projet'!$E$9+1,1))-AVERAGE(OFFSET($H$3,0,0,'Données projet'!$E$9+1,1))</f>
        <v>204.77882499755987</v>
      </c>
      <c r="T40" s="59">
        <f t="shared" si="34"/>
        <v>152.46480920430594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12.740384615384613</v>
      </c>
      <c r="AI40" s="13">
        <f>IF('Données projet'!$A$62&gt;35,AI39+AH40-AQ39,IF(A40&lt;'Données projet'!$A$62,$AF$205^A40,IF(A40='Données projet'!$A$62,'Données projet'!$B$62,AI39+AH40-AQ39)))</f>
        <v>191.85384615384618</v>
      </c>
      <c r="AJ40" s="13">
        <f>AI40*VLOOKUP('Données projet'!$B$10,Paramètres!$A$1:$I$89,3,0)*VLOOKUP('Données projet'!$B$10,Paramètres!$A$1:$I$89,5,0)</f>
        <v>114.72860000000003</v>
      </c>
      <c r="AK40" s="13">
        <f t="shared" si="35"/>
        <v>30.442335906087649</v>
      </c>
      <c r="AL40" s="20">
        <f t="shared" si="4"/>
        <v>252.83938003643598</v>
      </c>
      <c r="AM40" s="59">
        <f t="shared" si="5"/>
        <v>546.17271336976933</v>
      </c>
      <c r="AN40" s="59">
        <f ca="1">AVERAGE(OFFSET($AM$3,0,0,'Données projet'!$E$10+1,1))-AVERAGE(OFFSET($H$3,0,0,'Données projet'!$E$10+1,1))</f>
        <v>237.03649693529445</v>
      </c>
      <c r="AO40" s="59">
        <f t="shared" si="36"/>
        <v>191.04289411674887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17.030577180158328</v>
      </c>
      <c r="AV40" s="21">
        <f>EXP(-LN(2)/25)*AV39+(1-EXP(-LN(2)/25))/(LN(2)/25)*Calculateur!AQ40*Calculateur!AS40*VLOOKUP('Données projet'!$B$10,Paramètres!$A$1:$I$89,3,0)*0.475*44/12</f>
        <v>10.797215207311314</v>
      </c>
      <c r="AW40" s="21">
        <f>EXP(-LN(2)/2)*AW39+(1-EXP(-LN(2)/2))/(LN(2)/2)*AQ40*AT40*VLOOKUP('Données projet'!$B$10,Paramètres!$A$1:$I$89,3,0)*0.475*44/12</f>
        <v>1.1445126937645154</v>
      </c>
      <c r="AX40" s="21">
        <f t="shared" si="6"/>
        <v>28.972305081234158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11.443589743589744</v>
      </c>
      <c r="N41" s="13">
        <f>IF('Données projet'!$A$36&gt;35,N40+M41-V40,IF(A41&lt;'Données projet'!$A$36,$K$205^A41,IF(A41='Données projet'!$A$36,'Données projet'!$B$36,N40+M41-V40)))</f>
        <v>238.80256410256408</v>
      </c>
      <c r="O41" s="13">
        <f>N41*VLOOKUP('Données projet'!$B$9,Paramètres!$A$1:$I$89,3,0)*VLOOKUP('Données projet'!$B$9,Paramètres!$A$1:$I$89,5,0)</f>
        <v>111.75959999999998</v>
      </c>
      <c r="P41" s="13">
        <f t="shared" si="33"/>
        <v>29.745176370290782</v>
      </c>
      <c r="Q41" s="20">
        <f t="shared" si="53"/>
        <v>246.45415217825635</v>
      </c>
      <c r="R41" s="59">
        <f t="shared" si="0"/>
        <v>539.78748551158969</v>
      </c>
      <c r="S41" s="59">
        <f ca="1">AVERAGE(OFFSET($R$3,0,0,'Données projet'!$E$9+1,1))-AVERAGE(OFFSET($H$3,0,0,'Données projet'!$E$9+1,1))</f>
        <v>204.77882499755987</v>
      </c>
      <c r="T41" s="59">
        <f t="shared" si="34"/>
        <v>152.46480920430594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12.740384615384613</v>
      </c>
      <c r="AI41" s="13">
        <f>IF('Données projet'!$A$62&gt;35,AI40+AH41-AQ40,IF(A41&lt;'Données projet'!$A$62,$AF$205^A41,IF(A41='Données projet'!$A$62,'Données projet'!$B$62,AI40+AH41-AQ40)))</f>
        <v>204.59423076923079</v>
      </c>
      <c r="AJ41" s="13">
        <f>AI41*VLOOKUP('Données projet'!$B$10,Paramètres!$A$1:$I$89,3,0)*VLOOKUP('Données projet'!$B$10,Paramètres!$A$1:$I$89,5,0)</f>
        <v>122.34735000000002</v>
      </c>
      <c r="AK41" s="13">
        <f t="shared" si="35"/>
        <v>32.221861336884544</v>
      </c>
      <c r="AL41" s="20">
        <f t="shared" si="4"/>
        <v>269.20804307840729</v>
      </c>
      <c r="AM41" s="59">
        <f t="shared" si="5"/>
        <v>562.54137641174066</v>
      </c>
      <c r="AN41" s="59">
        <f ca="1">AVERAGE(OFFSET($AM$3,0,0,'Données projet'!$E$10+1,1))-AVERAGE(OFFSET($H$3,0,0,'Données projet'!$E$10+1,1))</f>
        <v>237.03649693529445</v>
      </c>
      <c r="AO41" s="59">
        <f t="shared" si="36"/>
        <v>191.04289411674887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16.696617949281812</v>
      </c>
      <c r="AV41" s="21">
        <f>EXP(-LN(2)/25)*AV40+(1-EXP(-LN(2)/25))/(LN(2)/25)*Calculateur!AQ41*Calculateur!AS41*VLOOKUP('Données projet'!$B$10,Paramètres!$A$1:$I$89,3,0)*0.475*44/12</f>
        <v>10.501964789666516</v>
      </c>
      <c r="AW41" s="21">
        <f>EXP(-LN(2)/2)*AW40+(1-EXP(-LN(2)/2))/(LN(2)/2)*AQ41*AT41*VLOOKUP('Données projet'!$B$10,Paramètres!$A$1:$I$89,3,0)*0.475*44/12</f>
        <v>0.80929268691497125</v>
      </c>
      <c r="AX41" s="21">
        <f t="shared" si="6"/>
        <v>28.0078754258633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11.443589743589744</v>
      </c>
      <c r="N42" s="13">
        <f>IF('Données projet'!$A$36&gt;35,N41+M42-V41,IF(A42&lt;'Données projet'!$A$36,$K$205^A42,IF(A42='Données projet'!$A$36,'Données projet'!$B$36,N41+M42-V41)))</f>
        <v>250.24615384615382</v>
      </c>
      <c r="O42" s="13">
        <f>N42*VLOOKUP('Données projet'!$B$9,Paramètres!$A$1:$I$89,3,0)*VLOOKUP('Données projet'!$B$9,Paramètres!$A$1:$I$89,5,0)</f>
        <v>117.11519999999997</v>
      </c>
      <c r="P42" s="13">
        <f t="shared" si="33"/>
        <v>31.001217159106822</v>
      </c>
      <c r="Q42" s="20">
        <f t="shared" si="53"/>
        <v>257.96942655211097</v>
      </c>
      <c r="R42" s="59">
        <f t="shared" si="0"/>
        <v>551.30275988544429</v>
      </c>
      <c r="S42" s="59">
        <f ca="1">AVERAGE(OFFSET($R$3,0,0,'Données projet'!$E$9+1,1))-AVERAGE(OFFSET($H$3,0,0,'Données projet'!$E$9+1,1))</f>
        <v>204.77882499755987</v>
      </c>
      <c r="T42" s="59">
        <f t="shared" si="34"/>
        <v>152.46480920430594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12.740384615384613</v>
      </c>
      <c r="AI42" s="13">
        <f>IF('Données projet'!$A$62&gt;35,AI41+AH42-AQ41,IF(A42&lt;'Données projet'!$A$62,$AF$205^A42,IF(A42='Données projet'!$A$62,'Données projet'!$B$62,AI41+AH42-AQ41)))</f>
        <v>217.3346153846154</v>
      </c>
      <c r="AJ42" s="13">
        <f>AI42*VLOOKUP('Données projet'!$B$10,Paramètres!$A$1:$I$89,3,0)*VLOOKUP('Données projet'!$B$10,Paramètres!$A$1:$I$89,5,0)</f>
        <v>129.96610000000001</v>
      </c>
      <c r="AK42" s="13">
        <f t="shared" si="35"/>
        <v>33.988525918782614</v>
      </c>
      <c r="AL42" s="20">
        <f t="shared" si="4"/>
        <v>285.55430680854636</v>
      </c>
      <c r="AM42" s="59">
        <f t="shared" si="5"/>
        <v>578.88764014187973</v>
      </c>
      <c r="AN42" s="59">
        <f ca="1">AVERAGE(OFFSET($AM$3,0,0,'Données projet'!$E$10+1,1))-AVERAGE(OFFSET($H$3,0,0,'Données projet'!$E$10+1,1))</f>
        <v>237.03649693529445</v>
      </c>
      <c r="AO42" s="59">
        <f t="shared" si="36"/>
        <v>191.04289411674887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16.369207455227766</v>
      </c>
      <c r="AV42" s="21">
        <f>EXP(-LN(2)/25)*AV41+(1-EXP(-LN(2)/25))/(LN(2)/25)*Calculateur!AQ42*Calculateur!AS42*VLOOKUP('Données projet'!$B$10,Paramètres!$A$1:$I$89,3,0)*0.475*44/12</f>
        <v>10.21478801021876</v>
      </c>
      <c r="AW42" s="21">
        <f>EXP(-LN(2)/2)*AW41+(1-EXP(-LN(2)/2))/(LN(2)/2)*AQ42*AT42*VLOOKUP('Données projet'!$B$10,Paramètres!$A$1:$I$89,3,0)*0.475*44/12</f>
        <v>0.57225634688225768</v>
      </c>
      <c r="AX42" s="21">
        <f t="shared" si="6"/>
        <v>27.156251812328787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11.443589743589744</v>
      </c>
      <c r="N43" s="13">
        <f>IF('Données projet'!$A$36&gt;35,N42+M43-V42,IF(A43&lt;'Données projet'!$A$36,$K$205^A43,IF(A43='Données projet'!$A$36,'Données projet'!$B$36,N42+M43-V42)))</f>
        <v>261.68974358974356</v>
      </c>
      <c r="O43" s="13">
        <f>N43*VLOOKUP('Données projet'!$B$9,Paramètres!$A$1:$I$89,3,0)*VLOOKUP('Données projet'!$B$9,Paramètres!$A$1:$I$89,5,0)</f>
        <v>122.47079999999997</v>
      </c>
      <c r="P43" s="13">
        <f t="shared" si="33"/>
        <v>32.25058748290914</v>
      </c>
      <c r="Q43" s="20">
        <f t="shared" si="53"/>
        <v>269.47308319939998</v>
      </c>
      <c r="R43" s="59">
        <f t="shared" si="0"/>
        <v>562.80641653273324</v>
      </c>
      <c r="S43" s="59">
        <f ca="1">AVERAGE(OFFSET($R$3,0,0,'Données projet'!$E$9+1,1))-AVERAGE(OFFSET($H$3,0,0,'Données projet'!$E$9+1,1))</f>
        <v>204.77882499755987</v>
      </c>
      <c r="T43" s="59">
        <f t="shared" si="34"/>
        <v>152.46480920430594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12.740384615384613</v>
      </c>
      <c r="AI43" s="13">
        <f>IF('Données projet'!$A$62&gt;35,AI42+AH43-AQ42,IF(A43&lt;'Données projet'!$A$62,$AF$205^A43,IF(A43='Données projet'!$A$62,'Données projet'!$B$62,AI42+AH43-AQ42)))</f>
        <v>230.07500000000002</v>
      </c>
      <c r="AJ43" s="13">
        <f>AI43*VLOOKUP('Données projet'!$B$10,Paramètres!$A$1:$I$89,3,0)*VLOOKUP('Données projet'!$B$10,Paramètres!$A$1:$I$89,5,0)</f>
        <v>137.58485000000002</v>
      </c>
      <c r="AK43" s="13">
        <f t="shared" si="35"/>
        <v>35.743169448737028</v>
      </c>
      <c r="AL43" s="20">
        <f t="shared" si="4"/>
        <v>301.87963387321702</v>
      </c>
      <c r="AM43" s="59">
        <f t="shared" si="5"/>
        <v>595.21296720655027</v>
      </c>
      <c r="AN43" s="59">
        <f ca="1">AVERAGE(OFFSET($AM$3,0,0,'Données projet'!$E$10+1,1))-AVERAGE(OFFSET($H$3,0,0,'Données projet'!$E$10+1,1))</f>
        <v>237.03649693529445</v>
      </c>
      <c r="AO43" s="59">
        <f t="shared" si="36"/>
        <v>191.04289411674887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16.048217281261437</v>
      </c>
      <c r="AV43" s="21">
        <f>EXP(-LN(2)/25)*AV42+(1-EXP(-LN(2)/25))/(LN(2)/25)*Calculateur!AQ43*Calculateur!AS43*VLOOKUP('Données projet'!$B$10,Paramètres!$A$1:$I$89,3,0)*0.475*44/12</f>
        <v>9.9354640949069726</v>
      </c>
      <c r="AW43" s="21">
        <f>EXP(-LN(2)/2)*AW42+(1-EXP(-LN(2)/2))/(LN(2)/2)*AQ43*AT43*VLOOKUP('Données projet'!$B$10,Paramètres!$A$1:$I$89,3,0)*0.475*44/12</f>
        <v>0.40464634345748562</v>
      </c>
      <c r="AX43" s="21">
        <f t="shared" si="6"/>
        <v>26.388327719625895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11.443589743589744</v>
      </c>
      <c r="N44" s="13">
        <f>IF('Données projet'!$A$36&gt;35,N43+M44-V43,IF(A44&lt;'Données projet'!$A$36,$K$205^A44,IF(A44='Données projet'!$A$36,'Données projet'!$B$36,N43+M44-V43)))</f>
        <v>273.13333333333333</v>
      </c>
      <c r="O44" s="13">
        <f>N44*VLOOKUP('Données projet'!$B$9,Paramètres!$A$1:$I$89,3,0)*VLOOKUP('Données projet'!$B$9,Paramètres!$A$1:$I$89,5,0)</f>
        <v>127.82639999999999</v>
      </c>
      <c r="P44" s="13">
        <f t="shared" si="33"/>
        <v>33.493612376128482</v>
      </c>
      <c r="Q44" s="20">
        <f t="shared" si="53"/>
        <v>280.96568822175709</v>
      </c>
      <c r="R44" s="59">
        <f t="shared" si="0"/>
        <v>574.29902155509035</v>
      </c>
      <c r="S44" s="59">
        <f ca="1">AVERAGE(OFFSET($R$3,0,0,'Données projet'!$E$9+1,1))-AVERAGE(OFFSET($H$3,0,0,'Données projet'!$E$9+1,1))</f>
        <v>204.77882499755987</v>
      </c>
      <c r="T44" s="59">
        <f t="shared" si="34"/>
        <v>152.46480920430594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242.81538461538457</v>
      </c>
      <c r="AG44" s="12">
        <f>VLOOKUP(A44,'Données projet'!$A$61:$I$81,9,0)</f>
        <v>12.740384615384613</v>
      </c>
      <c r="AH44" s="12">
        <f t="array" ref="AH44">INDEX(AG:AG,MIN(IF(ISNUMBER(AG44:AG240),ROW(AG44:AG240),"")))</f>
        <v>12.740384615384613</v>
      </c>
      <c r="AI44" s="13">
        <f>IF('Données projet'!$A$62&gt;35,AI43+AH44-AQ43,IF(A44&lt;'Données projet'!$A$62,$AF$205^A44,IF(A44='Données projet'!$A$62,'Données projet'!$B$62,AI43+AH44-AQ43)))</f>
        <v>242.81538461538463</v>
      </c>
      <c r="AJ44" s="13">
        <f>AI44*VLOOKUP('Données projet'!$B$10,Paramètres!$A$1:$I$89,3,0)*VLOOKUP('Données projet'!$B$10,Paramètres!$A$1:$I$89,5,0)</f>
        <v>145.20360000000002</v>
      </c>
      <c r="AK44" s="13">
        <f t="shared" si="35"/>
        <v>37.486533463390735</v>
      </c>
      <c r="AL44" s="20">
        <f t="shared" si="4"/>
        <v>318.18531578207222</v>
      </c>
      <c r="AM44" s="59">
        <f t="shared" si="5"/>
        <v>611.51864911540554</v>
      </c>
      <c r="AN44" s="59">
        <f ca="1">AVERAGE(OFFSET($AM$3,0,0,'Données projet'!$E$10+1,1))-AVERAGE(OFFSET($H$3,0,0,'Données projet'!$E$10+1,1))</f>
        <v>237.03649693529445</v>
      </c>
      <c r="AO44" s="59">
        <f t="shared" si="36"/>
        <v>191.04289411674887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58.484615384615381</v>
      </c>
      <c r="AR44" s="16">
        <f>IF(ISNA(VLOOKUP(A44,'Données projet'!$A$61:$I$81,5,0)),0%,VLOOKUP(A44,'Données projet'!$A$61:$I$81,5,0)*VLOOKUP('Données projet'!$B$10,Paramètres!$A$1:$I$89,7,0))</f>
        <v>0.315</v>
      </c>
      <c r="AS44" s="16">
        <f>IF(ISNA(VLOOKUP(A44,'Données projet'!$A$61:$I$81,6,0)),0%,VLOOKUP(A44,'Données projet'!$A$61:$I$81,6,0)*VLOOKUP('Données projet'!$B$10,Paramètres!$A$1:$I$89,7,0))</f>
        <v>7.5600000000000001E-2</v>
      </c>
      <c r="AT44" s="16">
        <f>IF(ISNA(VLOOKUP(A44,'Données projet'!$A$61:$I$81,7,0)),0%,VLOOKUP(A44,'Données projet'!$A$61:$I$81,7,0))</f>
        <v>0.13200000000000001</v>
      </c>
      <c r="AU44" s="21">
        <f>EXP(-LN(2)/35)*AU43+(1-EXP(-LN(2)/35))/(LN(2)/35)*AQ44*AR44*VLOOKUP('Données projet'!$B$10,Paramètres!$A$1:$I$89,3,0)*0.475*44/12</f>
        <v>30.347946513592099</v>
      </c>
      <c r="AV44" s="21">
        <f>EXP(-LN(2)/25)*AV43+(1-EXP(-LN(2)/25))/(LN(2)/25)*Calculateur!AQ44*Calculateur!AS44*VLOOKUP('Données projet'!$B$10,Paramètres!$A$1:$I$89,3,0)*0.475*44/12</f>
        <v>13.157430088765832</v>
      </c>
      <c r="AW44" s="21">
        <f>EXP(-LN(2)/2)*AW43+(1-EXP(-LN(2)/2))/(LN(2)/2)*AQ44*AT44*VLOOKUP('Données projet'!$B$10,Paramètres!$A$1:$I$89,3,0)*0.475*44/12</f>
        <v>5.5131256758356351</v>
      </c>
      <c r="AX44" s="21">
        <f t="shared" si="6"/>
        <v>49.018502278193566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11.443589743589744</v>
      </c>
      <c r="N45" s="13">
        <f>IF('Données projet'!$A$36&gt;35,N44+M45-V44,IF(A45&lt;'Données projet'!$A$36,$K$205^A45,IF(A45='Données projet'!$A$36,'Données projet'!$B$36,N44+M45-V44)))</f>
        <v>284.57692307692309</v>
      </c>
      <c r="O45" s="13">
        <f>N45*VLOOKUP('Données projet'!$B$9,Paramètres!$A$1:$I$89,3,0)*VLOOKUP('Données projet'!$B$9,Paramètres!$A$1:$I$89,5,0)</f>
        <v>133.18200000000002</v>
      </c>
      <c r="P45" s="13">
        <f t="shared" si="33"/>
        <v>34.730588096149795</v>
      </c>
      <c r="Q45" s="20">
        <f t="shared" si="53"/>
        <v>292.44775760079426</v>
      </c>
      <c r="R45" s="59">
        <f t="shared" si="0"/>
        <v>585.78109093412763</v>
      </c>
      <c r="S45" s="59">
        <f ca="1">AVERAGE(OFFSET($R$3,0,0,'Données projet'!$E$9+1,1))-AVERAGE(OFFSET($H$3,0,0,'Données projet'!$E$9+1,1))</f>
        <v>204.77882499755987</v>
      </c>
      <c r="T45" s="59">
        <f t="shared" si="34"/>
        <v>152.46480920430594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11.861538461538462</v>
      </c>
      <c r="AI45" s="13">
        <f>IF('Données projet'!$A$62&gt;35,AI44+AH45-AQ44,IF(A45&lt;'Données projet'!$A$62,$AF$205^A45,IF(A45='Données projet'!$A$62,'Données projet'!$B$62,AI44+AH45-AQ44)))</f>
        <v>196.19230769230771</v>
      </c>
      <c r="AJ45" s="13">
        <f>AI45*VLOOKUP('Données projet'!$B$10,Paramètres!$A$1:$I$89,3,0)*VLOOKUP('Données projet'!$B$10,Paramètres!$A$1:$I$89,5,0)</f>
        <v>117.32300000000002</v>
      </c>
      <c r="AK45" s="13">
        <f t="shared" si="35"/>
        <v>31.049815552357138</v>
      </c>
      <c r="AL45" s="20">
        <f t="shared" si="4"/>
        <v>258.41598708702207</v>
      </c>
      <c r="AM45" s="59">
        <f t="shared" si="5"/>
        <v>551.74932042035539</v>
      </c>
      <c r="AN45" s="59">
        <f ca="1">AVERAGE(OFFSET($AM$3,0,0,'Données projet'!$E$10+1,1))-AVERAGE(OFFSET($H$3,0,0,'Données projet'!$E$10+1,1))</f>
        <v>237.03649693529445</v>
      </c>
      <c r="AO45" s="59">
        <f t="shared" si="36"/>
        <v>191.04289411674887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29.752841792880179</v>
      </c>
      <c r="AV45" s="21">
        <f>EXP(-LN(2)/25)*AV44+(1-EXP(-LN(2)/25))/(LN(2)/25)*Calculateur!AQ45*Calculateur!AS45*VLOOKUP('Données projet'!$B$10,Paramètres!$A$1:$I$89,3,0)*0.475*44/12</f>
        <v>12.797639471069353</v>
      </c>
      <c r="AW45" s="21">
        <f>EXP(-LN(2)/2)*AW44+(1-EXP(-LN(2)/2))/(LN(2)/2)*AQ45*AT45*VLOOKUP('Données projet'!$B$10,Paramètres!$A$1:$I$89,3,0)*0.475*44/12</f>
        <v>3.8983685509170458</v>
      </c>
      <c r="AX45" s="21">
        <f t="shared" si="6"/>
        <v>46.448849814866584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11.443589743589744</v>
      </c>
      <c r="N46" s="13">
        <f>IF('Données projet'!$A$36&gt;35,N45+M46-V45,IF(A46&lt;'Données projet'!$A$36,$K$205^A46,IF(A46='Données projet'!$A$36,'Données projet'!$B$36,N45+M46-V45)))</f>
        <v>296.02051282051286</v>
      </c>
      <c r="O46" s="13">
        <f>N46*VLOOKUP('Données projet'!$B$9,Paramètres!$A$1:$I$89,3,0)*VLOOKUP('Données projet'!$B$9,Paramètres!$A$1:$I$89,5,0)</f>
        <v>138.53760000000003</v>
      </c>
      <c r="P46" s="13">
        <f t="shared" si="33"/>
        <v>35.9617857252005</v>
      </c>
      <c r="Q46" s="20">
        <f t="shared" si="53"/>
        <v>303.91976347139087</v>
      </c>
      <c r="R46" s="59">
        <f t="shared" si="0"/>
        <v>597.25309680472424</v>
      </c>
      <c r="S46" s="59">
        <f ca="1">AVERAGE(OFFSET($R$3,0,0,'Données projet'!$E$9+1,1))-AVERAGE(OFFSET($H$3,0,0,'Données projet'!$E$9+1,1))</f>
        <v>204.77882499755987</v>
      </c>
      <c r="T46" s="59">
        <f t="shared" si="34"/>
        <v>152.46480920430594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11.861538461538462</v>
      </c>
      <c r="AI46" s="13">
        <f>IF('Données projet'!$A$62&gt;35,AI45+AH46-AQ45,IF(A46&lt;'Données projet'!$A$62,$AF$205^A46,IF(A46='Données projet'!$A$62,'Données projet'!$B$62,AI45+AH46-AQ45)))</f>
        <v>208.05384615384617</v>
      </c>
      <c r="AJ46" s="13">
        <f>AI46*VLOOKUP('Données projet'!$B$10,Paramètres!$A$1:$I$89,3,0)*VLOOKUP('Données projet'!$B$10,Paramètres!$A$1:$I$89,5,0)</f>
        <v>124.41620000000002</v>
      </c>
      <c r="AK46" s="13">
        <f t="shared" si="35"/>
        <v>32.702828934083335</v>
      </c>
      <c r="AL46" s="20">
        <f t="shared" si="4"/>
        <v>273.64897539352847</v>
      </c>
      <c r="AM46" s="59">
        <f t="shared" si="5"/>
        <v>566.98230872686179</v>
      </c>
      <c r="AN46" s="59">
        <f ca="1">AVERAGE(OFFSET($AM$3,0,0,'Données projet'!$E$10+1,1))-AVERAGE(OFFSET($H$3,0,0,'Données projet'!$E$10+1,1))</f>
        <v>237.03649693529445</v>
      </c>
      <c r="AO46" s="59">
        <f t="shared" si="36"/>
        <v>191.04289411674887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29.169406712763383</v>
      </c>
      <c r="AV46" s="21">
        <f>EXP(-LN(2)/25)*AV45+(1-EXP(-LN(2)/25))/(LN(2)/25)*Calculateur!AQ46*Calculateur!AS46*VLOOKUP('Données projet'!$B$10,Paramètres!$A$1:$I$89,3,0)*0.475*44/12</f>
        <v>12.447687346734352</v>
      </c>
      <c r="AW46" s="21">
        <f>EXP(-LN(2)/2)*AW45+(1-EXP(-LN(2)/2))/(LN(2)/2)*AQ46*AT46*VLOOKUP('Données projet'!$B$10,Paramètres!$A$1:$I$89,3,0)*0.475*44/12</f>
        <v>2.756562837917818</v>
      </c>
      <c r="AX46" s="21">
        <f t="shared" si="6"/>
        <v>44.37365689741555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11.443589743589744</v>
      </c>
      <c r="N47" s="13">
        <f>IF('Données projet'!$A$36&gt;35,N46+M47-V46,IF(A47&lt;'Données projet'!$A$36,$K$205^A47,IF(A47='Données projet'!$A$36,'Données projet'!$B$36,N46+M47-V46)))</f>
        <v>307.46410256410263</v>
      </c>
      <c r="O47" s="13">
        <f>N47*VLOOKUP('Données projet'!$B$9,Paramètres!$A$1:$I$89,3,0)*VLOOKUP('Données projet'!$B$9,Paramètres!$A$1:$I$89,5,0)</f>
        <v>143.89320000000004</v>
      </c>
      <c r="P47" s="13">
        <f t="shared" si="33"/>
        <v>37.187454199603145</v>
      </c>
      <c r="Q47" s="20">
        <f t="shared" si="53"/>
        <v>315.38213939764222</v>
      </c>
      <c r="R47" s="59">
        <f t="shared" si="0"/>
        <v>608.71547273097553</v>
      </c>
      <c r="S47" s="59">
        <f ca="1">AVERAGE(OFFSET($R$3,0,0,'Données projet'!$E$9+1,1))-AVERAGE(OFFSET($H$3,0,0,'Données projet'!$E$9+1,1))</f>
        <v>204.77882499755987</v>
      </c>
      <c r="T47" s="59">
        <f t="shared" si="34"/>
        <v>152.46480920430594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11.861538461538462</v>
      </c>
      <c r="AI47" s="13">
        <f>IF('Données projet'!$A$62&gt;35,AI46+AH47-AQ46,IF(A47&lt;'Données projet'!$A$62,$AF$205^A47,IF(A47='Données projet'!$A$62,'Données projet'!$B$62,AI46+AH47-AQ46)))</f>
        <v>219.91538461538462</v>
      </c>
      <c r="AJ47" s="13">
        <f>AI47*VLOOKUP('Données projet'!$B$10,Paramètres!$A$1:$I$89,3,0)*VLOOKUP('Données projet'!$B$10,Paramètres!$A$1:$I$89,5,0)</f>
        <v>131.50940000000003</v>
      </c>
      <c r="AK47" s="13">
        <f t="shared" si="35"/>
        <v>34.344902681781598</v>
      </c>
      <c r="AL47" s="20">
        <f t="shared" si="4"/>
        <v>288.86291050410301</v>
      </c>
      <c r="AM47" s="59">
        <f t="shared" si="5"/>
        <v>582.19624383743633</v>
      </c>
      <c r="AN47" s="59">
        <f ca="1">AVERAGE(OFFSET($AM$3,0,0,'Données projet'!$E$10+1,1))-AVERAGE(OFFSET($H$3,0,0,'Données projet'!$E$10+1,1))</f>
        <v>237.03649693529445</v>
      </c>
      <c r="AO47" s="59">
        <f t="shared" si="36"/>
        <v>191.04289411674887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28.597412438707416</v>
      </c>
      <c r="AV47" s="21">
        <f>EXP(-LN(2)/25)*AV46+(1-EXP(-LN(2)/25))/(LN(2)/25)*Calculateur!AQ47*Calculateur!AS47*VLOOKUP('Données projet'!$B$10,Paramètres!$A$1:$I$89,3,0)*0.475*44/12</f>
        <v>12.107304681642473</v>
      </c>
      <c r="AW47" s="21">
        <f>EXP(-LN(2)/2)*AW46+(1-EXP(-LN(2)/2))/(LN(2)/2)*AQ47*AT47*VLOOKUP('Données projet'!$B$10,Paramètres!$A$1:$I$89,3,0)*0.475*44/12</f>
        <v>1.9491842754585231</v>
      </c>
      <c r="AX47" s="21">
        <f t="shared" si="6"/>
        <v>42.653901395808411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11.443589743589744</v>
      </c>
      <c r="N48" s="13">
        <f>IF('Données projet'!$A$36&gt;35,N47+M48-V47,IF(A48&lt;'Données projet'!$A$36,$K$205^A48,IF(A48='Données projet'!$A$36,'Données projet'!$B$36,N47+M48-V47)))</f>
        <v>318.9076923076924</v>
      </c>
      <c r="O48" s="13">
        <f>N48*VLOOKUP('Données projet'!$B$9,Paramètres!$A$1:$I$89,3,0)*VLOOKUP('Données projet'!$B$9,Paramètres!$A$1:$I$89,5,0)</f>
        <v>149.24880000000005</v>
      </c>
      <c r="P48" s="13">
        <f t="shared" si="33"/>
        <v>38.40782287536252</v>
      </c>
      <c r="Q48" s="20">
        <f t="shared" si="53"/>
        <v>326.83528484125645</v>
      </c>
      <c r="R48" s="59">
        <f t="shared" si="0"/>
        <v>620.16861817458971</v>
      </c>
      <c r="S48" s="59">
        <f ca="1">AVERAGE(OFFSET($R$3,0,0,'Données projet'!$E$9+1,1))-AVERAGE(OFFSET($H$3,0,0,'Données projet'!$E$9+1,1))</f>
        <v>204.77882499755987</v>
      </c>
      <c r="T48" s="59">
        <f t="shared" si="34"/>
        <v>152.46480920430594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11.861538461538462</v>
      </c>
      <c r="AI48" s="13">
        <f>IF('Données projet'!$A$62&gt;35,AI47+AH48-AQ47,IF(A48&lt;'Données projet'!$A$62,$AF$205^A48,IF(A48='Données projet'!$A$62,'Données projet'!$B$62,AI47+AH48-AQ47)))</f>
        <v>231.77692307692308</v>
      </c>
      <c r="AJ48" s="13">
        <f>AI48*VLOOKUP('Données projet'!$B$10,Paramètres!$A$1:$I$89,3,0)*VLOOKUP('Données projet'!$B$10,Paramètres!$A$1:$I$89,5,0)</f>
        <v>138.60260000000002</v>
      </c>
      <c r="AK48" s="13">
        <f t="shared" si="35"/>
        <v>35.976694116938233</v>
      </c>
      <c r="AL48" s="20">
        <f t="shared" si="4"/>
        <v>304.05893725366747</v>
      </c>
      <c r="AM48" s="59">
        <f t="shared" si="5"/>
        <v>597.39227058700078</v>
      </c>
      <c r="AN48" s="59">
        <f ca="1">AVERAGE(OFFSET($AM$3,0,0,'Données projet'!$E$10+1,1))-AVERAGE(OFFSET($H$3,0,0,'Données projet'!$E$10+1,1))</f>
        <v>237.03649693529445</v>
      </c>
      <c r="AO48" s="59">
        <f t="shared" si="36"/>
        <v>191.04289411674887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28.036634623483629</v>
      </c>
      <c r="AV48" s="21">
        <f>EXP(-LN(2)/25)*AV47+(1-EXP(-LN(2)/25))/(LN(2)/25)*Calculateur!AQ48*Calculateur!AS48*VLOOKUP('Données projet'!$B$10,Paramètres!$A$1:$I$89,3,0)*0.475*44/12</f>
        <v>11.776229798427478</v>
      </c>
      <c r="AW48" s="21">
        <f>EXP(-LN(2)/2)*AW47+(1-EXP(-LN(2)/2))/(LN(2)/2)*AQ48*AT48*VLOOKUP('Données projet'!$B$10,Paramètres!$A$1:$I$89,3,0)*0.475*44/12</f>
        <v>1.3782814189589092</v>
      </c>
      <c r="AX48" s="21">
        <f t="shared" si="6"/>
        <v>41.191145840870014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11.443589743589744</v>
      </c>
      <c r="N49" s="13">
        <f>IF('Données projet'!$A$36&gt;35,N48+M49-V48,IF(A49&lt;'Données projet'!$A$36,$K$205^A49,IF(A49='Données projet'!$A$36,'Données projet'!$B$36,N48+M49-V48)))</f>
        <v>330.35128205128217</v>
      </c>
      <c r="O49" s="13">
        <f>N49*VLOOKUP('Données projet'!$B$9,Paramètres!$A$1:$I$89,3,0)*VLOOKUP('Données projet'!$B$9,Paramètres!$A$1:$I$89,5,0)</f>
        <v>154.60440000000006</v>
      </c>
      <c r="P49" s="13">
        <f t="shared" si="33"/>
        <v>39.623103715153171</v>
      </c>
      <c r="Q49" s="20">
        <f t="shared" si="53"/>
        <v>338.2795689705585</v>
      </c>
      <c r="R49" s="59">
        <f t="shared" si="0"/>
        <v>631.61290230389181</v>
      </c>
      <c r="S49" s="59">
        <f ca="1">AVERAGE(OFFSET($R$3,0,0,'Données projet'!$E$9+1,1))-AVERAGE(OFFSET($H$3,0,0,'Données projet'!$E$9+1,1))</f>
        <v>204.77882499755987</v>
      </c>
      <c r="T49" s="59">
        <f t="shared" si="34"/>
        <v>152.46480920430594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11.861538461538462</v>
      </c>
      <c r="AI49" s="13">
        <f>IF('Données projet'!$A$62&gt;35,AI48+AH49-AQ48,IF(A49&lt;'Données projet'!$A$62,$AF$205^A49,IF(A49='Données projet'!$A$62,'Données projet'!$B$62,AI48+AH49-AQ48)))</f>
        <v>243.63846153846154</v>
      </c>
      <c r="AJ49" s="13">
        <f>AI49*VLOOKUP('Données projet'!$B$10,Paramètres!$A$1:$I$89,3,0)*VLOOKUP('Données projet'!$B$10,Paramètres!$A$1:$I$89,5,0)</f>
        <v>145.69580000000002</v>
      </c>
      <c r="AK49" s="13">
        <f t="shared" si="35"/>
        <v>37.598789481990465</v>
      </c>
      <c r="AL49" s="20">
        <f t="shared" si="4"/>
        <v>319.23807668113341</v>
      </c>
      <c r="AM49" s="59">
        <f t="shared" si="5"/>
        <v>612.57141001446666</v>
      </c>
      <c r="AN49" s="59">
        <f ca="1">AVERAGE(OFFSET($AM$3,0,0,'Données projet'!$E$10+1,1))-AVERAGE(OFFSET($H$3,0,0,'Données projet'!$E$10+1,1))</f>
        <v>237.03649693529445</v>
      </c>
      <c r="AO49" s="59">
        <f t="shared" si="36"/>
        <v>191.04289411674887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27.486853319175687</v>
      </c>
      <c r="AV49" s="21">
        <f>EXP(-LN(2)/25)*AV48+(1-EXP(-LN(2)/25))/(LN(2)/25)*Calculateur!AQ49*Calculateur!AS49*VLOOKUP('Données projet'!$B$10,Paramètres!$A$1:$I$89,3,0)*0.475*44/12</f>
        <v>11.454208175304467</v>
      </c>
      <c r="AW49" s="21">
        <f>EXP(-LN(2)/2)*AW48+(1-EXP(-LN(2)/2))/(LN(2)/2)*AQ49*AT49*VLOOKUP('Données projet'!$B$10,Paramètres!$A$1:$I$89,3,0)*0.475*44/12</f>
        <v>0.97459213772926168</v>
      </c>
      <c r="AX49" s="21">
        <f t="shared" si="6"/>
        <v>39.915653632209413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11.443589743589744</v>
      </c>
      <c r="N50" s="13">
        <f>IF('Données projet'!$A$36&gt;35,N49+M50-V49,IF(A50&lt;'Données projet'!$A$36,$K$205^A50,IF(A50='Données projet'!$A$36,'Données projet'!$B$36,N49+M50-V49)))</f>
        <v>341.79487179487194</v>
      </c>
      <c r="O50" s="13">
        <f>N50*VLOOKUP('Données projet'!$B$9,Paramètres!$A$1:$I$89,3,0)*VLOOKUP('Données projet'!$B$9,Paramètres!$A$1:$I$89,5,0)</f>
        <v>159.96000000000006</v>
      </c>
      <c r="P50" s="13">
        <f t="shared" si="33"/>
        <v>40.833493163758575</v>
      </c>
      <c r="Q50" s="20">
        <f t="shared" si="53"/>
        <v>349.71533392687957</v>
      </c>
      <c r="R50" s="59">
        <f t="shared" si="0"/>
        <v>643.04866726021282</v>
      </c>
      <c r="S50" s="59">
        <f ca="1">AVERAGE(OFFSET($R$3,0,0,'Données projet'!$E$9+1,1))-AVERAGE(OFFSET($H$3,0,0,'Données projet'!$E$9+1,1))</f>
        <v>204.77882499755987</v>
      </c>
      <c r="T50" s="59">
        <f t="shared" si="34"/>
        <v>152.46480920430594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11.861538461538462</v>
      </c>
      <c r="AI50" s="13">
        <f>IF('Données projet'!$A$62&gt;35,AI49+AH50-AQ49,IF(A50&lt;'Données projet'!$A$62,$AF$205^A50,IF(A50='Données projet'!$A$62,'Données projet'!$B$62,AI49+AH50-AQ49)))</f>
        <v>255.5</v>
      </c>
      <c r="AJ50" s="13">
        <f>AI50*VLOOKUP('Données projet'!$B$10,Paramètres!$A$1:$I$89,3,0)*VLOOKUP('Données projet'!$B$10,Paramètres!$A$1:$I$89,5,0)</f>
        <v>152.78900000000002</v>
      </c>
      <c r="AK50" s="13">
        <f t="shared" si="35"/>
        <v>39.211714711932316</v>
      </c>
      <c r="AL50" s="20">
        <f t="shared" si="4"/>
        <v>334.40124478994881</v>
      </c>
      <c r="AM50" s="59">
        <f t="shared" si="5"/>
        <v>627.73457812328206</v>
      </c>
      <c r="AN50" s="59">
        <f ca="1">AVERAGE(OFFSET($AM$3,0,0,'Données projet'!$E$10+1,1))-AVERAGE(OFFSET($H$3,0,0,'Données projet'!$E$10+1,1))</f>
        <v>237.03649693529445</v>
      </c>
      <c r="AO50" s="59">
        <f t="shared" si="36"/>
        <v>191.04289411674887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26.947852890911737</v>
      </c>
      <c r="AV50" s="21">
        <f>EXP(-LN(2)/25)*AV49+(1-EXP(-LN(2)/25))/(LN(2)/25)*Calculateur!AQ50*Calculateur!AS50*VLOOKUP('Données projet'!$B$10,Paramètres!$A$1:$I$89,3,0)*0.475*44/12</f>
        <v>11.140992250400137</v>
      </c>
      <c r="AW50" s="21">
        <f>EXP(-LN(2)/2)*AW49+(1-EXP(-LN(2)/2))/(LN(2)/2)*AQ50*AT50*VLOOKUP('Données projet'!$B$10,Paramètres!$A$1:$I$89,3,0)*0.475*44/12</f>
        <v>0.68914070947945472</v>
      </c>
      <c r="AX50" s="21">
        <f t="shared" si="6"/>
        <v>38.777985850791325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11.443589743589744</v>
      </c>
      <c r="N51" s="13">
        <f>IF('Données projet'!$A$36&gt;35,N50+M51-V50,IF(A51&lt;'Données projet'!$A$36,$K$205^A51,IF(A51='Données projet'!$A$36,'Données projet'!$B$36,N50+M51-V50)))</f>
        <v>353.23846153846171</v>
      </c>
      <c r="O51" s="13">
        <f>N51*VLOOKUP('Données projet'!$B$9,Paramètres!$A$1:$I$89,3,0)*VLOOKUP('Données projet'!$B$9,Paramètres!$A$1:$I$89,5,0)</f>
        <v>165.31560000000007</v>
      </c>
      <c r="P51" s="13">
        <f t="shared" si="33"/>
        <v>42.039173765288623</v>
      </c>
      <c r="Q51" s="20">
        <f t="shared" si="53"/>
        <v>361.14289764121116</v>
      </c>
      <c r="R51" s="59">
        <f t="shared" si="0"/>
        <v>654.47623097454448</v>
      </c>
      <c r="S51" s="59">
        <f ca="1">AVERAGE(OFFSET($R$3,0,0,'Données projet'!$E$9+1,1))-AVERAGE(OFFSET($H$3,0,0,'Données projet'!$E$9+1,1))</f>
        <v>204.77882499755987</v>
      </c>
      <c r="T51" s="59">
        <f t="shared" si="34"/>
        <v>152.46480920430594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11.861538461538462</v>
      </c>
      <c r="AI51" s="13">
        <f>IF('Données projet'!$A$62&gt;35,AI50+AH51-AQ50,IF(A51&lt;'Données projet'!$A$62,$AF$205^A51,IF(A51='Données projet'!$A$62,'Données projet'!$B$62,AI50+AH51-AQ50)))</f>
        <v>267.36153846153849</v>
      </c>
      <c r="AJ51" s="13">
        <f>AI51*VLOOKUP('Données projet'!$B$10,Paramètres!$A$1:$I$89,3,0)*VLOOKUP('Données projet'!$B$10,Paramètres!$A$1:$I$89,5,0)</f>
        <v>159.88220000000001</v>
      </c>
      <c r="AK51" s="13">
        <f t="shared" si="35"/>
        <v>40.815944149041762</v>
      </c>
      <c r="AL51" s="20">
        <f t="shared" si="4"/>
        <v>349.54926772624776</v>
      </c>
      <c r="AM51" s="59">
        <f t="shared" si="5"/>
        <v>642.88260105958102</v>
      </c>
      <c r="AN51" s="59">
        <f ca="1">AVERAGE(OFFSET($AM$3,0,0,'Données projet'!$E$10+1,1))-AVERAGE(OFFSET($H$3,0,0,'Données projet'!$E$10+1,1))</f>
        <v>237.03649693529445</v>
      </c>
      <c r="AO51" s="59">
        <f t="shared" si="36"/>
        <v>191.04289411674887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26.419421932288245</v>
      </c>
      <c r="AV51" s="21">
        <f>EXP(-LN(2)/25)*AV50+(1-EXP(-LN(2)/25))/(LN(2)/25)*Calculateur!AQ51*Calculateur!AS51*VLOOKUP('Données projet'!$B$10,Paramètres!$A$1:$I$89,3,0)*0.475*44/12</f>
        <v>10.836341231433625</v>
      </c>
      <c r="AW51" s="21">
        <f>EXP(-LN(2)/2)*AW50+(1-EXP(-LN(2)/2))/(LN(2)/2)*AQ51*AT51*VLOOKUP('Données projet'!$B$10,Paramètres!$A$1:$I$89,3,0)*0.475*44/12</f>
        <v>0.48729606886463095</v>
      </c>
      <c r="AX51" s="21">
        <f t="shared" si="6"/>
        <v>37.743059232586496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11.443589743589744</v>
      </c>
      <c r="N52" s="13">
        <f>IF('Données projet'!$A$36&gt;35,N51+M52-V51,IF(A52&lt;'Données projet'!$A$36,$K$205^A52,IF(A52='Données projet'!$A$36,'Données projet'!$B$36,N51+M52-V51)))</f>
        <v>364.68205128205148</v>
      </c>
      <c r="O52" s="13">
        <f>N52*VLOOKUP('Données projet'!$B$9,Paramètres!$A$1:$I$89,3,0)*VLOOKUP('Données projet'!$B$9,Paramètres!$A$1:$I$89,5,0)</f>
        <v>170.67120000000008</v>
      </c>
      <c r="P52" s="13">
        <f t="shared" si="33"/>
        <v>43.240315564943899</v>
      </c>
      <c r="Q52" s="20">
        <f t="shared" si="53"/>
        <v>372.56255627561069</v>
      </c>
      <c r="R52" s="59">
        <f t="shared" si="0"/>
        <v>665.895889608944</v>
      </c>
      <c r="S52" s="59">
        <f ca="1">AVERAGE(OFFSET($R$3,0,0,'Données projet'!$E$9+1,1))-AVERAGE(OFFSET($H$3,0,0,'Données projet'!$E$9+1,1))</f>
        <v>204.77882499755987</v>
      </c>
      <c r="T52" s="59">
        <f t="shared" si="34"/>
        <v>152.46480920430594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11.861538461538462</v>
      </c>
      <c r="AI52" s="13">
        <f>IF('Données projet'!$A$62&gt;35,AI51+AH52-AQ51,IF(A52&lt;'Données projet'!$A$62,$AF$205^A52,IF(A52='Données projet'!$A$62,'Données projet'!$B$62,AI51+AH52-AQ51)))</f>
        <v>279.22307692307697</v>
      </c>
      <c r="AJ52" s="13">
        <f>AI52*VLOOKUP('Données projet'!$B$10,Paramètres!$A$1:$I$89,3,0)*VLOOKUP('Données projet'!$B$10,Paramètres!$A$1:$I$89,5,0)</f>
        <v>166.97540000000004</v>
      </c>
      <c r="AK52" s="13">
        <f t="shared" si="35"/>
        <v>42.411907667415186</v>
      </c>
      <c r="AL52" s="20">
        <f t="shared" si="4"/>
        <v>364.68289418741483</v>
      </c>
      <c r="AM52" s="59">
        <f t="shared" si="5"/>
        <v>658.01622752074809</v>
      </c>
      <c r="AN52" s="59">
        <f ca="1">AVERAGE(OFFSET($AM$3,0,0,'Données projet'!$E$10+1,1))-AVERAGE(OFFSET($H$3,0,0,'Données projet'!$E$10+1,1))</f>
        <v>237.03649693529445</v>
      </c>
      <c r="AO52" s="59">
        <f t="shared" si="36"/>
        <v>191.04289411674887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25.901353182452301</v>
      </c>
      <c r="AV52" s="21">
        <f>EXP(-LN(2)/25)*AV51+(1-EXP(-LN(2)/25))/(LN(2)/25)*Calculateur!AQ52*Calculateur!AS52*VLOOKUP('Données projet'!$B$10,Paramètres!$A$1:$I$89,3,0)*0.475*44/12</f>
        <v>10.540020910601655</v>
      </c>
      <c r="AW52" s="21">
        <f>EXP(-LN(2)/2)*AW51+(1-EXP(-LN(2)/2))/(LN(2)/2)*AQ52*AT52*VLOOKUP('Données projet'!$B$10,Paramètres!$A$1:$I$89,3,0)*0.475*44/12</f>
        <v>0.34457035473972741</v>
      </c>
      <c r="AX52" s="21">
        <f t="shared" si="6"/>
        <v>36.785944447793682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11.443589743589744</v>
      </c>
      <c r="N53" s="13">
        <f>IF('Données projet'!$A$36&gt;35,N52+M53-V52,IF(A53&lt;'Données projet'!$A$36,$K$205^A53,IF(A53='Données projet'!$A$36,'Données projet'!$B$36,N52+M53-V52)))</f>
        <v>376.12564102564124</v>
      </c>
      <c r="O53" s="13">
        <f>N53*VLOOKUP('Données projet'!$B$9,Paramètres!$A$1:$I$89,3,0)*VLOOKUP('Données projet'!$B$9,Paramètres!$A$1:$I$89,5,0)</f>
        <v>176.02680000000012</v>
      </c>
      <c r="P53" s="13">
        <f t="shared" si="33"/>
        <v>44.437077329889675</v>
      </c>
      <c r="Q53" s="20">
        <f t="shared" si="53"/>
        <v>383.97458634955802</v>
      </c>
      <c r="R53" s="59">
        <f t="shared" si="0"/>
        <v>677.30791968289134</v>
      </c>
      <c r="S53" s="59">
        <f ca="1">AVERAGE(OFFSET($R$3,0,0,'Données projet'!$E$9+1,1))-AVERAGE(OFFSET($H$3,0,0,'Données projet'!$E$9+1,1))</f>
        <v>204.77882499755987</v>
      </c>
      <c r="T53" s="59">
        <f t="shared" si="34"/>
        <v>152.46480920430594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291.08461538461535</v>
      </c>
      <c r="AG53" s="12">
        <f>VLOOKUP(A53,'Données projet'!$A$61:$I$81,9,0)</f>
        <v>11.861538461538462</v>
      </c>
      <c r="AH53" s="12">
        <f t="array" ref="AH53">INDEX(AG:AG,MIN(IF(ISNUMBER(AG53:AG249),ROW(AG53:AG249),"")))</f>
        <v>11.861538461538462</v>
      </c>
      <c r="AI53" s="13">
        <f>IF('Données projet'!$A$62&gt;35,AI52+AH53-AQ52,IF(A53&lt;'Données projet'!$A$62,$AF$205^A53,IF(A53='Données projet'!$A$62,'Données projet'!$B$62,AI52+AH53-AQ52)))</f>
        <v>291.08461538461546</v>
      </c>
      <c r="AJ53" s="13">
        <f>AI53*VLOOKUP('Données projet'!$B$10,Paramètres!$A$1:$I$89,3,0)*VLOOKUP('Données projet'!$B$10,Paramètres!$A$1:$I$89,5,0)</f>
        <v>174.06860000000006</v>
      </c>
      <c r="AK53" s="13">
        <f t="shared" si="35"/>
        <v>43.999996552753878</v>
      </c>
      <c r="AL53" s="20">
        <f t="shared" si="4"/>
        <v>379.80280566271313</v>
      </c>
      <c r="AM53" s="59">
        <f t="shared" si="5"/>
        <v>673.13613899604638</v>
      </c>
      <c r="AN53" s="59">
        <f ca="1">AVERAGE(OFFSET($AM$3,0,0,'Données projet'!$E$10+1,1))-AVERAGE(OFFSET($H$3,0,0,'Données projet'!$E$10+1,1))</f>
        <v>237.03649693529445</v>
      </c>
      <c r="AO53" s="59">
        <f t="shared" si="36"/>
        <v>191.04289411674887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55.292307692307688</v>
      </c>
      <c r="AR53" s="16">
        <f>IF(ISNA(VLOOKUP(A53,'Données projet'!$A$61:$I$81,5,0)),0%,VLOOKUP(A53,'Données projet'!$A$61:$I$81,5,0)*VLOOKUP('Données projet'!$B$10,Paramètres!$A$1:$I$89,7,0))</f>
        <v>0.315</v>
      </c>
      <c r="AS53" s="16">
        <f>IF(ISNA(VLOOKUP(A53,'Données projet'!$A$61:$I$81,6,0)),0%,VLOOKUP(A53,'Données projet'!$A$61:$I$81,6,0)*VLOOKUP('Données projet'!$B$10,Paramètres!$A$1:$I$89,7,0))</f>
        <v>7.5600000000000001E-2</v>
      </c>
      <c r="AT53" s="16">
        <f>IF(ISNA(VLOOKUP(A53,'Données projet'!$A$61:$I$81,7,0)),0%,VLOOKUP(A53,'Données projet'!$A$61:$I$81,7,0))</f>
        <v>0.13200000000000001</v>
      </c>
      <c r="AU53" s="21">
        <f>EXP(-LN(2)/35)*AU52+(1-EXP(-LN(2)/35))/(LN(2)/35)*AQ53*AR53*VLOOKUP('Données projet'!$B$10,Paramètres!$A$1:$I$89,3,0)*0.475*44/12</f>
        <v>39.210158792768354</v>
      </c>
      <c r="AV53" s="21">
        <f>EXP(-LN(2)/25)*AV52+(1-EXP(-LN(2)/25))/(LN(2)/25)*Calculateur!AQ53*Calculateur!AS53*VLOOKUP('Données projet'!$B$10,Paramètres!$A$1:$I$89,3,0)*0.475*44/12</f>
        <v>13.554758766538184</v>
      </c>
      <c r="AW53" s="21">
        <f>EXP(-LN(2)/2)*AW52+(1-EXP(-LN(2)/2))/(LN(2)/2)*AQ53*AT53*VLOOKUP('Données projet'!$B$10,Paramètres!$A$1:$I$89,3,0)*0.475*44/12</f>
        <v>5.1853365846377217</v>
      </c>
      <c r="AX53" s="21">
        <f t="shared" si="6"/>
        <v>57.950254143944264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387.56923076923078</v>
      </c>
      <c r="L54" s="12">
        <f>VLOOKUP(A54,'Données projet'!$A$35:$I$55,9,0)</f>
        <v>11.443589743589744</v>
      </c>
      <c r="M54" s="12">
        <f t="array" ref="M54">INDEX(L:L,MIN(IF(ISNUMBER(L54:L250),ROW(L54:L250),"")))</f>
        <v>11.443589743589744</v>
      </c>
      <c r="N54" s="13">
        <f>IF('Données projet'!$A$36&gt;35,N53+M54-V53,IF(A54&lt;'Données projet'!$A$36,$K$205^A54,IF(A54='Données projet'!$A$36,'Données projet'!$B$36,N53+M54-V53)))</f>
        <v>387.56923076923101</v>
      </c>
      <c r="O54" s="13">
        <f>N54*VLOOKUP('Données projet'!$B$9,Paramètres!$A$1:$I$89,3,0)*VLOOKUP('Données projet'!$B$9,Paramètres!$A$1:$I$89,5,0)</f>
        <v>181.3824000000001</v>
      </c>
      <c r="P54" s="13">
        <f t="shared" si="33"/>
        <v>45.629607617375228</v>
      </c>
      <c r="Q54" s="20">
        <f t="shared" si="53"/>
        <v>395.37924660026198</v>
      </c>
      <c r="R54" s="59">
        <f t="shared" si="0"/>
        <v>688.71257993359529</v>
      </c>
      <c r="S54" s="59">
        <f ca="1">AVERAGE(OFFSET($R$3,0,0,'Données projet'!$E$9+1,1))-AVERAGE(OFFSET($H$3,0,0,'Données projet'!$E$9+1,1))</f>
        <v>204.77882499755987</v>
      </c>
      <c r="T54" s="59">
        <f t="shared" si="34"/>
        <v>152.46480920430594</v>
      </c>
      <c r="U54" s="15">
        <f>IF(ISNA(VLOOKUP(A54,'Données projet'!$A$35:$I$55,3,0)),0,VLOOKUP(A54,'Données projet'!$A$35:$I$55,3,0))</f>
        <v>1</v>
      </c>
      <c r="V54" s="15">
        <f>IF(ISNA(VLOOKUP(A54,'Données projet'!$A$35:$I$55,4,0)),0,VLOOKUP(A54,'Données projet'!$A$35:$I$55,4,0))</f>
        <v>170.16153846153847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0.30800000000000005</v>
      </c>
      <c r="Y54" s="16">
        <f>IF(ISNA(VLOOKUP(A54,'Données projet'!$A$35:$I$55,7,0)),0%,VLOOKUP(A54,'Données projet'!$A$35:$I$55,7,0))</f>
        <v>0.44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32.409547786060251</v>
      </c>
      <c r="AB54" s="21">
        <f>EXP(-LN(2)/2)*AB53+(1-EXP(-LN(2)/2))/(LN(2)/2)*V54*Y54*VLOOKUP('Données projet'!$B$9,Paramètres!$A$1:$I$89,3,0)*0.475*44/12</f>
        <v>39.673039275275386</v>
      </c>
      <c r="AC54" s="22">
        <f t="shared" si="3"/>
        <v>72.08258706133563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10.663076923076932</v>
      </c>
      <c r="AI54" s="13">
        <f>IF('Données projet'!$A$62&gt;35,AI53+AH54-AQ53,IF(A54&lt;'Données projet'!$A$62,$AF$205^A54,IF(A54='Données projet'!$A$62,'Données projet'!$B$62,AI53+AH54-AQ53)))</f>
        <v>246.45538461538467</v>
      </c>
      <c r="AJ54" s="13">
        <f>AI54*VLOOKUP('Données projet'!$B$10,Paramètres!$A$1:$I$89,3,0)*VLOOKUP('Données projet'!$B$10,Paramètres!$A$1:$I$89,5,0)</f>
        <v>147.38032000000004</v>
      </c>
      <c r="AK54" s="13">
        <f t="shared" si="35"/>
        <v>37.982644854557613</v>
      </c>
      <c r="AL54" s="20">
        <f t="shared" si="4"/>
        <v>322.84049712168786</v>
      </c>
      <c r="AM54" s="59">
        <f t="shared" si="5"/>
        <v>616.17383045502118</v>
      </c>
      <c r="AN54" s="59">
        <f ca="1">AVERAGE(OFFSET($AM$3,0,0,'Données projet'!$E$10+1,1))-AVERAGE(OFFSET($H$3,0,0,'Données projet'!$E$10+1,1))</f>
        <v>237.03649693529445</v>
      </c>
      <c r="AO54" s="59">
        <f t="shared" si="36"/>
        <v>191.04289411674887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38.441271494677537</v>
      </c>
      <c r="AV54" s="21">
        <f>EXP(-LN(2)/25)*AV53+(1-EXP(-LN(2)/25))/(LN(2)/25)*Calculateur!AQ54*Calculateur!AS54*VLOOKUP('Données projet'!$B$10,Paramètres!$A$1:$I$89,3,0)*0.475*44/12</f>
        <v>13.184103175253414</v>
      </c>
      <c r="AW54" s="21">
        <f>EXP(-LN(2)/2)*AW53+(1-EXP(-LN(2)/2))/(LN(2)/2)*AQ54*AT54*VLOOKUP('Données projet'!$B$10,Paramètres!$A$1:$I$89,3,0)*0.475*44/12</f>
        <v>3.6665866617320253</v>
      </c>
      <c r="AX54" s="21">
        <f t="shared" si="6"/>
        <v>55.291961331662975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11.170769230769233</v>
      </c>
      <c r="N55" s="13">
        <f>IF('Données projet'!$A$36&gt;35,N54+M55-V54,IF(A55&lt;'Données projet'!$A$36,$K$205^A55,IF(A55='Données projet'!$A$36,'Données projet'!$B$36,N54+M55-V54)))</f>
        <v>228.57846153846177</v>
      </c>
      <c r="O55" s="13">
        <f>N55*VLOOKUP('Données projet'!$B$9,Paramètres!$A$1:$I$89,3,0)*VLOOKUP('Données projet'!$B$9,Paramètres!$A$1:$I$89,5,0)</f>
        <v>106.9747200000001</v>
      </c>
      <c r="P55" s="13">
        <f t="shared" si="33"/>
        <v>28.617052249308387</v>
      </c>
      <c r="Q55" s="20">
        <f t="shared" si="53"/>
        <v>236.15567000087893</v>
      </c>
      <c r="R55" s="59">
        <f t="shared" si="0"/>
        <v>529.48900333421227</v>
      </c>
      <c r="S55" s="59">
        <f ca="1">AVERAGE(OFFSET($R$3,0,0,'Données projet'!$E$9+1,1))-AVERAGE(OFFSET($H$3,0,0,'Données projet'!$E$9+1,1))</f>
        <v>204.77882499755987</v>
      </c>
      <c r="T55" s="59">
        <f t="shared" si="34"/>
        <v>152.46480920430594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31.523306997506388</v>
      </c>
      <c r="AB55" s="21">
        <f>EXP(-LN(2)/2)*AB54+(1-EXP(-LN(2)/2))/(LN(2)/2)*V55*Y55*VLOOKUP('Données projet'!$B$9,Paramètres!$A$1:$I$89,3,0)*0.475*44/12</f>
        <v>28.05307510182746</v>
      </c>
      <c r="AC55" s="22">
        <f t="shared" si="3"/>
        <v>59.576382099333848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10.663076923076932</v>
      </c>
      <c r="AI55" s="13">
        <f>IF('Données projet'!$A$62&gt;35,AI54+AH55-AQ54,IF(A55&lt;'Données projet'!$A$62,$AF$205^A55,IF(A55='Données projet'!$A$62,'Données projet'!$B$62,AI54+AH55-AQ54)))</f>
        <v>257.11846153846159</v>
      </c>
      <c r="AJ55" s="13">
        <f>AI55*VLOOKUP('Données projet'!$B$10,Paramètres!$A$1:$I$89,3,0)*VLOOKUP('Données projet'!$B$10,Paramètres!$A$1:$I$89,5,0)</f>
        <v>153.75684000000004</v>
      </c>
      <c r="AK55" s="13">
        <f t="shared" si="35"/>
        <v>39.431107959482766</v>
      </c>
      <c r="AL55" s="20">
        <f t="shared" si="4"/>
        <v>336.46900936276592</v>
      </c>
      <c r="AM55" s="59">
        <f t="shared" si="5"/>
        <v>629.80234269609923</v>
      </c>
      <c r="AN55" s="59">
        <f ca="1">AVERAGE(OFFSET($AM$3,0,0,'Données projet'!$E$10+1,1))-AVERAGE(OFFSET($H$3,0,0,'Données projet'!$E$10+1,1))</f>
        <v>237.03649693529445</v>
      </c>
      <c r="AO55" s="59">
        <f t="shared" si="36"/>
        <v>191.04289411674887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37.687461607527339</v>
      </c>
      <c r="AV55" s="21">
        <f>EXP(-LN(2)/25)*AV54+(1-EXP(-LN(2)/25))/(LN(2)/25)*Calculateur!AQ55*Calculateur!AS55*VLOOKUP('Données projet'!$B$10,Paramètres!$A$1:$I$89,3,0)*0.475*44/12</f>
        <v>12.823583180604256</v>
      </c>
      <c r="AW55" s="21">
        <f>EXP(-LN(2)/2)*AW54+(1-EXP(-LN(2)/2))/(LN(2)/2)*AQ55*AT55*VLOOKUP('Données projet'!$B$10,Paramètres!$A$1:$I$89,3,0)*0.475*44/12</f>
        <v>2.5926682923188613</v>
      </c>
      <c r="AX55" s="21">
        <f t="shared" si="6"/>
        <v>53.103713080450461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11.170769230769233</v>
      </c>
      <c r="N56" s="13">
        <f>IF('Données projet'!$A$36&gt;35,N55+M56-V55,IF(A56&lt;'Données projet'!$A$36,$K$205^A56,IF(A56='Données projet'!$A$36,'Données projet'!$B$36,N55+M56-V55)))</f>
        <v>239.74923076923099</v>
      </c>
      <c r="O56" s="13">
        <f>N56*VLOOKUP('Données projet'!$B$9,Paramètres!$A$1:$I$89,3,0)*VLOOKUP('Données projet'!$B$9,Paramètres!$A$1:$I$89,5,0)</f>
        <v>112.2026400000001</v>
      </c>
      <c r="P56" s="13">
        <f t="shared" si="33"/>
        <v>29.84934340268536</v>
      </c>
      <c r="Q56" s="20">
        <f t="shared" si="53"/>
        <v>247.40720442634384</v>
      </c>
      <c r="R56" s="59">
        <f t="shared" si="0"/>
        <v>540.74053775967718</v>
      </c>
      <c r="S56" s="59">
        <f ca="1">AVERAGE(OFFSET($R$3,0,0,'Données projet'!$E$9+1,1))-AVERAGE(OFFSET($H$3,0,0,'Données projet'!$E$9+1,1))</f>
        <v>204.77882499755987</v>
      </c>
      <c r="T56" s="59">
        <f t="shared" si="34"/>
        <v>152.46480920430594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30.66130050992091</v>
      </c>
      <c r="AB56" s="21">
        <f>EXP(-LN(2)/2)*AB55+(1-EXP(-LN(2)/2))/(LN(2)/2)*V56*Y56*VLOOKUP('Données projet'!$B$9,Paramètres!$A$1:$I$89,3,0)*0.475*44/12</f>
        <v>19.836519637637696</v>
      </c>
      <c r="AC56" s="22">
        <f t="shared" si="3"/>
        <v>50.497820147558606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10.663076923076932</v>
      </c>
      <c r="AI56" s="13">
        <f>IF('Données projet'!$A$62&gt;35,AI55+AH56-AQ55,IF(A56&lt;'Données projet'!$A$62,$AF$205^A56,IF(A56='Données projet'!$A$62,'Données projet'!$B$62,AI55+AH56-AQ55)))</f>
        <v>267.7815384615385</v>
      </c>
      <c r="AJ56" s="13">
        <f>AI56*VLOOKUP('Données projet'!$B$10,Paramètres!$A$1:$I$89,3,0)*VLOOKUP('Données projet'!$B$10,Paramètres!$A$1:$I$89,5,0)</f>
        <v>160.13336000000004</v>
      </c>
      <c r="AK56" s="13">
        <f t="shared" si="35"/>
        <v>40.872593668242253</v>
      </c>
      <c r="AL56" s="20">
        <f t="shared" si="4"/>
        <v>350.08536930552197</v>
      </c>
      <c r="AM56" s="59">
        <f t="shared" si="5"/>
        <v>643.41870263885528</v>
      </c>
      <c r="AN56" s="59">
        <f ca="1">AVERAGE(OFFSET($AM$3,0,0,'Données projet'!$E$10+1,1))-AVERAGE(OFFSET($H$3,0,0,'Données projet'!$E$10+1,1))</f>
        <v>237.03649693529445</v>
      </c>
      <c r="AO56" s="59">
        <f t="shared" si="36"/>
        <v>191.04289411674887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36.948433472485526</v>
      </c>
      <c r="AV56" s="21">
        <f>EXP(-LN(2)/25)*AV55+(1-EXP(-LN(2)/25))/(LN(2)/25)*Calculateur!AQ56*Calculateur!AS56*VLOOKUP('Données projet'!$B$10,Paramètres!$A$1:$I$89,3,0)*0.475*44/12</f>
        <v>12.472921624167702</v>
      </c>
      <c r="AW56" s="21">
        <f>EXP(-LN(2)/2)*AW55+(1-EXP(-LN(2)/2))/(LN(2)/2)*AQ56*AT56*VLOOKUP('Données projet'!$B$10,Paramètres!$A$1:$I$89,3,0)*0.475*44/12</f>
        <v>1.8332933308660131</v>
      </c>
      <c r="AX56" s="21">
        <f t="shared" si="6"/>
        <v>51.254648427519243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11.170769230769233</v>
      </c>
      <c r="N57" s="13">
        <f>IF('Données projet'!$A$36&gt;35,N56+M57-V56,IF(A57&lt;'Données projet'!$A$36,$K$205^A57,IF(A57='Données projet'!$A$36,'Données projet'!$B$36,N56+M57-V56)))</f>
        <v>250.92000000000021</v>
      </c>
      <c r="O57" s="13">
        <f>N57*VLOOKUP('Données projet'!$B$9,Paramètres!$A$1:$I$89,3,0)*VLOOKUP('Données projet'!$B$9,Paramètres!$A$1:$I$89,5,0)</f>
        <v>117.43056000000011</v>
      </c>
      <c r="P57" s="13">
        <f t="shared" si="33"/>
        <v>31.074966780724139</v>
      </c>
      <c r="Q57" s="20">
        <f t="shared" si="53"/>
        <v>258.64712580976141</v>
      </c>
      <c r="R57" s="59">
        <f t="shared" si="0"/>
        <v>551.98045914309478</v>
      </c>
      <c r="S57" s="59">
        <f ca="1">AVERAGE(OFFSET($R$3,0,0,'Données projet'!$E$9+1,1))-AVERAGE(OFFSET($H$3,0,0,'Données projet'!$E$9+1,1))</f>
        <v>204.77882499755987</v>
      </c>
      <c r="T57" s="59">
        <f t="shared" si="34"/>
        <v>152.46480920430594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29.822865635069405</v>
      </c>
      <c r="AB57" s="21">
        <f>EXP(-LN(2)/2)*AB56+(1-EXP(-LN(2)/2))/(LN(2)/2)*V57*Y57*VLOOKUP('Données projet'!$B$9,Paramètres!$A$1:$I$89,3,0)*0.475*44/12</f>
        <v>14.026537550913732</v>
      </c>
      <c r="AC57" s="22">
        <f t="shared" si="3"/>
        <v>43.849403185983135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10.663076923076932</v>
      </c>
      <c r="AI57" s="13">
        <f>IF('Données projet'!$A$62&gt;35,AI56+AH57-AQ56,IF(A57&lt;'Données projet'!$A$62,$AF$205^A57,IF(A57='Données projet'!$A$62,'Données projet'!$B$62,AI56+AH57-AQ56)))</f>
        <v>278.44461538461542</v>
      </c>
      <c r="AJ57" s="13">
        <f>AI57*VLOOKUP('Données projet'!$B$10,Paramètres!$A$1:$I$89,3,0)*VLOOKUP('Données projet'!$B$10,Paramètres!$A$1:$I$89,5,0)</f>
        <v>166.50988000000001</v>
      </c>
      <c r="AK57" s="13">
        <f t="shared" si="35"/>
        <v>42.307411610776938</v>
      </c>
      <c r="AL57" s="20">
        <f t="shared" si="4"/>
        <v>363.69011622210314</v>
      </c>
      <c r="AM57" s="59">
        <f t="shared" si="5"/>
        <v>657.0234495554364</v>
      </c>
      <c r="AN57" s="59">
        <f ca="1">AVERAGE(OFFSET($AM$3,0,0,'Données projet'!$E$10+1,1))-AVERAGE(OFFSET($H$3,0,0,'Données projet'!$E$10+1,1))</f>
        <v>237.03649693529445</v>
      </c>
      <c r="AO57" s="59">
        <f t="shared" si="36"/>
        <v>191.04289411674887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36.223897228409228</v>
      </c>
      <c r="AV57" s="21">
        <f>EXP(-LN(2)/25)*AV56+(1-EXP(-LN(2)/25))/(LN(2)/25)*Calculateur!AQ57*Calculateur!AS57*VLOOKUP('Données projet'!$B$10,Paramètres!$A$1:$I$89,3,0)*0.475*44/12</f>
        <v>12.131848926432395</v>
      </c>
      <c r="AW57" s="21">
        <f>EXP(-LN(2)/2)*AW56+(1-EXP(-LN(2)/2))/(LN(2)/2)*AQ57*AT57*VLOOKUP('Données projet'!$B$10,Paramètres!$A$1:$I$89,3,0)*0.475*44/12</f>
        <v>1.2963341461594309</v>
      </c>
      <c r="AX57" s="21">
        <f t="shared" si="6"/>
        <v>49.652080301001057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11.170769230769233</v>
      </c>
      <c r="N58" s="13">
        <f>IF('Données projet'!$A$36&gt;35,N57+M58-V57,IF(A58&lt;'Données projet'!$A$36,$K$205^A58,IF(A58='Données projet'!$A$36,'Données projet'!$B$36,N57+M58-V57)))</f>
        <v>262.09076923076947</v>
      </c>
      <c r="O58" s="13">
        <f>N58*VLOOKUP('Données projet'!$B$9,Paramètres!$A$1:$I$89,3,0)*VLOOKUP('Données projet'!$B$9,Paramètres!$A$1:$I$89,5,0)</f>
        <v>122.6584800000001</v>
      </c>
      <c r="P58" s="13">
        <f t="shared" si="33"/>
        <v>32.294253146422101</v>
      </c>
      <c r="Q58" s="20">
        <f t="shared" si="53"/>
        <v>269.87601023001861</v>
      </c>
      <c r="R58" s="59">
        <f t="shared" si="0"/>
        <v>563.20934356335192</v>
      </c>
      <c r="S58" s="59">
        <f ca="1">AVERAGE(OFFSET($R$3,0,0,'Données projet'!$E$9+1,1))-AVERAGE(OFFSET($H$3,0,0,'Données projet'!$E$9+1,1))</f>
        <v>204.77882499755987</v>
      </c>
      <c r="T58" s="59">
        <f t="shared" si="34"/>
        <v>152.46480920430594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29.007357805962091</v>
      </c>
      <c r="AB58" s="21">
        <f>EXP(-LN(2)/2)*AB57+(1-EXP(-LN(2)/2))/(LN(2)/2)*V58*Y58*VLOOKUP('Données projet'!$B$9,Paramètres!$A$1:$I$89,3,0)*0.475*44/12</f>
        <v>9.9182598188188482</v>
      </c>
      <c r="AC58" s="22">
        <f t="shared" si="3"/>
        <v>38.925617624780941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10.663076923076932</v>
      </c>
      <c r="AI58" s="13">
        <f>IF('Données projet'!$A$62&gt;35,AI57+AH58-AQ57,IF(A58&lt;'Données projet'!$A$62,$AF$205^A58,IF(A58='Données projet'!$A$62,'Données projet'!$B$62,AI57+AH58-AQ57)))</f>
        <v>289.10769230769233</v>
      </c>
      <c r="AJ58" s="13">
        <f>AI58*VLOOKUP('Données projet'!$B$10,Paramètres!$A$1:$I$89,3,0)*VLOOKUP('Données projet'!$B$10,Paramètres!$A$1:$I$89,5,0)</f>
        <v>172.88640000000001</v>
      </c>
      <c r="AK58" s="13">
        <f t="shared" si="35"/>
        <v>43.735846359314351</v>
      </c>
      <c r="AL58" s="20">
        <f t="shared" si="4"/>
        <v>377.28374574247255</v>
      </c>
      <c r="AM58" s="59">
        <f t="shared" si="5"/>
        <v>670.6170790758058</v>
      </c>
      <c r="AN58" s="59">
        <f ca="1">AVERAGE(OFFSET($AM$3,0,0,'Données projet'!$E$10+1,1))-AVERAGE(OFFSET($H$3,0,0,'Données projet'!$E$10+1,1))</f>
        <v>237.03649693529445</v>
      </c>
      <c r="AO58" s="59">
        <f t="shared" si="36"/>
        <v>191.04289411674887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35.513568698155794</v>
      </c>
      <c r="AV58" s="21">
        <f>EXP(-LN(2)/25)*AV57+(1-EXP(-LN(2)/25))/(LN(2)/25)*Calculateur!AQ58*Calculateur!AS58*VLOOKUP('Données projet'!$B$10,Paramètres!$A$1:$I$89,3,0)*0.475*44/12</f>
        <v>11.800102879552893</v>
      </c>
      <c r="AW58" s="21">
        <f>EXP(-LN(2)/2)*AW57+(1-EXP(-LN(2)/2))/(LN(2)/2)*AQ58*AT58*VLOOKUP('Données projet'!$B$10,Paramètres!$A$1:$I$89,3,0)*0.475*44/12</f>
        <v>0.91664666543300666</v>
      </c>
      <c r="AX58" s="21">
        <f t="shared" si="6"/>
        <v>48.230318243141696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11.170769230769233</v>
      </c>
      <c r="N59" s="13">
        <f>IF('Données projet'!$A$36&gt;35,N58+M59-V58,IF(A59&lt;'Données projet'!$A$36,$K$205^A59,IF(A59='Données projet'!$A$36,'Données projet'!$B$36,N58+M59-V58)))</f>
        <v>273.26153846153869</v>
      </c>
      <c r="O59" s="13">
        <f>N59*VLOOKUP('Données projet'!$B$9,Paramètres!$A$1:$I$89,3,0)*VLOOKUP('Données projet'!$B$9,Paramètres!$A$1:$I$89,5,0)</f>
        <v>127.88640000000011</v>
      </c>
      <c r="P59" s="13">
        <f t="shared" si="33"/>
        <v>33.507503472593491</v>
      </c>
      <c r="Q59" s="20">
        <f t="shared" si="53"/>
        <v>281.09438188143378</v>
      </c>
      <c r="R59" s="59">
        <f t="shared" si="0"/>
        <v>574.42771521476709</v>
      </c>
      <c r="S59" s="59">
        <f ca="1">AVERAGE(OFFSET($R$3,0,0,'Données projet'!$E$9+1,1))-AVERAGE(OFFSET($H$3,0,0,'Données projet'!$E$9+1,1))</f>
        <v>204.77882499755987</v>
      </c>
      <c r="T59" s="59">
        <f t="shared" si="34"/>
        <v>152.46480920430594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28.214150081327407</v>
      </c>
      <c r="AB59" s="21">
        <f>EXP(-LN(2)/2)*AB58+(1-EXP(-LN(2)/2))/(LN(2)/2)*V59*Y59*VLOOKUP('Données projet'!$B$9,Paramètres!$A$1:$I$89,3,0)*0.475*44/12</f>
        <v>7.0132687754568659</v>
      </c>
      <c r="AC59" s="22">
        <f t="shared" si="3"/>
        <v>35.227418856784276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10.663076923076932</v>
      </c>
      <c r="AI59" s="13">
        <f>IF('Données projet'!$A$62&gt;35,AI58+AH59-AQ58,IF(A59&lt;'Données projet'!$A$62,$AF$205^A59,IF(A59='Données projet'!$A$62,'Données projet'!$B$62,AI58+AH59-AQ58)))</f>
        <v>299.77076923076925</v>
      </c>
      <c r="AJ59" s="13">
        <f>AI59*VLOOKUP('Données projet'!$B$10,Paramètres!$A$1:$I$89,3,0)*VLOOKUP('Données projet'!$B$10,Paramètres!$A$1:$I$89,5,0)</f>
        <v>179.26292000000001</v>
      </c>
      <c r="AK59" s="13">
        <f t="shared" si="35"/>
        <v>45.158160305042841</v>
      </c>
      <c r="AL59" s="20">
        <f t="shared" si="4"/>
        <v>390.8667148646162</v>
      </c>
      <c r="AM59" s="59">
        <f t="shared" si="5"/>
        <v>684.20004819794951</v>
      </c>
      <c r="AN59" s="59">
        <f ca="1">AVERAGE(OFFSET($AM$3,0,0,'Données projet'!$E$10+1,1))-AVERAGE(OFFSET($H$3,0,0,'Données projet'!$E$10+1,1))</f>
        <v>237.03649693529445</v>
      </c>
      <c r="AO59" s="59">
        <f t="shared" si="36"/>
        <v>191.04289411674887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34.817169277123007</v>
      </c>
      <c r="AV59" s="21">
        <f>EXP(-LN(2)/25)*AV58+(1-EXP(-LN(2)/25))/(LN(2)/25)*Calculateur!AQ59*Calculateur!AS59*VLOOKUP('Données projet'!$B$10,Paramètres!$A$1:$I$89,3,0)*0.475*44/12</f>
        <v>11.477428445771078</v>
      </c>
      <c r="AW59" s="21">
        <f>EXP(-LN(2)/2)*AW58+(1-EXP(-LN(2)/2))/(LN(2)/2)*AQ59*AT59*VLOOKUP('Données projet'!$B$10,Paramètres!$A$1:$I$89,3,0)*0.475*44/12</f>
        <v>0.64816707307971555</v>
      </c>
      <c r="AX59" s="21">
        <f t="shared" si="6"/>
        <v>46.942764795973801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11.170769230769233</v>
      </c>
      <c r="N60" s="13">
        <f>IF('Données projet'!$A$36&gt;35,N59+M60-V59,IF(A60&lt;'Données projet'!$A$36,$K$205^A60,IF(A60='Données projet'!$A$36,'Données projet'!$B$36,N59+M60-V59)))</f>
        <v>284.43230769230792</v>
      </c>
      <c r="O60" s="13">
        <f>N60*VLOOKUP('Données projet'!$B$9,Paramètres!$A$1:$I$89,3,0)*VLOOKUP('Données projet'!$B$9,Paramètres!$A$1:$I$89,5,0)</f>
        <v>133.11432000000011</v>
      </c>
      <c r="P60" s="13">
        <f t="shared" si="33"/>
        <v>34.714992732392233</v>
      </c>
      <c r="Q60" s="20">
        <f t="shared" si="53"/>
        <v>292.30271967558332</v>
      </c>
      <c r="R60" s="59">
        <f t="shared" si="0"/>
        <v>585.63605300891663</v>
      </c>
      <c r="S60" s="59">
        <f ca="1">AVERAGE(OFFSET($R$3,0,0,'Données projet'!$E$9+1,1))-AVERAGE(OFFSET($H$3,0,0,'Données projet'!$E$9+1,1))</f>
        <v>204.77882499755987</v>
      </c>
      <c r="T60" s="59">
        <f t="shared" si="34"/>
        <v>152.46480920430594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27.442632663635841</v>
      </c>
      <c r="AB60" s="21">
        <f>EXP(-LN(2)/2)*AB59+(1-EXP(-LN(2)/2))/(LN(2)/2)*V60*Y60*VLOOKUP('Données projet'!$B$9,Paramètres!$A$1:$I$89,3,0)*0.475*44/12</f>
        <v>4.9591299094094241</v>
      </c>
      <c r="AC60" s="22">
        <f t="shared" si="3"/>
        <v>32.401762573045268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10.663076923076932</v>
      </c>
      <c r="AI60" s="13">
        <f>IF('Données projet'!$A$62&gt;35,AI59+AH60-AQ59,IF(A60&lt;'Données projet'!$A$62,$AF$205^A60,IF(A60='Données projet'!$A$62,'Données projet'!$B$62,AI59+AH60-AQ59)))</f>
        <v>310.43384615384616</v>
      </c>
      <c r="AJ60" s="13">
        <f>AI60*VLOOKUP('Données projet'!$B$10,Paramètres!$A$1:$I$89,3,0)*VLOOKUP('Données projet'!$B$10,Paramètres!$A$1:$I$89,5,0)</f>
        <v>185.63944000000001</v>
      </c>
      <c r="AK60" s="13">
        <f t="shared" si="35"/>
        <v>46.574596113982338</v>
      </c>
      <c r="AL60" s="20">
        <f t="shared" si="4"/>
        <v>404.43944623185251</v>
      </c>
      <c r="AM60" s="59">
        <f t="shared" si="5"/>
        <v>697.77277956518583</v>
      </c>
      <c r="AN60" s="59">
        <f ca="1">AVERAGE(OFFSET($AM$3,0,0,'Données projet'!$E$10+1,1))-AVERAGE(OFFSET($H$3,0,0,'Données projet'!$E$10+1,1))</f>
        <v>237.03649693529445</v>
      </c>
      <c r="AO60" s="59">
        <f t="shared" si="36"/>
        <v>191.04289411674887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34.134425823974965</v>
      </c>
      <c r="AV60" s="21">
        <f>EXP(-LN(2)/25)*AV59+(1-EXP(-LN(2)/25))/(LN(2)/25)*Calculateur!AQ60*Calculateur!AS60*VLOOKUP('Données projet'!$B$10,Paramètres!$A$1:$I$89,3,0)*0.475*44/12</f>
        <v>11.163577561349738</v>
      </c>
      <c r="AW60" s="21">
        <f>EXP(-LN(2)/2)*AW59+(1-EXP(-LN(2)/2))/(LN(2)/2)*AQ60*AT60*VLOOKUP('Données projet'!$B$10,Paramètres!$A$1:$I$89,3,0)*0.475*44/12</f>
        <v>0.45832333271650344</v>
      </c>
      <c r="AX60" s="21">
        <f t="shared" si="6"/>
        <v>45.756326718041208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11.170769230769233</v>
      </c>
      <c r="N61" s="13">
        <f>IF('Données projet'!$A$36&gt;35,N60+M61-V60,IF(A61&lt;'Données projet'!$A$36,$K$205^A61,IF(A61='Données projet'!$A$36,'Données projet'!$B$36,N60+M61-V60)))</f>
        <v>295.60307692307714</v>
      </c>
      <c r="O61" s="13">
        <f>N61*VLOOKUP('Données projet'!$B$9,Paramètres!$A$1:$I$89,3,0)*VLOOKUP('Données projet'!$B$9,Paramètres!$A$1:$I$89,5,0)</f>
        <v>138.34224000000009</v>
      </c>
      <c r="P61" s="13">
        <f t="shared" si="33"/>
        <v>35.916973077604602</v>
      </c>
      <c r="Q61" s="20">
        <f t="shared" si="53"/>
        <v>303.50146277682819</v>
      </c>
      <c r="R61" s="59">
        <f t="shared" si="0"/>
        <v>596.83479611016151</v>
      </c>
      <c r="S61" s="59">
        <f ca="1">AVERAGE(OFFSET($R$3,0,0,'Données projet'!$E$9+1,1))-AVERAGE(OFFSET($H$3,0,0,'Données projet'!$E$9+1,1))</f>
        <v>204.77882499755987</v>
      </c>
      <c r="T61" s="59">
        <f t="shared" si="34"/>
        <v>152.46480920430594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26.692212430303389</v>
      </c>
      <c r="AB61" s="21">
        <f>EXP(-LN(2)/2)*AB60+(1-EXP(-LN(2)/2))/(LN(2)/2)*V61*Y61*VLOOKUP('Données projet'!$B$9,Paramètres!$A$1:$I$89,3,0)*0.475*44/12</f>
        <v>3.5066343877284329</v>
      </c>
      <c r="AC61" s="22">
        <f t="shared" si="3"/>
        <v>30.198846818031821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10.663076923076932</v>
      </c>
      <c r="AI61" s="13">
        <f>IF('Données projet'!$A$62&gt;35,AI60+AH61-AQ60,IF(A61&lt;'Données projet'!$A$62,$AF$205^A61,IF(A61='Données projet'!$A$62,'Données projet'!$B$62,AI60+AH61-AQ60)))</f>
        <v>321.09692307692308</v>
      </c>
      <c r="AJ61" s="13">
        <f>AI61*VLOOKUP('Données projet'!$B$10,Paramètres!$A$1:$I$89,3,0)*VLOOKUP('Données projet'!$B$10,Paramètres!$A$1:$I$89,5,0)</f>
        <v>192.01596000000001</v>
      </c>
      <c r="AK61" s="13">
        <f t="shared" si="35"/>
        <v>47.985378835949042</v>
      </c>
      <c r="AL61" s="20">
        <f t="shared" si="4"/>
        <v>418.00233180594455</v>
      </c>
      <c r="AM61" s="59">
        <f t="shared" si="5"/>
        <v>711.33566513927781</v>
      </c>
      <c r="AN61" s="59">
        <f ca="1">AVERAGE(OFFSET($AM$3,0,0,'Données projet'!$E$10+1,1))-AVERAGE(OFFSET($H$3,0,0,'Données projet'!$E$10+1,1))</f>
        <v>237.03649693529445</v>
      </c>
      <c r="AO61" s="59">
        <f t="shared" si="36"/>
        <v>191.04289411674887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33.46507055351077</v>
      </c>
      <c r="AV61" s="21">
        <f>EXP(-LN(2)/25)*AV60+(1-EXP(-LN(2)/25))/(LN(2)/25)*Calculateur!AQ61*Calculateur!AS61*VLOOKUP('Données projet'!$B$10,Paramètres!$A$1:$I$89,3,0)*0.475*44/12</f>
        <v>10.8583089458676</v>
      </c>
      <c r="AW61" s="21">
        <f>EXP(-LN(2)/2)*AW60+(1-EXP(-LN(2)/2))/(LN(2)/2)*AQ61*AT61*VLOOKUP('Données projet'!$B$10,Paramètres!$A$1:$I$89,3,0)*0.475*44/12</f>
        <v>0.32408353653985783</v>
      </c>
      <c r="AX61" s="21">
        <f t="shared" si="6"/>
        <v>44.647463035918229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11.170769230769233</v>
      </c>
      <c r="N62" s="13">
        <f>IF('Données projet'!$A$36&gt;35,N61+M62-V61,IF(A62&lt;'Données projet'!$A$36,$K$205^A62,IF(A62='Données projet'!$A$36,'Données projet'!$B$36,N61+M62-V61)))</f>
        <v>306.77384615384636</v>
      </c>
      <c r="O62" s="13">
        <f>N62*VLOOKUP('Données projet'!$B$9,Paramètres!$A$1:$I$89,3,0)*VLOOKUP('Données projet'!$B$9,Paramètres!$A$1:$I$89,5,0)</f>
        <v>143.5701600000001</v>
      </c>
      <c r="P62" s="13">
        <f t="shared" si="33"/>
        <v>37.113676523004848</v>
      </c>
      <c r="Q62" s="20">
        <f t="shared" si="53"/>
        <v>314.69101527756692</v>
      </c>
      <c r="R62" s="59">
        <f t="shared" si="0"/>
        <v>608.02434861090023</v>
      </c>
      <c r="S62" s="59">
        <f ca="1">AVERAGE(OFFSET($R$3,0,0,'Données projet'!$E$9+1,1))-AVERAGE(OFFSET($H$3,0,0,'Données projet'!$E$9+1,1))</f>
        <v>204.77882499755987</v>
      </c>
      <c r="T62" s="59">
        <f t="shared" si="34"/>
        <v>152.46480920430594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25.962312477714296</v>
      </c>
      <c r="AB62" s="21">
        <f>EXP(-LN(2)/2)*AB61+(1-EXP(-LN(2)/2))/(LN(2)/2)*V62*Y62*VLOOKUP('Données projet'!$B$9,Paramètres!$A$1:$I$89,3,0)*0.475*44/12</f>
        <v>2.4795649547047121</v>
      </c>
      <c r="AC62" s="22">
        <f t="shared" si="3"/>
        <v>28.441877432419009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10.663076923076932</v>
      </c>
      <c r="AI62" s="13">
        <f>IF('Données projet'!$A$62&gt;35,AI61+AH62-AQ61,IF(A62&lt;'Données projet'!$A$62,$AF$205^A62,IF(A62='Données projet'!$A$62,'Données projet'!$B$62,AI61+AH62-AQ61)))</f>
        <v>331.76</v>
      </c>
      <c r="AJ62" s="13">
        <f>AI62*VLOOKUP('Données projet'!$B$10,Paramètres!$A$1:$I$89,3,0)*VLOOKUP('Données projet'!$B$10,Paramètres!$A$1:$I$89,5,0)</f>
        <v>198.39248000000001</v>
      </c>
      <c r="AK62" s="13">
        <f t="shared" si="35"/>
        <v>49.39071772551025</v>
      </c>
      <c r="AL62" s="20">
        <f t="shared" si="4"/>
        <v>431.55573603859699</v>
      </c>
      <c r="AM62" s="59">
        <f t="shared" si="5"/>
        <v>724.8890693719303</v>
      </c>
      <c r="AN62" s="59">
        <f ca="1">AVERAGE(OFFSET($AM$3,0,0,'Données projet'!$E$10+1,1))-AVERAGE(OFFSET($H$3,0,0,'Données projet'!$E$10+1,1))</f>
        <v>237.03649693529445</v>
      </c>
      <c r="AO62" s="59">
        <f t="shared" si="36"/>
        <v>191.04289411674887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32.808840931633974</v>
      </c>
      <c r="AV62" s="21">
        <f>EXP(-LN(2)/25)*AV61+(1-EXP(-LN(2)/25))/(LN(2)/25)*Calculateur!AQ62*Calculateur!AS62*VLOOKUP('Données projet'!$B$10,Paramètres!$A$1:$I$89,3,0)*0.475*44/12</f>
        <v>10.561387916729201</v>
      </c>
      <c r="AW62" s="21">
        <f>EXP(-LN(2)/2)*AW61+(1-EXP(-LN(2)/2))/(LN(2)/2)*AQ62*AT62*VLOOKUP('Données projet'!$B$10,Paramètres!$A$1:$I$89,3,0)*0.475*44/12</f>
        <v>0.22916166635825175</v>
      </c>
      <c r="AX62" s="21">
        <f t="shared" si="6"/>
        <v>43.599390514721428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11.170769230769233</v>
      </c>
      <c r="N63" s="13">
        <f>IF('Données projet'!$A$36&gt;35,N62+M63-V62,IF(A63&lt;'Données projet'!$A$36,$K$205^A63,IF(A63='Données projet'!$A$36,'Données projet'!$B$36,N62+M63-V62)))</f>
        <v>317.94461538461559</v>
      </c>
      <c r="O63" s="13">
        <f>N63*VLOOKUP('Données projet'!$B$9,Paramètres!$A$1:$I$89,3,0)*VLOOKUP('Données projet'!$B$9,Paramètres!$A$1:$I$89,5,0)</f>
        <v>148.79808000000008</v>
      </c>
      <c r="P63" s="13">
        <f t="shared" si="33"/>
        <v>38.305317228732633</v>
      </c>
      <c r="Q63" s="20">
        <f t="shared" si="53"/>
        <v>325.87175017337614</v>
      </c>
      <c r="R63" s="59">
        <f t="shared" si="0"/>
        <v>619.20508350670946</v>
      </c>
      <c r="S63" s="59">
        <f ca="1">AVERAGE(OFFSET($R$3,0,0,'Données projet'!$E$9+1,1))-AVERAGE(OFFSET($H$3,0,0,'Données projet'!$E$9+1,1))</f>
        <v>204.77882499755987</v>
      </c>
      <c r="T63" s="59">
        <f t="shared" si="34"/>
        <v>152.46480920430594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25.252371677712521</v>
      </c>
      <c r="AB63" s="21">
        <f>EXP(-LN(2)/2)*AB62+(1-EXP(-LN(2)/2))/(LN(2)/2)*V63*Y63*VLOOKUP('Données projet'!$B$9,Paramètres!$A$1:$I$89,3,0)*0.475*44/12</f>
        <v>1.7533171938642165</v>
      </c>
      <c r="AC63" s="22">
        <f t="shared" si="3"/>
        <v>27.005688871576737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342.42307692307696</v>
      </c>
      <c r="AG63" s="12">
        <f>VLOOKUP(A63,'Données projet'!$A$61:$I$81,9,0)</f>
        <v>10.663076923076932</v>
      </c>
      <c r="AH63" s="12">
        <f t="array" ref="AH63">INDEX(AG:AG,MIN(IF(ISNUMBER(AG63:AG259),ROW(AG63:AG259),"")))</f>
        <v>10.663076923076932</v>
      </c>
      <c r="AI63" s="13">
        <f>IF('Données projet'!$A$62&gt;35,AI62+AH63-AQ62,IF(A63&lt;'Données projet'!$A$62,$AF$205^A63,IF(A63='Données projet'!$A$62,'Données projet'!$B$62,AI62+AH63-AQ62)))</f>
        <v>342.42307692307691</v>
      </c>
      <c r="AJ63" s="13">
        <f>AI63*VLOOKUP('Données projet'!$B$10,Paramètres!$A$1:$I$89,3,0)*VLOOKUP('Données projet'!$B$10,Paramètres!$A$1:$I$89,5,0)</f>
        <v>204.76900000000001</v>
      </c>
      <c r="AK63" s="13">
        <f t="shared" si="35"/>
        <v>50.790807822254017</v>
      </c>
      <c r="AL63" s="20">
        <f t="shared" si="4"/>
        <v>445.09999862375906</v>
      </c>
      <c r="AM63" s="59">
        <f t="shared" si="5"/>
        <v>738.43333195709238</v>
      </c>
      <c r="AN63" s="59">
        <f ca="1">AVERAGE(OFFSET($AM$3,0,0,'Données projet'!$E$10+1,1))-AVERAGE(OFFSET($H$3,0,0,'Données projet'!$E$10+1,1))</f>
        <v>237.03649693529445</v>
      </c>
      <c r="AO63" s="59">
        <f t="shared" si="36"/>
        <v>191.04289411674887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54.261538461538464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7.5600000000000001E-2</v>
      </c>
      <c r="AT63" s="16">
        <f>IF(ISNA(VLOOKUP(A63,'Données projet'!$A$61:$I$81,7,0)),0%,VLOOKUP(A63,'Données projet'!$A$61:$I$81,7,0))</f>
        <v>0.13200000000000001</v>
      </c>
      <c r="AU63" s="21">
        <f>EXP(-LN(2)/35)*AU62+(1-EXP(-LN(2)/35))/(LN(2)/35)*AQ63*AR63*VLOOKUP('Données projet'!$B$10,Paramètres!$A$1:$I$89,3,0)*0.475*44/12</f>
        <v>45.724621206285214</v>
      </c>
      <c r="AV63" s="21">
        <f>EXP(-LN(2)/25)*AV62+(1-EXP(-LN(2)/25))/(LN(2)/25)*Calculateur!AQ63*Calculateur!AS63*VLOOKUP('Données projet'!$B$10,Paramètres!$A$1:$I$89,3,0)*0.475*44/12</f>
        <v>13.513967199191683</v>
      </c>
      <c r="AW63" s="21">
        <f>EXP(-LN(2)/2)*AW62+(1-EXP(-LN(2)/2))/(LN(2)/2)*AQ63*AT63*VLOOKUP('Données projet'!$B$10,Paramètres!$A$1:$I$89,3,0)*0.475*44/12</f>
        <v>5.0116064640335569</v>
      </c>
      <c r="AX63" s="21">
        <f t="shared" si="6"/>
        <v>64.250194869510452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>
        <f>VLOOKUP(A64,'Données projet'!$A$35:$I$55,2,0)</f>
        <v>329.11538461538464</v>
      </c>
      <c r="L64" s="12">
        <f>VLOOKUP(A64,'Données projet'!$A$35:$I$55,9,0)</f>
        <v>11.170769230769233</v>
      </c>
      <c r="M64" s="12">
        <f t="array" ref="M64">INDEX(L:L,MIN(IF(ISNUMBER(L64:L260),ROW(L64:L260),"")))</f>
        <v>11.170769230769233</v>
      </c>
      <c r="N64" s="13">
        <f>IF('Données projet'!$A$36&gt;35,N63+M64-V63,IF(A64&lt;'Données projet'!$A$36,$K$205^A64,IF(A64='Données projet'!$A$36,'Données projet'!$B$36,N63+M64-V63)))</f>
        <v>329.11538461538481</v>
      </c>
      <c r="O64" s="13">
        <f>N64*VLOOKUP('Données projet'!$B$9,Paramètres!$A$1:$I$89,3,0)*VLOOKUP('Données projet'!$B$9,Paramètres!$A$1:$I$89,5,0)</f>
        <v>154.0260000000001</v>
      </c>
      <c r="P64" s="13">
        <f t="shared" si="33"/>
        <v>39.492093452898274</v>
      </c>
      <c r="Q64" s="20">
        <f t="shared" si="53"/>
        <v>337.04401276379798</v>
      </c>
      <c r="R64" s="59">
        <f t="shared" si="0"/>
        <v>630.37734609713129</v>
      </c>
      <c r="S64" s="59">
        <f ca="1">AVERAGE(OFFSET($R$3,0,0,'Données projet'!$E$9+1,1))-AVERAGE(OFFSET($H$3,0,0,'Données projet'!$E$9+1,1))</f>
        <v>204.77882499755987</v>
      </c>
      <c r="T64" s="59">
        <f t="shared" si="34"/>
        <v>152.46480920430594</v>
      </c>
      <c r="U64" s="15">
        <f>IF(ISNA(VLOOKUP(A64,'Données projet'!$A$35:$I$55,3,0)),0,VLOOKUP(A64,'Données projet'!$A$35:$I$55,3,0))</f>
        <v>2</v>
      </c>
      <c r="V64" s="15">
        <f>IF(ISNA(VLOOKUP(A64,'Données projet'!$A$35:$I$55,4,0)),0,VLOOKUP(A64,'Données projet'!$A$35:$I$55,4,0))</f>
        <v>94.76153846153845</v>
      </c>
      <c r="W64" s="16">
        <f>IF(ISNA(VLOOKUP(A64,'Données projet'!$A$35:$I$55,5,0)),0%,VLOOKUP(A64,'Données projet'!$A$35:$I$55,5,0)*VLOOKUP('Données projet'!$B$9,Paramètres!$A$1:$I$89,7,0))</f>
        <v>0.38500000000000001</v>
      </c>
      <c r="X64" s="16">
        <f>IF(ISNA(VLOOKUP(A64,'Données projet'!$A$35:$I$55,6,0)),0%,VLOOKUP(A64,'Données projet'!$A$35:$I$55,6,0)*VLOOKUP('Données projet'!$B$9,Paramètres!$A$1:$I$89,7,0))</f>
        <v>9.240000000000001E-2</v>
      </c>
      <c r="Y64" s="16">
        <f>IF(ISNA(VLOOKUP(A64,'Données projet'!$A$35:$I$55,7,0)),0%,VLOOKUP(A64,'Données projet'!$A$35:$I$55,7,0))</f>
        <v>0.13200000000000001</v>
      </c>
      <c r="Z64" s="21">
        <f>EXP(-LN(2)/35)*Z63+(1-EXP(-LN(2)/35))/(LN(2)/35)*V64*W64*VLOOKUP('Données projet'!$B$9,Paramètres!$A$1:$I$89,3,0)*0.475*44/12</f>
        <v>22.649939271811736</v>
      </c>
      <c r="AA64" s="21">
        <f>EXP(-LN(2)/25)*AA63+(1-EXP(-LN(2)/25))/(LN(2)/25)*Calculateur!V64*Calculateur!X64*VLOOKUP('Données projet'!$B$9,Paramètres!$A$1:$I$89,3,0)*0.475*44/12</f>
        <v>29.976426125563794</v>
      </c>
      <c r="AB64" s="21">
        <f>EXP(-LN(2)/2)*AB63+(1-EXP(-LN(2)/2))/(LN(2)/2)*V64*Y64*VLOOKUP('Données projet'!$B$9,Paramètres!$A$1:$I$89,3,0)*0.475*44/12</f>
        <v>7.867857666070555</v>
      </c>
      <c r="AC64" s="22">
        <f t="shared" si="3"/>
        <v>60.494223063446086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9.1830769230769196</v>
      </c>
      <c r="AI64" s="13">
        <f>IF('Données projet'!$A$62&gt;35,AI63+AH64-AQ63,IF(A64&lt;'Données projet'!$A$62,$AF$205^A64,IF(A64='Données projet'!$A$62,'Données projet'!$B$62,AI63+AH64-AQ63)))</f>
        <v>297.34461538461534</v>
      </c>
      <c r="AJ64" s="13">
        <f>AI64*VLOOKUP('Données projet'!$B$10,Paramètres!$A$1:$I$89,3,0)*VLOOKUP('Données projet'!$B$10,Paramètres!$A$1:$I$89,5,0)</f>
        <v>177.81207999999998</v>
      </c>
      <c r="AK64" s="13">
        <f t="shared" si="35"/>
        <v>44.835068353066951</v>
      </c>
      <c r="AL64" s="20">
        <f t="shared" si="4"/>
        <v>387.77711671492489</v>
      </c>
      <c r="AM64" s="59">
        <f t="shared" si="5"/>
        <v>681.11045004825814</v>
      </c>
      <c r="AN64" s="59">
        <f ca="1">AVERAGE(OFFSET($AM$3,0,0,'Données projet'!$E$10+1,1))-AVERAGE(OFFSET($H$3,0,0,'Données projet'!$E$10+1,1))</f>
        <v>237.03649693529445</v>
      </c>
      <c r="AO64" s="59">
        <f t="shared" si="36"/>
        <v>191.04289411674887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44.82798927369506</v>
      </c>
      <c r="AV64" s="21">
        <f>EXP(-LN(2)/25)*AV63+(1-EXP(-LN(2)/25))/(LN(2)/25)*Calculateur!AQ64*Calculateur!AS64*VLOOKUP('Données projet'!$B$10,Paramètres!$A$1:$I$89,3,0)*0.475*44/12</f>
        <v>13.144427055461138</v>
      </c>
      <c r="AW64" s="21">
        <f>EXP(-LN(2)/2)*AW63+(1-EXP(-LN(2)/2))/(LN(2)/2)*AQ64*AT64*VLOOKUP('Données projet'!$B$10,Paramètres!$A$1:$I$89,3,0)*0.475*44/12</f>
        <v>3.5437409153564636</v>
      </c>
      <c r="AX64" s="21">
        <f t="shared" si="6"/>
        <v>61.516157244512662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10.314743589743591</v>
      </c>
      <c r="N65" s="13">
        <f>IF('Données projet'!$A$36&gt;35,N64+M65-V64,IF(A65&lt;'Données projet'!$A$36,$K$205^A65,IF(A65='Données projet'!$A$36,'Données projet'!$B$36,N64+M65-V64)))</f>
        <v>244.66858974358996</v>
      </c>
      <c r="O65" s="13">
        <f>N65*VLOOKUP('Données projet'!$B$9,Paramètres!$A$1:$I$89,3,0)*VLOOKUP('Données projet'!$B$9,Paramètres!$A$1:$I$89,5,0)</f>
        <v>114.50490000000011</v>
      </c>
      <c r="P65" s="13">
        <f t="shared" si="33"/>
        <v>30.389882066052234</v>
      </c>
      <c r="Q65" s="20">
        <f t="shared" si="53"/>
        <v>252.35841209837443</v>
      </c>
      <c r="R65" s="59">
        <f t="shared" si="0"/>
        <v>545.69174543170777</v>
      </c>
      <c r="S65" s="59">
        <f ca="1">AVERAGE(OFFSET($R$3,0,0,'Données projet'!$E$9+1,1))-AVERAGE(OFFSET($H$3,0,0,'Données projet'!$E$9+1,1))</f>
        <v>204.77882499755987</v>
      </c>
      <c r="T65" s="59">
        <f t="shared" si="34"/>
        <v>152.46480920430594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22.205787777790334</v>
      </c>
      <c r="AA65" s="21">
        <f>EXP(-LN(2)/25)*AA64+(1-EXP(-LN(2)/25))/(LN(2)/25)*Calculateur!V65*Calculateur!X65*VLOOKUP('Données projet'!$B$9,Paramètres!$A$1:$I$89,3,0)*0.475*44/12</f>
        <v>29.156719176768515</v>
      </c>
      <c r="AB65" s="21">
        <f>EXP(-LN(2)/2)*AB64+(1-EXP(-LN(2)/2))/(LN(2)/2)*V65*Y65*VLOOKUP('Données projet'!$B$9,Paramètres!$A$1:$I$89,3,0)*0.475*44/12</f>
        <v>5.5634155090890527</v>
      </c>
      <c r="AC65" s="22">
        <f t="shared" si="3"/>
        <v>56.925922463647908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9.1830769230769196</v>
      </c>
      <c r="AI65" s="13">
        <f>IF('Données projet'!$A$62&gt;35,AI64+AH65-AQ64,IF(A65&lt;'Données projet'!$A$62,$AF$205^A65,IF(A65='Données projet'!$A$62,'Données projet'!$B$62,AI64+AH65-AQ64)))</f>
        <v>306.52769230769223</v>
      </c>
      <c r="AJ65" s="13">
        <f>AI65*VLOOKUP('Données projet'!$B$10,Paramètres!$A$1:$I$89,3,0)*VLOOKUP('Données projet'!$B$10,Paramètres!$A$1:$I$89,5,0)</f>
        <v>183.30355999999998</v>
      </c>
      <c r="AK65" s="13">
        <f t="shared" si="35"/>
        <v>46.056387641494027</v>
      </c>
      <c r="AL65" s="20">
        <f t="shared" si="4"/>
        <v>399.46857547560199</v>
      </c>
      <c r="AM65" s="59">
        <f t="shared" si="5"/>
        <v>692.80190880893531</v>
      </c>
      <c r="AN65" s="59">
        <f ca="1">AVERAGE(OFFSET($AM$3,0,0,'Données projet'!$E$10+1,1))-AVERAGE(OFFSET($H$3,0,0,'Données projet'!$E$10+1,1))</f>
        <v>237.03649693529445</v>
      </c>
      <c r="AO65" s="59">
        <f t="shared" si="36"/>
        <v>191.04289411674887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43.948939746411519</v>
      </c>
      <c r="AV65" s="21">
        <f>EXP(-LN(2)/25)*AV64+(1-EXP(-LN(2)/25))/(LN(2)/25)*Calculateur!AQ65*Calculateur!AS65*VLOOKUP('Données projet'!$B$10,Paramètres!$A$1:$I$89,3,0)*0.475*44/12</f>
        <v>12.784992006394177</v>
      </c>
      <c r="AW65" s="21">
        <f>EXP(-LN(2)/2)*AW64+(1-EXP(-LN(2)/2))/(LN(2)/2)*AQ65*AT65*VLOOKUP('Données projet'!$B$10,Paramètres!$A$1:$I$89,3,0)*0.475*44/12</f>
        <v>2.5058032320167789</v>
      </c>
      <c r="AX65" s="21">
        <f t="shared" si="6"/>
        <v>59.239734984822476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10.314743589743591</v>
      </c>
      <c r="N66" s="13">
        <f>IF('Données projet'!$A$36&gt;35,N65+M66-V65,IF(A66&lt;'Données projet'!$A$36,$K$205^A66,IF(A66='Données projet'!$A$36,'Données projet'!$B$36,N65+M66-V65)))</f>
        <v>254.98333333333355</v>
      </c>
      <c r="O66" s="13">
        <f>N66*VLOOKUP('Données projet'!$B$9,Paramètres!$A$1:$I$89,3,0)*VLOOKUP('Données projet'!$B$9,Paramètres!$A$1:$I$89,5,0)</f>
        <v>119.33220000000009</v>
      </c>
      <c r="P66" s="13">
        <f t="shared" si="33"/>
        <v>31.519195359992793</v>
      </c>
      <c r="Q66" s="20">
        <f t="shared" si="53"/>
        <v>262.73284691865422</v>
      </c>
      <c r="R66" s="59">
        <f t="shared" si="0"/>
        <v>556.06618025198759</v>
      </c>
      <c r="S66" s="59">
        <f ca="1">AVERAGE(OFFSET($R$3,0,0,'Données projet'!$E$9+1,1))-AVERAGE(OFFSET($H$3,0,0,'Données projet'!$E$9+1,1))</f>
        <v>204.77882499755987</v>
      </c>
      <c r="T66" s="59">
        <f t="shared" si="34"/>
        <v>152.46480920430594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21.770345823661032</v>
      </c>
      <c r="AA66" s="21">
        <f>EXP(-LN(2)/25)*AA65+(1-EXP(-LN(2)/25))/(LN(2)/25)*Calculateur!V66*Calculateur!X66*VLOOKUP('Données projet'!$B$9,Paramètres!$A$1:$I$89,3,0)*0.475*44/12</f>
        <v>28.359427157594556</v>
      </c>
      <c r="AB66" s="21">
        <f>EXP(-LN(2)/2)*AB65+(1-EXP(-LN(2)/2))/(LN(2)/2)*V66*Y66*VLOOKUP('Données projet'!$B$9,Paramètres!$A$1:$I$89,3,0)*0.475*44/12</f>
        <v>3.933928833035278</v>
      </c>
      <c r="AC66" s="22">
        <f t="shared" si="3"/>
        <v>54.063701814290866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9.1830769230769196</v>
      </c>
      <c r="AI66" s="13">
        <f>IF('Données projet'!$A$62&gt;35,AI65+AH66-AQ65,IF(A66&lt;'Données projet'!$A$62,$AF$205^A66,IF(A66='Données projet'!$A$62,'Données projet'!$B$62,AI65+AH66-AQ65)))</f>
        <v>315.71076923076913</v>
      </c>
      <c r="AJ66" s="13">
        <f>AI66*VLOOKUP('Données projet'!$B$10,Paramètres!$A$1:$I$89,3,0)*VLOOKUP('Données projet'!$B$10,Paramètres!$A$1:$I$89,5,0)</f>
        <v>188.79503999999994</v>
      </c>
      <c r="AK66" s="13">
        <f t="shared" si="35"/>
        <v>47.273454743056831</v>
      </c>
      <c r="AL66" s="20">
        <f t="shared" si="4"/>
        <v>411.15262834415716</v>
      </c>
      <c r="AM66" s="59">
        <f t="shared" si="5"/>
        <v>704.48596167749042</v>
      </c>
      <c r="AN66" s="59">
        <f ca="1">AVERAGE(OFFSET($AM$3,0,0,'Données projet'!$E$10+1,1))-AVERAGE(OFFSET($H$3,0,0,'Données projet'!$E$10+1,1))</f>
        <v>237.03649693529445</v>
      </c>
      <c r="AO66" s="59">
        <f t="shared" si="36"/>
        <v>191.04289411674887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43.087127844190739</v>
      </c>
      <c r="AV66" s="21">
        <f>EXP(-LN(2)/25)*AV65+(1-EXP(-LN(2)/25))/(LN(2)/25)*Calculateur!AQ66*Calculateur!AS66*VLOOKUP('Données projet'!$B$10,Paramètres!$A$1:$I$89,3,0)*0.475*44/12</f>
        <v>12.435385727645819</v>
      </c>
      <c r="AW66" s="21">
        <f>EXP(-LN(2)/2)*AW65+(1-EXP(-LN(2)/2))/(LN(2)/2)*AQ66*AT66*VLOOKUP('Données projet'!$B$10,Paramètres!$A$1:$I$89,3,0)*0.475*44/12</f>
        <v>1.7718704576782323</v>
      </c>
      <c r="AX66" s="21">
        <f t="shared" si="6"/>
        <v>57.294384029514788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10.314743589743591</v>
      </c>
      <c r="N67" s="13">
        <f>IF('Données projet'!$A$36&gt;35,N66+M67-V66,IF(A67&lt;'Données projet'!$A$36,$K$205^A67,IF(A67='Données projet'!$A$36,'Données projet'!$B$36,N66+M67-V66)))</f>
        <v>265.29807692307713</v>
      </c>
      <c r="O67" s="13">
        <f>N67*VLOOKUP('Données projet'!$B$9,Paramètres!$A$1:$I$89,3,0)*VLOOKUP('Données projet'!$B$9,Paramètres!$A$1:$I$89,5,0)</f>
        <v>124.15950000000009</v>
      </c>
      <c r="P67" s="13">
        <f t="shared" si="33"/>
        <v>32.643202044796318</v>
      </c>
      <c r="Q67" s="20">
        <f t="shared" ref="Q67:Q98" si="54">(O67+P67)*0.475*44/12</f>
        <v>273.09803939468708</v>
      </c>
      <c r="R67" s="59">
        <f t="shared" ref="R67:R130" si="55">Q67+(I67+J67)*44/12</f>
        <v>566.43137272802039</v>
      </c>
      <c r="S67" s="59">
        <f ca="1">AVERAGE(OFFSET($R$3,0,0,'Données projet'!$E$9+1,1))-AVERAGE(OFFSET($H$3,0,0,'Données projet'!$E$9+1,1))</f>
        <v>204.77882499755987</v>
      </c>
      <c r="T67" s="59">
        <f t="shared" si="34"/>
        <v>152.46480920430594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21.343442620658838</v>
      </c>
      <c r="AA67" s="21">
        <f>EXP(-LN(2)/25)*AA66+(1-EXP(-LN(2)/25))/(LN(2)/25)*Calculateur!V67*Calculateur!X67*VLOOKUP('Données projet'!$B$9,Paramètres!$A$1:$I$89,3,0)*0.475*44/12</f>
        <v>27.583937130612675</v>
      </c>
      <c r="AB67" s="21">
        <f>EXP(-LN(2)/2)*AB66+(1-EXP(-LN(2)/2))/(LN(2)/2)*V67*Y67*VLOOKUP('Données projet'!$B$9,Paramètres!$A$1:$I$89,3,0)*0.475*44/12</f>
        <v>2.7817077545445268</v>
      </c>
      <c r="AC67" s="22">
        <f t="shared" si="3"/>
        <v>51.709087505816044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9.1830769230769196</v>
      </c>
      <c r="AI67" s="13">
        <f>IF('Données projet'!$A$62&gt;35,AI66+AH67-AQ66,IF(A67&lt;'Données projet'!$A$62,$AF$205^A67,IF(A67='Données projet'!$A$62,'Données projet'!$B$62,AI66+AH67-AQ66)))</f>
        <v>324.89384615384603</v>
      </c>
      <c r="AJ67" s="13">
        <f>AI67*VLOOKUP('Données projet'!$B$10,Paramètres!$A$1:$I$89,3,0)*VLOOKUP('Données projet'!$B$10,Paramètres!$A$1:$I$89,5,0)</f>
        <v>194.28651999999994</v>
      </c>
      <c r="AK67" s="13">
        <f t="shared" si="35"/>
        <v>48.486407543748122</v>
      </c>
      <c r="AL67" s="20">
        <f t="shared" si="4"/>
        <v>422.82951547202782</v>
      </c>
      <c r="AM67" s="59">
        <f t="shared" si="5"/>
        <v>716.16284880536114</v>
      </c>
      <c r="AN67" s="59">
        <f ca="1">AVERAGE(OFFSET($AM$3,0,0,'Données projet'!$E$10+1,1))-AVERAGE(OFFSET($H$3,0,0,'Données projet'!$E$10+1,1))</f>
        <v>237.03649693529445</v>
      </c>
      <c r="AO67" s="59">
        <f t="shared" si="36"/>
        <v>191.04289411674887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42.242215547719155</v>
      </c>
      <c r="AV67" s="21">
        <f>EXP(-LN(2)/25)*AV66+(1-EXP(-LN(2)/25))/(LN(2)/25)*Calculateur!AQ67*Calculateur!AS67*VLOOKUP('Données projet'!$B$10,Paramètres!$A$1:$I$89,3,0)*0.475*44/12</f>
        <v>12.09533945097483</v>
      </c>
      <c r="AW67" s="21">
        <f>EXP(-LN(2)/2)*AW66+(1-EXP(-LN(2)/2))/(LN(2)/2)*AQ67*AT67*VLOOKUP('Données projet'!$B$10,Paramètres!$A$1:$I$89,3,0)*0.475*44/12</f>
        <v>1.2529016160083897</v>
      </c>
      <c r="AX67" s="21">
        <f t="shared" si="6"/>
        <v>55.590456614702376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10.314743589743591</v>
      </c>
      <c r="N68" s="13">
        <f>IF('Données projet'!$A$36&gt;35,N67+M68-V67,IF(A68&lt;'Données projet'!$A$36,$K$205^A68,IF(A68='Données projet'!$A$36,'Données projet'!$B$36,N67+M68-V67)))</f>
        <v>275.61282051282075</v>
      </c>
      <c r="O68" s="13">
        <f>N68*VLOOKUP('Données projet'!$B$9,Paramètres!$A$1:$I$89,3,0)*VLOOKUP('Données projet'!$B$9,Paramètres!$A$1:$I$89,5,0)</f>
        <v>128.98680000000013</v>
      </c>
      <c r="P68" s="13">
        <f t="shared" si="33"/>
        <v>33.762132053733033</v>
      </c>
      <c r="Q68" s="20">
        <f t="shared" si="54"/>
        <v>283.45438999358527</v>
      </c>
      <c r="R68" s="59">
        <f t="shared" si="55"/>
        <v>576.78772332691858</v>
      </c>
      <c r="S68" s="59">
        <f ca="1">AVERAGE(OFFSET($R$3,0,0,'Données projet'!$E$9+1,1))-AVERAGE(OFFSET($H$3,0,0,'Données projet'!$E$9+1,1))</f>
        <v>204.77882499755987</v>
      </c>
      <c r="T68" s="59">
        <f t="shared" si="34"/>
        <v>152.46480920430594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20.924910729082274</v>
      </c>
      <c r="AA68" s="21">
        <f>EXP(-LN(2)/25)*AA67+(1-EXP(-LN(2)/25))/(LN(2)/25)*Calculateur!V68*Calculateur!X68*VLOOKUP('Données projet'!$B$9,Paramètres!$A$1:$I$89,3,0)*0.475*44/12</f>
        <v>26.829652919199862</v>
      </c>
      <c r="AB68" s="21">
        <f>EXP(-LN(2)/2)*AB67+(1-EXP(-LN(2)/2))/(LN(2)/2)*V68*Y68*VLOOKUP('Données projet'!$B$9,Paramètres!$A$1:$I$89,3,0)*0.475*44/12</f>
        <v>1.9669644165176392</v>
      </c>
      <c r="AC68" s="22">
        <f t="shared" ref="AC68:AC131" si="57">SUM(Z68:AB68)</f>
        <v>49.721528064799777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9.1830769230769196</v>
      </c>
      <c r="AI68" s="13">
        <f>IF('Données projet'!$A$62&gt;35,AI67+AH68-AQ67,IF(A68&lt;'Données projet'!$A$62,$AF$205^A68,IF(A68='Données projet'!$A$62,'Données projet'!$B$62,AI67+AH68-AQ67)))</f>
        <v>334.07692307692292</v>
      </c>
      <c r="AJ68" s="13">
        <f>AI68*VLOOKUP('Données projet'!$B$10,Paramètres!$A$1:$I$89,3,0)*VLOOKUP('Données projet'!$B$10,Paramètres!$A$1:$I$89,5,0)</f>
        <v>199.77799999999993</v>
      </c>
      <c r="AK68" s="13">
        <f t="shared" si="35"/>
        <v>49.695375691492842</v>
      </c>
      <c r="AL68" s="20">
        <f t="shared" ref="AL68:AL131" si="58">(AJ68+AK68)*0.475*44/12</f>
        <v>434.49946266268324</v>
      </c>
      <c r="AM68" s="59">
        <f t="shared" ref="AM68:AM131" si="59">AL68+(AD68+AE68)*44/12</f>
        <v>727.83279599601656</v>
      </c>
      <c r="AN68" s="59">
        <f ca="1">AVERAGE(OFFSET($AM$3,0,0,'Données projet'!$E$10+1,1))-AVERAGE(OFFSET($H$3,0,0,'Données projet'!$E$10+1,1))</f>
        <v>237.03649693529445</v>
      </c>
      <c r="AO68" s="59">
        <f t="shared" si="36"/>
        <v>191.04289411674887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41.413871466035765</v>
      </c>
      <c r="AV68" s="21">
        <f>EXP(-LN(2)/25)*AV67+(1-EXP(-LN(2)/25))/(LN(2)/25)*Calculateur!AQ68*Calculateur!AS68*VLOOKUP('Données projet'!$B$10,Paramètres!$A$1:$I$89,3,0)*0.475*44/12</f>
        <v>11.764591757621666</v>
      </c>
      <c r="AW68" s="21">
        <f>EXP(-LN(2)/2)*AW67+(1-EXP(-LN(2)/2))/(LN(2)/2)*AQ68*AT68*VLOOKUP('Données projet'!$B$10,Paramètres!$A$1:$I$89,3,0)*0.475*44/12</f>
        <v>0.88593522883911624</v>
      </c>
      <c r="AX68" s="21">
        <f t="shared" ref="AX68:AX131" si="60">SUM(AU68:AW68)</f>
        <v>54.064398452496548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10.314743589743591</v>
      </c>
      <c r="N69" s="13">
        <f>IF('Données projet'!$A$36&gt;35,N68+M69-V68,IF(A69&lt;'Données projet'!$A$36,$K$205^A69,IF(A69='Données projet'!$A$36,'Données projet'!$B$36,N68+M69-V68)))</f>
        <v>285.92756410256436</v>
      </c>
      <c r="O69" s="13">
        <f>N69*VLOOKUP('Données projet'!$B$9,Paramètres!$A$1:$I$89,3,0)*VLOOKUP('Données projet'!$B$9,Paramètres!$A$1:$I$89,5,0)</f>
        <v>133.81410000000011</v>
      </c>
      <c r="P69" s="13">
        <f t="shared" ref="P69:P132" si="87">EXP(-1.0587+0.8836*LN(O69)+0.284)</f>
        <v>34.876197134679366</v>
      </c>
      <c r="Q69" s="20">
        <f t="shared" si="54"/>
        <v>293.80226750956672</v>
      </c>
      <c r="R69" s="59">
        <f t="shared" si="55"/>
        <v>587.13560084289998</v>
      </c>
      <c r="S69" s="59">
        <f ca="1">AVERAGE(OFFSET($R$3,0,0,'Données projet'!$E$9+1,1))-AVERAGE(OFFSET($H$3,0,0,'Données projet'!$E$9+1,1))</f>
        <v>204.77882499755987</v>
      </c>
      <c r="T69" s="59">
        <f t="shared" ref="T69:T132" si="88">$T$3</f>
        <v>152.46480920430594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20.51458599262028</v>
      </c>
      <c r="AA69" s="21">
        <f>EXP(-LN(2)/25)*AA68+(1-EXP(-LN(2)/25))/(LN(2)/25)*Calculateur!V69*Calculateur!X69*VLOOKUP('Données projet'!$B$9,Paramètres!$A$1:$I$89,3,0)*0.475*44/12</f>
        <v>26.095994649214216</v>
      </c>
      <c r="AB69" s="21">
        <f>EXP(-LN(2)/2)*AB68+(1-EXP(-LN(2)/2))/(LN(2)/2)*V69*Y69*VLOOKUP('Données projet'!$B$9,Paramètres!$A$1:$I$89,3,0)*0.475*44/12</f>
        <v>1.3908538772722636</v>
      </c>
      <c r="AC69" s="22">
        <f t="shared" si="57"/>
        <v>48.001434519106759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9.1830769230769196</v>
      </c>
      <c r="AI69" s="13">
        <f>IF('Données projet'!$A$62&gt;35,AI68+AH69-AQ68,IF(A69&lt;'Données projet'!$A$62,$AF$205^A69,IF(A69='Données projet'!$A$62,'Données projet'!$B$62,AI68+AH69-AQ68)))</f>
        <v>343.25999999999982</v>
      </c>
      <c r="AJ69" s="13">
        <f>AI69*VLOOKUP('Données projet'!$B$10,Paramètres!$A$1:$I$89,3,0)*VLOOKUP('Données projet'!$B$10,Paramètres!$A$1:$I$89,5,0)</f>
        <v>205.26947999999993</v>
      </c>
      <c r="AK69" s="13">
        <f t="shared" ref="AK69:AK132" si="89">EXP(-1.0587+0.8836*LN(AJ69)+0.284)</f>
        <v>50.900481301079942</v>
      </c>
      <c r="AL69" s="20">
        <f t="shared" si="58"/>
        <v>446.16268259938073</v>
      </c>
      <c r="AM69" s="59">
        <f t="shared" si="59"/>
        <v>739.49601593271404</v>
      </c>
      <c r="AN69" s="59">
        <f ca="1">AVERAGE(OFFSET($AM$3,0,0,'Données projet'!$E$10+1,1))-AVERAGE(OFFSET($H$3,0,0,'Données projet'!$E$10+1,1))</f>
        <v>237.03649693529445</v>
      </c>
      <c r="AO69" s="59">
        <f t="shared" ref="AO69:AO132" si="90">$AO$3</f>
        <v>191.04289411674887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40.601770706554184</v>
      </c>
      <c r="AV69" s="21">
        <f>EXP(-LN(2)/25)*AV68+(1-EXP(-LN(2)/25))/(LN(2)/25)*Calculateur!AQ69*Calculateur!AS69*VLOOKUP('Données projet'!$B$10,Paramètres!$A$1:$I$89,3,0)*0.475*44/12</f>
        <v>11.442888377336509</v>
      </c>
      <c r="AW69" s="21">
        <f>EXP(-LN(2)/2)*AW68+(1-EXP(-LN(2)/2))/(LN(2)/2)*AQ69*AT69*VLOOKUP('Données projet'!$B$10,Paramètres!$A$1:$I$89,3,0)*0.475*44/12</f>
        <v>0.62645080800419495</v>
      </c>
      <c r="AX69" s="21">
        <f t="shared" si="60"/>
        <v>52.671109891894886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10.314743589743591</v>
      </c>
      <c r="N70" s="13">
        <f>IF('Données projet'!$A$36&gt;35,N69+M70-V69,IF(A70&lt;'Données projet'!$A$36,$K$205^A70,IF(A70='Données projet'!$A$36,'Données projet'!$B$36,N69+M70-V69)))</f>
        <v>296.24230769230797</v>
      </c>
      <c r="O70" s="13">
        <f>N70*VLOOKUP('Données projet'!$B$9,Paramètres!$A$1:$I$89,3,0)*VLOOKUP('Données projet'!$B$9,Paramètres!$A$1:$I$89,5,0)</f>
        <v>138.64140000000015</v>
      </c>
      <c r="P70" s="13">
        <f t="shared" si="87"/>
        <v>35.985592892108897</v>
      </c>
      <c r="Q70" s="20">
        <f t="shared" si="54"/>
        <v>304.14201262042326</v>
      </c>
      <c r="R70" s="59">
        <f t="shared" si="55"/>
        <v>597.47534595375657</v>
      </c>
      <c r="S70" s="59">
        <f ca="1">AVERAGE(OFFSET($R$3,0,0,'Données projet'!$E$9+1,1))-AVERAGE(OFFSET($H$3,0,0,'Données projet'!$E$9+1,1))</f>
        <v>204.77882499755987</v>
      </c>
      <c r="T70" s="59">
        <f t="shared" si="88"/>
        <v>152.46480920430594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20.112307473966929</v>
      </c>
      <c r="AA70" s="21">
        <f>EXP(-LN(2)/25)*AA69+(1-EXP(-LN(2)/25))/(LN(2)/25)*Calculateur!V70*Calculateur!X70*VLOOKUP('Données projet'!$B$9,Paramètres!$A$1:$I$89,3,0)*0.475*44/12</f>
        <v>25.382398303202738</v>
      </c>
      <c r="AB70" s="21">
        <f>EXP(-LN(2)/2)*AB69+(1-EXP(-LN(2)/2))/(LN(2)/2)*V70*Y70*VLOOKUP('Données projet'!$B$9,Paramètres!$A$1:$I$89,3,0)*0.475*44/12</f>
        <v>0.98348220825881982</v>
      </c>
      <c r="AC70" s="22">
        <f t="shared" si="57"/>
        <v>46.478187985428491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9.1830769230769196</v>
      </c>
      <c r="AI70" s="13">
        <f>IF('Données projet'!$A$62&gt;35,AI69+AH70-AQ69,IF(A70&lt;'Données projet'!$A$62,$AF$205^A70,IF(A70='Données projet'!$A$62,'Données projet'!$B$62,AI69+AH70-AQ69)))</f>
        <v>352.44307692307672</v>
      </c>
      <c r="AJ70" s="13">
        <f>AI70*VLOOKUP('Données projet'!$B$10,Paramètres!$A$1:$I$89,3,0)*VLOOKUP('Données projet'!$B$10,Paramètres!$A$1:$I$89,5,0)</f>
        <v>210.76095999999987</v>
      </c>
      <c r="AK70" s="13">
        <f t="shared" si="89"/>
        <v>52.101839581538208</v>
      </c>
      <c r="AL70" s="20">
        <f t="shared" si="58"/>
        <v>457.81937593784545</v>
      </c>
      <c r="AM70" s="59">
        <f t="shared" si="59"/>
        <v>751.15270927117876</v>
      </c>
      <c r="AN70" s="59">
        <f ca="1">AVERAGE(OFFSET($AM$3,0,0,'Données projet'!$E$10+1,1))-AVERAGE(OFFSET($H$3,0,0,'Données projet'!$E$10+1,1))</f>
        <v>237.03649693529445</v>
      </c>
      <c r="AO70" s="59">
        <f t="shared" si="90"/>
        <v>191.04289411674887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39.805594747633485</v>
      </c>
      <c r="AV70" s="21">
        <f>EXP(-LN(2)/25)*AV69+(1-EXP(-LN(2)/25))/(LN(2)/25)*Calculateur!AQ70*Calculateur!AS70*VLOOKUP('Données projet'!$B$10,Paramètres!$A$1:$I$89,3,0)*0.475*44/12</f>
        <v>11.129981992902895</v>
      </c>
      <c r="AW70" s="21">
        <f>EXP(-LN(2)/2)*AW69+(1-EXP(-LN(2)/2))/(LN(2)/2)*AQ70*AT70*VLOOKUP('Données projet'!$B$10,Paramètres!$A$1:$I$89,3,0)*0.475*44/12</f>
        <v>0.44296761441955818</v>
      </c>
      <c r="AX70" s="21">
        <f t="shared" si="60"/>
        <v>51.378544354955935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10.314743589743591</v>
      </c>
      <c r="N71" s="13">
        <f>IF('Données projet'!$A$36&gt;35,N70+M71-V70,IF(A71&lt;'Données projet'!$A$36,$K$205^A71,IF(A71='Données projet'!$A$36,'Données projet'!$B$36,N70+M71-V70)))</f>
        <v>306.55705128205159</v>
      </c>
      <c r="O71" s="13">
        <f>N71*VLOOKUP('Données projet'!$B$9,Paramètres!$A$1:$I$89,3,0)*VLOOKUP('Données projet'!$B$9,Paramètres!$A$1:$I$89,5,0)</f>
        <v>143.46870000000015</v>
      </c>
      <c r="P71" s="13">
        <f t="shared" si="87"/>
        <v>37.090500536695636</v>
      </c>
      <c r="Q71" s="20">
        <f t="shared" si="54"/>
        <v>314.47394093474514</v>
      </c>
      <c r="R71" s="59">
        <f t="shared" si="55"/>
        <v>607.80727426807846</v>
      </c>
      <c r="S71" s="59">
        <f ca="1">AVERAGE(OFFSET($R$3,0,0,'Données projet'!$E$9+1,1))-AVERAGE(OFFSET($H$3,0,0,'Données projet'!$E$9+1,1))</f>
        <v>204.77882499755987</v>
      </c>
      <c r="T71" s="59">
        <f t="shared" si="88"/>
        <v>152.46480920430594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19.717917391698702</v>
      </c>
      <c r="AA71" s="21">
        <f>EXP(-LN(2)/25)*AA70+(1-EXP(-LN(2)/25))/(LN(2)/25)*Calculateur!V71*Calculateur!X71*VLOOKUP('Données projet'!$B$9,Paramètres!$A$1:$I$89,3,0)*0.475*44/12</f>
        <v>24.688315286799345</v>
      </c>
      <c r="AB71" s="21">
        <f>EXP(-LN(2)/2)*AB70+(1-EXP(-LN(2)/2))/(LN(2)/2)*V71*Y71*VLOOKUP('Données projet'!$B$9,Paramètres!$A$1:$I$89,3,0)*0.475*44/12</f>
        <v>0.69542693863613192</v>
      </c>
      <c r="AC71" s="22">
        <f t="shared" si="57"/>
        <v>45.101659617134175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9.1830769230769196</v>
      </c>
      <c r="AI71" s="13">
        <f>IF('Données projet'!$A$62&gt;35,AI70+AH71-AQ70,IF(A71&lt;'Données projet'!$A$62,$AF$205^A71,IF(A71='Données projet'!$A$62,'Données projet'!$B$62,AI70+AH71-AQ70)))</f>
        <v>361.62615384615361</v>
      </c>
      <c r="AJ71" s="13">
        <f>AI71*VLOOKUP('Données projet'!$B$10,Paramètres!$A$1:$I$89,3,0)*VLOOKUP('Données projet'!$B$10,Paramètres!$A$1:$I$89,5,0)</f>
        <v>216.25243999999986</v>
      </c>
      <c r="AK71" s="13">
        <f t="shared" si="89"/>
        <v>53.299559396285737</v>
      </c>
      <c r="AL71" s="20">
        <f t="shared" si="58"/>
        <v>469.46973228186403</v>
      </c>
      <c r="AM71" s="59">
        <f t="shared" si="59"/>
        <v>762.80306561519728</v>
      </c>
      <c r="AN71" s="59">
        <f ca="1">AVERAGE(OFFSET($AM$3,0,0,'Données projet'!$E$10+1,1))-AVERAGE(OFFSET($H$3,0,0,'Données projet'!$E$10+1,1))</f>
        <v>237.03649693529445</v>
      </c>
      <c r="AO71" s="59">
        <f t="shared" si="90"/>
        <v>191.04289411674887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39.025031313647837</v>
      </c>
      <c r="AV71" s="21">
        <f>EXP(-LN(2)/25)*AV70+(1-EXP(-LN(2)/25))/(LN(2)/25)*Calculateur!AQ71*Calculateur!AS71*VLOOKUP('Données projet'!$B$10,Paramètres!$A$1:$I$89,3,0)*0.475*44/12</f>
        <v>10.82563205000665</v>
      </c>
      <c r="AW71" s="21">
        <f>EXP(-LN(2)/2)*AW70+(1-EXP(-LN(2)/2))/(LN(2)/2)*AQ71*AT71*VLOOKUP('Données projet'!$B$10,Paramètres!$A$1:$I$89,3,0)*0.475*44/12</f>
        <v>0.31322540400209747</v>
      </c>
      <c r="AX71" s="21">
        <f t="shared" si="60"/>
        <v>50.163888767656587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10.314743589743591</v>
      </c>
      <c r="N72" s="13">
        <f>IF('Données projet'!$A$36&gt;35,N71+M72-V71,IF(A72&lt;'Données projet'!$A$36,$K$205^A72,IF(A72='Données projet'!$A$36,'Données projet'!$B$36,N71+M72-V71)))</f>
        <v>316.8717948717952</v>
      </c>
      <c r="O72" s="13">
        <f>N72*VLOOKUP('Données projet'!$B$9,Paramètres!$A$1:$I$89,3,0)*VLOOKUP('Données projet'!$B$9,Paramètres!$A$1:$I$89,5,0)</f>
        <v>148.29600000000016</v>
      </c>
      <c r="P72" s="13">
        <f t="shared" si="87"/>
        <v>38.191088392826394</v>
      </c>
      <c r="Q72" s="20">
        <f t="shared" si="54"/>
        <v>324.79834561750624</v>
      </c>
      <c r="R72" s="59">
        <f t="shared" si="55"/>
        <v>618.13167895083961</v>
      </c>
      <c r="S72" s="59">
        <f ca="1">AVERAGE(OFFSET($R$3,0,0,'Données projet'!$E$9+1,1))-AVERAGE(OFFSET($H$3,0,0,'Données projet'!$E$9+1,1))</f>
        <v>204.77882499755987</v>
      </c>
      <c r="T72" s="59">
        <f t="shared" si="88"/>
        <v>152.46480920430594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19.331261058389558</v>
      </c>
      <c r="AA72" s="21">
        <f>EXP(-LN(2)/25)*AA71+(1-EXP(-LN(2)/25))/(LN(2)/25)*Calculateur!V72*Calculateur!X72*VLOOKUP('Données projet'!$B$9,Paramètres!$A$1:$I$89,3,0)*0.475*44/12</f>
        <v>24.013212006979742</v>
      </c>
      <c r="AB72" s="21">
        <f>EXP(-LN(2)/2)*AB71+(1-EXP(-LN(2)/2))/(LN(2)/2)*V72*Y72*VLOOKUP('Données projet'!$B$9,Paramètres!$A$1:$I$89,3,0)*0.475*44/12</f>
        <v>0.49174110412940997</v>
      </c>
      <c r="AC72" s="22">
        <f t="shared" si="57"/>
        <v>43.83621416949871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9.1830769230769196</v>
      </c>
      <c r="AI72" s="13">
        <f>IF('Données projet'!$A$62&gt;35,AI71+AH72-AQ71,IF(A72&lt;'Données projet'!$A$62,$AF$205^A72,IF(A72='Données projet'!$A$62,'Données projet'!$B$62,AI71+AH72-AQ71)))</f>
        <v>370.80923076923051</v>
      </c>
      <c r="AJ72" s="13">
        <f>AI72*VLOOKUP('Données projet'!$B$10,Paramètres!$A$1:$I$89,3,0)*VLOOKUP('Données projet'!$B$10,Paramètres!$A$1:$I$89,5,0)</f>
        <v>221.74391999999986</v>
      </c>
      <c r="AK72" s="13">
        <f t="shared" si="89"/>
        <v>54.493743764780973</v>
      </c>
      <c r="AL72" s="20">
        <f t="shared" si="58"/>
        <v>481.11393105699329</v>
      </c>
      <c r="AM72" s="59">
        <f t="shared" si="59"/>
        <v>774.44726439032661</v>
      </c>
      <c r="AN72" s="59">
        <f ca="1">AVERAGE(OFFSET($AM$3,0,0,'Données projet'!$E$10+1,1))-AVERAGE(OFFSET($H$3,0,0,'Données projet'!$E$10+1,1))</f>
        <v>237.03649693529445</v>
      </c>
      <c r="AO72" s="59">
        <f t="shared" si="90"/>
        <v>191.04289411674887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38.259774252505963</v>
      </c>
      <c r="AV72" s="21">
        <f>EXP(-LN(2)/25)*AV71+(1-EXP(-LN(2)/25))/(LN(2)/25)*Calculateur!AQ72*Calculateur!AS72*VLOOKUP('Données projet'!$B$10,Paramètres!$A$1:$I$89,3,0)*0.475*44/12</f>
        <v>10.52960457230397</v>
      </c>
      <c r="AW72" s="21">
        <f>EXP(-LN(2)/2)*AW71+(1-EXP(-LN(2)/2))/(LN(2)/2)*AQ72*AT72*VLOOKUP('Données projet'!$B$10,Paramètres!$A$1:$I$89,3,0)*0.475*44/12</f>
        <v>0.22148380720977909</v>
      </c>
      <c r="AX72" s="21">
        <f t="shared" si="60"/>
        <v>49.010862632019709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10.314743589743591</v>
      </c>
      <c r="N73" s="13">
        <f>IF('Données projet'!$A$36&gt;35,N72+M73-V72,IF(A73&lt;'Données projet'!$A$36,$K$205^A73,IF(A73='Données projet'!$A$36,'Données projet'!$B$36,N72+M73-V72)))</f>
        <v>327.18653846153882</v>
      </c>
      <c r="O73" s="13">
        <f>N73*VLOOKUP('Données projet'!$B$9,Paramètres!$A$1:$I$89,3,0)*VLOOKUP('Données projet'!$B$9,Paramètres!$A$1:$I$89,5,0)</f>
        <v>153.12330000000017</v>
      </c>
      <c r="P73" s="13">
        <f t="shared" si="87"/>
        <v>39.287513204310343</v>
      </c>
      <c r="Q73" s="20">
        <f t="shared" si="54"/>
        <v>335.11549966417408</v>
      </c>
      <c r="R73" s="59">
        <f t="shared" si="55"/>
        <v>628.44883299750745</v>
      </c>
      <c r="S73" s="59">
        <f ca="1">AVERAGE(OFFSET($R$3,0,0,'Données projet'!$E$9+1,1))-AVERAGE(OFFSET($H$3,0,0,'Données projet'!$E$9+1,1))</f>
        <v>204.77882499755987</v>
      </c>
      <c r="T73" s="59">
        <f t="shared" si="88"/>
        <v>152.46480920430594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18.952186819939527</v>
      </c>
      <c r="AA73" s="21">
        <f>EXP(-LN(2)/25)*AA72+(1-EXP(-LN(2)/25))/(LN(2)/25)*Calculateur!V73*Calculateur!X73*VLOOKUP('Données projet'!$B$9,Paramètres!$A$1:$I$89,3,0)*0.475*44/12</f>
        <v>23.356569461848945</v>
      </c>
      <c r="AB73" s="21">
        <f>EXP(-LN(2)/2)*AB72+(1-EXP(-LN(2)/2))/(LN(2)/2)*V73*Y73*VLOOKUP('Données projet'!$B$9,Paramètres!$A$1:$I$89,3,0)*0.475*44/12</f>
        <v>0.34771346931806602</v>
      </c>
      <c r="AC73" s="22">
        <f t="shared" si="57"/>
        <v>42.656469751106542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379.99230769230769</v>
      </c>
      <c r="AG73" s="12">
        <f>VLOOKUP(A73,'Données projet'!$A$61:$I$81,9,0)</f>
        <v>9.1830769230769196</v>
      </c>
      <c r="AH73" s="12">
        <f t="array" ref="AH73">INDEX(AG:AG,MIN(IF(ISNUMBER(AG73:AG269),ROW(AG73:AG269),"")))</f>
        <v>9.1830769230769196</v>
      </c>
      <c r="AI73" s="13">
        <f>IF('Données projet'!$A$62&gt;35,AI72+AH73-AQ72,IF(A73&lt;'Données projet'!$A$62,$AF$205^A73,IF(A73='Données projet'!$A$62,'Données projet'!$B$62,AI72+AH73-AQ72)))</f>
        <v>379.99230769230741</v>
      </c>
      <c r="AJ73" s="13">
        <f>AI73*VLOOKUP('Données projet'!$B$10,Paramètres!$A$1:$I$89,3,0)*VLOOKUP('Données projet'!$B$10,Paramètres!$A$1:$I$89,5,0)</f>
        <v>227.23539999999986</v>
      </c>
      <c r="AK73" s="13">
        <f t="shared" si="89"/>
        <v>55.684490313081348</v>
      </c>
      <c r="AL73" s="20">
        <f t="shared" si="58"/>
        <v>492.75214229528314</v>
      </c>
      <c r="AM73" s="59">
        <f t="shared" si="59"/>
        <v>786.08547562861645</v>
      </c>
      <c r="AN73" s="59">
        <f ca="1">AVERAGE(OFFSET($AM$3,0,0,'Données projet'!$E$10+1,1))-AVERAGE(OFFSET($H$3,0,0,'Données projet'!$E$10+1,1))</f>
        <v>237.03649693529445</v>
      </c>
      <c r="AO73" s="59">
        <f t="shared" si="90"/>
        <v>191.04289411674887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52.669230769230765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7.5600000000000001E-2</v>
      </c>
      <c r="AT73" s="16">
        <f>IF(ISNA(VLOOKUP(A73,'Données projet'!$A$61:$I$81,7,0)),0%,VLOOKUP(A73,'Données projet'!$A$61:$I$81,7,0))</f>
        <v>0.13200000000000001</v>
      </c>
      <c r="AU73" s="21">
        <f>EXP(-LN(2)/35)*AU72+(1-EXP(-LN(2)/35))/(LN(2)/35)*AQ73*AR73*VLOOKUP('Données projet'!$B$10,Paramètres!$A$1:$I$89,3,0)*0.475*44/12</f>
        <v>50.670771327018038</v>
      </c>
      <c r="AV73" s="21">
        <f>EXP(-LN(2)/25)*AV72+(1-EXP(-LN(2)/25))/(LN(2)/25)*Calculateur!AQ73*Calculateur!AS73*VLOOKUP('Données projet'!$B$10,Paramètres!$A$1:$I$89,3,0)*0.475*44/12</f>
        <v>13.38793447680801</v>
      </c>
      <c r="AW73" s="21">
        <f>EXP(-LN(2)/2)*AW72+(1-EXP(-LN(2)/2))/(LN(2)/2)*AQ73*AT73*VLOOKUP('Données projet'!$B$10,Paramètres!$A$1:$I$89,3,0)*0.475*44/12</f>
        <v>4.8638666673956541</v>
      </c>
      <c r="AX73" s="21">
        <f t="shared" si="60"/>
        <v>68.922572471221699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10.314743589743591</v>
      </c>
      <c r="N74" s="13">
        <f>IF('Données projet'!$A$36&gt;35,N73+M74-V73,IF(A74&lt;'Données projet'!$A$36,$K$205^A74,IF(A74='Données projet'!$A$36,'Données projet'!$B$36,N73+M74-V73)))</f>
        <v>337.50128205128243</v>
      </c>
      <c r="O74" s="13">
        <f>N74*VLOOKUP('Données projet'!$B$9,Paramètres!$A$1:$I$89,3,0)*VLOOKUP('Données projet'!$B$9,Paramètres!$A$1:$I$89,5,0)</f>
        <v>157.95060000000018</v>
      </c>
      <c r="P74" s="13">
        <f t="shared" si="87"/>
        <v>40.379921270810129</v>
      </c>
      <c r="Q74" s="20">
        <f t="shared" si="54"/>
        <v>345.42565787999462</v>
      </c>
      <c r="R74" s="59">
        <f t="shared" si="55"/>
        <v>638.75899121332793</v>
      </c>
      <c r="S74" s="59">
        <f ca="1">AVERAGE(OFFSET($R$3,0,0,'Données projet'!$E$9+1,1))-AVERAGE(OFFSET($H$3,0,0,'Données projet'!$E$9+1,1))</f>
        <v>204.77882499755987</v>
      </c>
      <c r="T74" s="59">
        <f t="shared" si="88"/>
        <v>152.46480920430594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18.580545996093047</v>
      </c>
      <c r="AA74" s="21">
        <f>EXP(-LN(2)/25)*AA73+(1-EXP(-LN(2)/25))/(LN(2)/25)*Calculateur!V74*Calculateur!X74*VLOOKUP('Données projet'!$B$9,Paramètres!$A$1:$I$89,3,0)*0.475*44/12</f>
        <v>22.71788284164608</v>
      </c>
      <c r="AB74" s="21">
        <f>EXP(-LN(2)/2)*AB73+(1-EXP(-LN(2)/2))/(LN(2)/2)*V74*Y74*VLOOKUP('Données projet'!$B$9,Paramètres!$A$1:$I$89,3,0)*0.475*44/12</f>
        <v>0.24587055206470504</v>
      </c>
      <c r="AC74" s="22">
        <f t="shared" si="57"/>
        <v>41.544299389803825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7.5584615384615343</v>
      </c>
      <c r="AI74" s="13">
        <f>IF('Données projet'!$A$62&gt;35,AI73+AH74-AQ73,IF(A74&lt;'Données projet'!$A$62,$AF$205^A74,IF(A74='Données projet'!$A$62,'Données projet'!$B$62,AI73+AH74-AQ73)))</f>
        <v>334.88153846153818</v>
      </c>
      <c r="AJ74" s="13">
        <f>AI74*VLOOKUP('Données projet'!$B$10,Paramètres!$A$1:$I$89,3,0)*VLOOKUP('Données projet'!$B$10,Paramètres!$A$1:$I$89,5,0)</f>
        <v>200.25915999999987</v>
      </c>
      <c r="AK74" s="13">
        <f t="shared" si="89"/>
        <v>49.801118956127333</v>
      </c>
      <c r="AL74" s="20">
        <f t="shared" si="58"/>
        <v>435.52165251525486</v>
      </c>
      <c r="AM74" s="59">
        <f t="shared" si="59"/>
        <v>728.85498584858817</v>
      </c>
      <c r="AN74" s="59">
        <f ca="1">AVERAGE(OFFSET($AM$3,0,0,'Données projet'!$E$10+1,1))-AVERAGE(OFFSET($H$3,0,0,'Données projet'!$E$10+1,1))</f>
        <v>237.03649693529445</v>
      </c>
      <c r="AO74" s="59">
        <f t="shared" si="90"/>
        <v>191.04289411674887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49.677148407413995</v>
      </c>
      <c r="AV74" s="21">
        <f>EXP(-LN(2)/25)*AV73+(1-EXP(-LN(2)/25))/(LN(2)/25)*Calculateur!AQ74*Calculateur!AS74*VLOOKUP('Données projet'!$B$10,Paramètres!$A$1:$I$89,3,0)*0.475*44/12</f>
        <v>13.021840704498819</v>
      </c>
      <c r="AW74" s="21">
        <f>EXP(-LN(2)/2)*AW73+(1-EXP(-LN(2)/2))/(LN(2)/2)*AQ74*AT74*VLOOKUP('Données projet'!$B$10,Paramètres!$A$1:$I$89,3,0)*0.475*44/12</f>
        <v>3.4392731033026811</v>
      </c>
      <c r="AX74" s="21">
        <f t="shared" si="60"/>
        <v>66.138262215215491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10.314743589743591</v>
      </c>
      <c r="N75" s="13">
        <f>IF('Données projet'!$A$36&gt;35,N74+M75-V74,IF(A75&lt;'Données projet'!$A$36,$K$205^A75,IF(A75='Données projet'!$A$36,'Données projet'!$B$36,N74+M75-V74)))</f>
        <v>347.81602564102604</v>
      </c>
      <c r="O75" s="13">
        <f>N75*VLOOKUP('Données projet'!$B$9,Paramètres!$A$1:$I$89,3,0)*VLOOKUP('Données projet'!$B$9,Paramètres!$A$1:$I$89,5,0)</f>
        <v>162.77790000000019</v>
      </c>
      <c r="P75" s="13">
        <f t="shared" si="87"/>
        <v>41.468449441443113</v>
      </c>
      <c r="Q75" s="20">
        <f t="shared" si="54"/>
        <v>355.72905861051368</v>
      </c>
      <c r="R75" s="59">
        <f t="shared" si="55"/>
        <v>649.06239194384693</v>
      </c>
      <c r="S75" s="59">
        <f ca="1">AVERAGE(OFFSET($R$3,0,0,'Données projet'!$E$9+1,1))-AVERAGE(OFFSET($H$3,0,0,'Données projet'!$E$9+1,1))</f>
        <v>204.77882499755987</v>
      </c>
      <c r="T75" s="59">
        <f t="shared" si="88"/>
        <v>152.46480920430594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18.216192822123677</v>
      </c>
      <c r="AA75" s="21">
        <f>EXP(-LN(2)/25)*AA74+(1-EXP(-LN(2)/25))/(LN(2)/25)*Calculateur!V75*Calculateur!X75*VLOOKUP('Données projet'!$B$9,Paramètres!$A$1:$I$89,3,0)*0.475*44/12</f>
        <v>22.096661140659734</v>
      </c>
      <c r="AB75" s="21">
        <f>EXP(-LN(2)/2)*AB74+(1-EXP(-LN(2)/2))/(LN(2)/2)*V75*Y75*VLOOKUP('Données projet'!$B$9,Paramètres!$A$1:$I$89,3,0)*0.475*44/12</f>
        <v>0.17385673465903304</v>
      </c>
      <c r="AC75" s="22">
        <f t="shared" si="57"/>
        <v>40.48671069744244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7.5584615384615343</v>
      </c>
      <c r="AI75" s="13">
        <f>IF('Données projet'!$A$62&gt;35,AI74+AH75-AQ74,IF(A75&lt;'Données projet'!$A$62,$AF$205^A75,IF(A75='Données projet'!$A$62,'Données projet'!$B$62,AI74+AH75-AQ74)))</f>
        <v>342.43999999999971</v>
      </c>
      <c r="AJ75" s="13">
        <f>AI75*VLOOKUP('Données projet'!$B$10,Paramètres!$A$1:$I$89,3,0)*VLOOKUP('Données projet'!$B$10,Paramètres!$A$1:$I$89,5,0)</f>
        <v>204.77911999999984</v>
      </c>
      <c r="AK75" s="13">
        <f t="shared" si="89"/>
        <v>50.79302579334589</v>
      </c>
      <c r="AL75" s="20">
        <f t="shared" si="58"/>
        <v>445.12148725674382</v>
      </c>
      <c r="AM75" s="59">
        <f t="shared" si="59"/>
        <v>738.45482059007713</v>
      </c>
      <c r="AN75" s="59">
        <f ca="1">AVERAGE(OFFSET($AM$3,0,0,'Données projet'!$E$10+1,1))-AVERAGE(OFFSET($H$3,0,0,'Données projet'!$E$10+1,1))</f>
        <v>237.03649693529445</v>
      </c>
      <c r="AO75" s="59">
        <f t="shared" si="90"/>
        <v>191.04289411674887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48.703009827213251</v>
      </c>
      <c r="AV75" s="21">
        <f>EXP(-LN(2)/25)*AV74+(1-EXP(-LN(2)/25))/(LN(2)/25)*Calculateur!AQ75*Calculateur!AS75*VLOOKUP('Données projet'!$B$10,Paramètres!$A$1:$I$89,3,0)*0.475*44/12</f>
        <v>12.665757785645459</v>
      </c>
      <c r="AW75" s="21">
        <f>EXP(-LN(2)/2)*AW74+(1-EXP(-LN(2)/2))/(LN(2)/2)*AQ75*AT75*VLOOKUP('Données projet'!$B$10,Paramètres!$A$1:$I$89,3,0)*0.475*44/12</f>
        <v>2.4319333336978275</v>
      </c>
      <c r="AX75" s="21">
        <f t="shared" si="60"/>
        <v>63.800700946556539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>
        <f>VLOOKUP(A76,'Données projet'!$A$35:$I$55,2,0)</f>
        <v>358.13076923076926</v>
      </c>
      <c r="L76" s="12">
        <f>VLOOKUP(A76,'Données projet'!$A$35:$I$55,9,0)</f>
        <v>10.314743589743591</v>
      </c>
      <c r="M76" s="12">
        <f t="array" ref="M76">INDEX(L:L,MIN(IF(ISNUMBER(L76:L272),ROW(L76:L272),"")))</f>
        <v>10.314743589743591</v>
      </c>
      <c r="N76" s="13">
        <f>IF('Données projet'!$A$36&gt;35,N75+M76-V75,IF(A76&lt;'Données projet'!$A$36,$K$205^A76,IF(A76='Données projet'!$A$36,'Données projet'!$B$36,N75+M76-V75)))</f>
        <v>358.13076923076966</v>
      </c>
      <c r="O76" s="13">
        <f>N76*VLOOKUP('Données projet'!$B$9,Paramètres!$A$1:$I$89,3,0)*VLOOKUP('Données projet'!$B$9,Paramètres!$A$1:$I$89,5,0)</f>
        <v>167.6052000000002</v>
      </c>
      <c r="P76" s="13">
        <f t="shared" si="87"/>
        <v>42.553225987206773</v>
      </c>
      <c r="Q76" s="20">
        <f t="shared" si="54"/>
        <v>366.02592526105212</v>
      </c>
      <c r="R76" s="59">
        <f t="shared" si="55"/>
        <v>659.35925859438544</v>
      </c>
      <c r="S76" s="59">
        <f ca="1">AVERAGE(OFFSET($R$3,0,0,'Données projet'!$E$9+1,1))-AVERAGE(OFFSET($H$3,0,0,'Données projet'!$E$9+1,1))</f>
        <v>204.77882499755987</v>
      </c>
      <c r="T76" s="59">
        <f t="shared" si="88"/>
        <v>152.46480920430594</v>
      </c>
      <c r="U76" s="15">
        <f>IF(ISNA(VLOOKUP(A76,'Données projet'!$A$35:$I$55,3,0)),0,VLOOKUP(A76,'Données projet'!$A$35:$I$55,3,0))</f>
        <v>3</v>
      </c>
      <c r="V76" s="15">
        <f>IF(ISNA(VLOOKUP(A76,'Données projet'!$A$35:$I$55,4,0)),0,VLOOKUP(A76,'Données projet'!$A$35:$I$55,4,0))</f>
        <v>93.584615384615375</v>
      </c>
      <c r="W76" s="16">
        <f>IF(ISNA(VLOOKUP(A76,'Données projet'!$A$35:$I$55,5,0)),0%,VLOOKUP(A76,'Données projet'!$A$35:$I$55,5,0)*VLOOKUP('Données projet'!$B$9,Paramètres!$A$1:$I$89,7,0))</f>
        <v>0.38500000000000001</v>
      </c>
      <c r="X76" s="16">
        <f>IF(ISNA(VLOOKUP(A76,'Données projet'!$A$35:$I$55,6,0)),0%,VLOOKUP(A76,'Données projet'!$A$35:$I$55,6,0)*VLOOKUP('Données projet'!$B$9,Paramètres!$A$1:$I$89,7,0))</f>
        <v>9.240000000000001E-2</v>
      </c>
      <c r="Y76" s="16">
        <f>IF(ISNA(VLOOKUP(A76,'Données projet'!$A$35:$I$55,7,0)),0%,VLOOKUP(A76,'Données projet'!$A$35:$I$55,7,0))</f>
        <v>0.13200000000000001</v>
      </c>
      <c r="Z76" s="21">
        <f>EXP(-LN(2)/35)*Z75+(1-EXP(-LN(2)/35))/(LN(2)/35)*V76*W76*VLOOKUP('Données projet'!$B$9,Paramètres!$A$1:$I$89,3,0)*0.475*44/12</f>
        <v>40.227615058182487</v>
      </c>
      <c r="AA76" s="21">
        <f>EXP(-LN(2)/25)*AA75+(1-EXP(-LN(2)/25))/(LN(2)/25)*Calculateur!V76*Calculateur!X76*VLOOKUP('Données projet'!$B$9,Paramètres!$A$1:$I$89,3,0)*0.475*44/12</f>
        <v>26.839760422428181</v>
      </c>
      <c r="AB76" s="21">
        <f>EXP(-LN(2)/2)*AB75+(1-EXP(-LN(2)/2))/(LN(2)/2)*V76*Y76*VLOOKUP('Données projet'!$B$9,Paramètres!$A$1:$I$89,3,0)*0.475*44/12</f>
        <v>6.6686908362195103</v>
      </c>
      <c r="AC76" s="22">
        <f t="shared" si="57"/>
        <v>73.736066316830176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7.5584615384615343</v>
      </c>
      <c r="AI76" s="13">
        <f>IF('Données projet'!$A$62&gt;35,AI75+AH76-AQ75,IF(A76&lt;'Données projet'!$A$62,$AF$205^A76,IF(A76='Données projet'!$A$62,'Données projet'!$B$62,AI75+AH76-AQ75)))</f>
        <v>349.99846153846124</v>
      </c>
      <c r="AJ76" s="13">
        <f>AI76*VLOOKUP('Données projet'!$B$10,Paramètres!$A$1:$I$89,3,0)*VLOOKUP('Données projet'!$B$10,Paramètres!$A$1:$I$89,5,0)</f>
        <v>209.29907999999983</v>
      </c>
      <c r="AK76" s="13">
        <f t="shared" si="89"/>
        <v>51.782387252616175</v>
      </c>
      <c r="AL76" s="20">
        <f t="shared" si="58"/>
        <v>454.71688879830617</v>
      </c>
      <c r="AM76" s="59">
        <f t="shared" si="59"/>
        <v>748.05022213163943</v>
      </c>
      <c r="AN76" s="59">
        <f ca="1">AVERAGE(OFFSET($AM$3,0,0,'Données projet'!$E$10+1,1))-AVERAGE(OFFSET($H$3,0,0,'Données projet'!$E$10+1,1))</f>
        <v>237.03649693529445</v>
      </c>
      <c r="AO76" s="59">
        <f t="shared" si="90"/>
        <v>191.04289411674887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47.747973510404378</v>
      </c>
      <c r="AV76" s="21">
        <f>EXP(-LN(2)/25)*AV75+(1-EXP(-LN(2)/25))/(LN(2)/25)*Calculateur!AQ76*Calculateur!AS76*VLOOKUP('Données projet'!$B$10,Paramètres!$A$1:$I$89,3,0)*0.475*44/12</f>
        <v>12.319411972933731</v>
      </c>
      <c r="AW76" s="21">
        <f>EXP(-LN(2)/2)*AW75+(1-EXP(-LN(2)/2))/(LN(2)/2)*AQ76*AT76*VLOOKUP('Données projet'!$B$10,Paramètres!$A$1:$I$89,3,0)*0.475*44/12</f>
        <v>1.719636551651341</v>
      </c>
      <c r="AX76" s="21">
        <f t="shared" si="60"/>
        <v>61.787022034989448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9.5237179487179446</v>
      </c>
      <c r="N77" s="13">
        <f>IF('Données projet'!$A$36&gt;35,N76+M77-V76,IF(A77&lt;'Données projet'!$A$36,$K$205^A77,IF(A77='Données projet'!$A$36,'Données projet'!$B$36,N76+M77-V76)))</f>
        <v>274.06987179487226</v>
      </c>
      <c r="O77" s="13">
        <f>N77*VLOOKUP('Données projet'!$B$9,Paramètres!$A$1:$I$89,3,0)*VLOOKUP('Données projet'!$B$9,Paramètres!$A$1:$I$89,5,0)</f>
        <v>128.26470000000023</v>
      </c>
      <c r="P77" s="13">
        <f t="shared" si="87"/>
        <v>33.595069382484709</v>
      </c>
      <c r="Q77" s="20">
        <f t="shared" si="54"/>
        <v>281.90576500782794</v>
      </c>
      <c r="R77" s="59">
        <f t="shared" si="55"/>
        <v>575.23909834116125</v>
      </c>
      <c r="S77" s="59">
        <f ca="1">AVERAGE(OFFSET($R$3,0,0,'Données projet'!$E$9+1,1))-AVERAGE(OFFSET($H$3,0,0,'Données projet'!$E$9+1,1))</f>
        <v>204.77882499755987</v>
      </c>
      <c r="T77" s="59">
        <f t="shared" si="88"/>
        <v>152.46480920430594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39.438776063313945</v>
      </c>
      <c r="AA77" s="21">
        <f>EXP(-LN(2)/25)*AA76+(1-EXP(-LN(2)/25))/(LN(2)/25)*Calculateur!V77*Calculateur!X77*VLOOKUP('Données projet'!$B$9,Paramètres!$A$1:$I$89,3,0)*0.475*44/12</f>
        <v>26.105825762235224</v>
      </c>
      <c r="AB77" s="21">
        <f>EXP(-LN(2)/2)*AB76+(1-EXP(-LN(2)/2))/(LN(2)/2)*V77*Y77*VLOOKUP('Données projet'!$B$9,Paramètres!$A$1:$I$89,3,0)*0.475*44/12</f>
        <v>4.7154765119274042</v>
      </c>
      <c r="AC77" s="22">
        <f t="shared" si="57"/>
        <v>70.260078337476571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7.5584615384615343</v>
      </c>
      <c r="AI77" s="13">
        <f>IF('Données projet'!$A$62&gt;35,AI76+AH77-AQ76,IF(A77&lt;'Données projet'!$A$62,$AF$205^A77,IF(A77='Données projet'!$A$62,'Données projet'!$B$62,AI76+AH77-AQ76)))</f>
        <v>357.55692307692277</v>
      </c>
      <c r="AJ77" s="13">
        <f>AI77*VLOOKUP('Données projet'!$B$10,Paramètres!$A$1:$I$89,3,0)*VLOOKUP('Données projet'!$B$10,Paramètres!$A$1:$I$89,5,0)</f>
        <v>213.81903999999983</v>
      </c>
      <c r="AK77" s="13">
        <f t="shared" si="89"/>
        <v>52.769264634128973</v>
      </c>
      <c r="AL77" s="20">
        <f t="shared" si="58"/>
        <v>464.30796390444101</v>
      </c>
      <c r="AM77" s="59">
        <f t="shared" si="59"/>
        <v>757.64129723777432</v>
      </c>
      <c r="AN77" s="59">
        <f ca="1">AVERAGE(OFFSET($AM$3,0,0,'Données projet'!$E$10+1,1))-AVERAGE(OFFSET($H$3,0,0,'Données projet'!$E$10+1,1))</f>
        <v>237.03649693529445</v>
      </c>
      <c r="AO77" s="59">
        <f t="shared" si="90"/>
        <v>191.04289411674887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46.811664873253491</v>
      </c>
      <c r="AV77" s="21">
        <f>EXP(-LN(2)/25)*AV76+(1-EXP(-LN(2)/25))/(LN(2)/25)*Calculateur!AQ77*Calculateur!AS77*VLOOKUP('Données projet'!$B$10,Paramètres!$A$1:$I$89,3,0)*0.475*44/12</f>
        <v>11.982537004684138</v>
      </c>
      <c r="AW77" s="21">
        <f>EXP(-LN(2)/2)*AW76+(1-EXP(-LN(2)/2))/(LN(2)/2)*AQ77*AT77*VLOOKUP('Données projet'!$B$10,Paramètres!$A$1:$I$89,3,0)*0.475*44/12</f>
        <v>1.215966666848914</v>
      </c>
      <c r="AX77" s="21">
        <f t="shared" si="60"/>
        <v>60.010168544786545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9.5237179487179446</v>
      </c>
      <c r="N78" s="13">
        <f>IF('Données projet'!$A$36&gt;35,N77+M78-V77,IF(A78&lt;'Données projet'!$A$36,$K$205^A78,IF(A78='Données projet'!$A$36,'Données projet'!$B$36,N77+M78-V77)))</f>
        <v>283.5935897435902</v>
      </c>
      <c r="O78" s="13">
        <f>N78*VLOOKUP('Données projet'!$B$9,Paramètres!$A$1:$I$89,3,0)*VLOOKUP('Données projet'!$B$9,Paramètres!$A$1:$I$89,5,0)</f>
        <v>132.7218000000002</v>
      </c>
      <c r="P78" s="13">
        <f t="shared" si="87"/>
        <v>34.624526937018011</v>
      </c>
      <c r="Q78" s="20">
        <f t="shared" si="54"/>
        <v>291.46151941530667</v>
      </c>
      <c r="R78" s="59">
        <f t="shared" si="55"/>
        <v>584.79485274863998</v>
      </c>
      <c r="S78" s="59">
        <f ca="1">AVERAGE(OFFSET($R$3,0,0,'Données projet'!$E$9+1,1))-AVERAGE(OFFSET($H$3,0,0,'Données projet'!$E$9+1,1))</f>
        <v>204.77882499755987</v>
      </c>
      <c r="T78" s="59">
        <f t="shared" si="88"/>
        <v>152.46480920430594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38.665405719990495</v>
      </c>
      <c r="AA78" s="21">
        <f>EXP(-LN(2)/25)*AA77+(1-EXP(-LN(2)/25))/(LN(2)/25)*Calculateur!V78*Calculateur!X78*VLOOKUP('Données projet'!$B$9,Paramètres!$A$1:$I$89,3,0)*0.475*44/12</f>
        <v>25.39196058392119</v>
      </c>
      <c r="AB78" s="21">
        <f>EXP(-LN(2)/2)*AB77+(1-EXP(-LN(2)/2))/(LN(2)/2)*V78*Y78*VLOOKUP('Données projet'!$B$9,Paramètres!$A$1:$I$89,3,0)*0.475*44/12</f>
        <v>3.3343454181097556</v>
      </c>
      <c r="AC78" s="22">
        <f t="shared" si="57"/>
        <v>67.391711722021455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7.5584615384615343</v>
      </c>
      <c r="AI78" s="13">
        <f>IF('Données projet'!$A$62&gt;35,AI77+AH78-AQ77,IF(A78&lt;'Données projet'!$A$62,$AF$205^A78,IF(A78='Données projet'!$A$62,'Données projet'!$B$62,AI77+AH78-AQ77)))</f>
        <v>365.1153846153843</v>
      </c>
      <c r="AJ78" s="13">
        <f>AI78*VLOOKUP('Données projet'!$B$10,Paramètres!$A$1:$I$89,3,0)*VLOOKUP('Données projet'!$B$10,Paramètres!$A$1:$I$89,5,0)</f>
        <v>218.33899999999983</v>
      </c>
      <c r="AK78" s="13">
        <f t="shared" si="89"/>
        <v>53.753716498326504</v>
      </c>
      <c r="AL78" s="20">
        <f t="shared" si="58"/>
        <v>473.89481456791833</v>
      </c>
      <c r="AM78" s="59">
        <f t="shared" si="59"/>
        <v>767.22814790125165</v>
      </c>
      <c r="AN78" s="59">
        <f ca="1">AVERAGE(OFFSET($AM$3,0,0,'Données projet'!$E$10+1,1))-AVERAGE(OFFSET($H$3,0,0,'Données projet'!$E$10+1,1))</f>
        <v>237.03649693529445</v>
      </c>
      <c r="AO78" s="59">
        <f t="shared" si="90"/>
        <v>191.04289411674887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45.893716677385257</v>
      </c>
      <c r="AV78" s="21">
        <f>EXP(-LN(2)/25)*AV77+(1-EXP(-LN(2)/25))/(LN(2)/25)*Calculateur!AQ78*Calculateur!AS78*VLOOKUP('Données projet'!$B$10,Paramètres!$A$1:$I$89,3,0)*0.475*44/12</f>
        <v>11.654873900156815</v>
      </c>
      <c r="AW78" s="21">
        <f>EXP(-LN(2)/2)*AW77+(1-EXP(-LN(2)/2))/(LN(2)/2)*AQ78*AT78*VLOOKUP('Données projet'!$B$10,Paramètres!$A$1:$I$89,3,0)*0.475*44/12</f>
        <v>0.85981827582567061</v>
      </c>
      <c r="AX78" s="21">
        <f t="shared" si="60"/>
        <v>58.408408853367746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9.5237179487179446</v>
      </c>
      <c r="N79" s="13">
        <f>IF('Données projet'!$A$36&gt;35,N78+M79-V78,IF(A79&lt;'Données projet'!$A$36,$K$205^A79,IF(A79='Données projet'!$A$36,'Données projet'!$B$36,N78+M79-V78)))</f>
        <v>293.11730769230815</v>
      </c>
      <c r="O79" s="13">
        <f>N79*VLOOKUP('Données projet'!$B$9,Paramètres!$A$1:$I$89,3,0)*VLOOKUP('Données projet'!$B$9,Paramètres!$A$1:$I$89,5,0)</f>
        <v>137.17890000000023</v>
      </c>
      <c r="P79" s="13">
        <f t="shared" si="87"/>
        <v>35.649967423044139</v>
      </c>
      <c r="Q79" s="20">
        <f t="shared" si="54"/>
        <v>301.0102774284689</v>
      </c>
      <c r="R79" s="59">
        <f t="shared" si="55"/>
        <v>594.34361076180221</v>
      </c>
      <c r="S79" s="59">
        <f ca="1">AVERAGE(OFFSET($R$3,0,0,'Données projet'!$E$9+1,1))-AVERAGE(OFFSET($H$3,0,0,'Données projet'!$E$9+1,1))</f>
        <v>204.77882499755987</v>
      </c>
      <c r="T79" s="59">
        <f t="shared" si="88"/>
        <v>152.46480920430594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37.907200697390287</v>
      </c>
      <c r="AA79" s="21">
        <f>EXP(-LN(2)/25)*AA78+(1-EXP(-LN(2)/25))/(LN(2)/25)*Calculateur!V79*Calculateur!X79*VLOOKUP('Données projet'!$B$9,Paramètres!$A$1:$I$89,3,0)*0.475*44/12</f>
        <v>24.697616086448694</v>
      </c>
      <c r="AB79" s="21">
        <f>EXP(-LN(2)/2)*AB78+(1-EXP(-LN(2)/2))/(LN(2)/2)*V79*Y79*VLOOKUP('Données projet'!$B$9,Paramètres!$A$1:$I$89,3,0)*0.475*44/12</f>
        <v>2.3577382559637026</v>
      </c>
      <c r="AC79" s="22">
        <f t="shared" si="57"/>
        <v>64.96255503980268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7.5584615384615343</v>
      </c>
      <c r="AI79" s="13">
        <f>IF('Données projet'!$A$62&gt;35,AI78+AH79-AQ78,IF(A79&lt;'Données projet'!$A$62,$AF$205^A79,IF(A79='Données projet'!$A$62,'Données projet'!$B$62,AI78+AH79-AQ78)))</f>
        <v>372.67384615384583</v>
      </c>
      <c r="AJ79" s="13">
        <f>AI79*VLOOKUP('Données projet'!$B$10,Paramètres!$A$1:$I$89,3,0)*VLOOKUP('Données projet'!$B$10,Paramètres!$A$1:$I$89,5,0)</f>
        <v>222.85895999999985</v>
      </c>
      <c r="AK79" s="13">
        <f t="shared" si="89"/>
        <v>54.735798842493168</v>
      </c>
      <c r="AL79" s="20">
        <f t="shared" si="58"/>
        <v>483.47753831734195</v>
      </c>
      <c r="AM79" s="59">
        <f t="shared" si="59"/>
        <v>776.81087165067527</v>
      </c>
      <c r="AN79" s="59">
        <f ca="1">AVERAGE(OFFSET($AM$3,0,0,'Données projet'!$E$10+1,1))-AVERAGE(OFFSET($H$3,0,0,'Données projet'!$E$10+1,1))</f>
        <v>237.03649693529445</v>
      </c>
      <c r="AO79" s="59">
        <f t="shared" si="90"/>
        <v>191.04289411674887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44.993768885744885</v>
      </c>
      <c r="AV79" s="21">
        <f>EXP(-LN(2)/25)*AV78+(1-EXP(-LN(2)/25))/(LN(2)/25)*Calculateur!AQ79*Calculateur!AS79*VLOOKUP('Données projet'!$B$10,Paramètres!$A$1:$I$89,3,0)*0.475*44/12</f>
        <v>11.336170760453847</v>
      </c>
      <c r="AW79" s="21">
        <f>EXP(-LN(2)/2)*AW78+(1-EXP(-LN(2)/2))/(LN(2)/2)*AQ79*AT79*VLOOKUP('Données projet'!$B$10,Paramètres!$A$1:$I$89,3,0)*0.475*44/12</f>
        <v>0.6079833334244571</v>
      </c>
      <c r="AX79" s="21">
        <f t="shared" si="60"/>
        <v>56.937922979623188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9.5237179487179446</v>
      </c>
      <c r="N80" s="13">
        <f>IF('Données projet'!$A$36&gt;35,N79+M80-V79,IF(A80&lt;'Données projet'!$A$36,$K$205^A80,IF(A80='Données projet'!$A$36,'Données projet'!$B$36,N79+M80-V79)))</f>
        <v>302.64102564102609</v>
      </c>
      <c r="O80" s="13">
        <f>N80*VLOOKUP('Données projet'!$B$9,Paramètres!$A$1:$I$89,3,0)*VLOOKUP('Données projet'!$B$9,Paramètres!$A$1:$I$89,5,0)</f>
        <v>141.63600000000019</v>
      </c>
      <c r="P80" s="13">
        <f t="shared" si="87"/>
        <v>36.671536328944448</v>
      </c>
      <c r="Q80" s="20">
        <f t="shared" si="54"/>
        <v>310.55229243957859</v>
      </c>
      <c r="R80" s="59">
        <f t="shared" si="55"/>
        <v>603.88562577291191</v>
      </c>
      <c r="S80" s="59">
        <f ca="1">AVERAGE(OFFSET($R$3,0,0,'Données projet'!$E$9+1,1))-AVERAGE(OFFSET($H$3,0,0,'Données projet'!$E$9+1,1))</f>
        <v>204.77882499755987</v>
      </c>
      <c r="T80" s="59">
        <f t="shared" si="88"/>
        <v>152.46480920430594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37.163863612823867</v>
      </c>
      <c r="AA80" s="21">
        <f>EXP(-LN(2)/25)*AA79+(1-EXP(-LN(2)/25))/(LN(2)/25)*Calculateur!V80*Calculateur!X80*VLOOKUP('Données projet'!$B$9,Paramètres!$A$1:$I$89,3,0)*0.475*44/12</f>
        <v>24.022258475773572</v>
      </c>
      <c r="AB80" s="21">
        <f>EXP(-LN(2)/2)*AB79+(1-EXP(-LN(2)/2))/(LN(2)/2)*V80*Y80*VLOOKUP('Données projet'!$B$9,Paramètres!$A$1:$I$89,3,0)*0.475*44/12</f>
        <v>1.667172709054878</v>
      </c>
      <c r="AC80" s="22">
        <f t="shared" si="57"/>
        <v>62.853294797652325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7.5584615384615343</v>
      </c>
      <c r="AI80" s="13">
        <f>IF('Données projet'!$A$62&gt;35,AI79+AH80-AQ79,IF(A80&lt;'Données projet'!$A$62,$AF$205^A80,IF(A80='Données projet'!$A$62,'Données projet'!$B$62,AI79+AH80-AQ79)))</f>
        <v>380.23230769230736</v>
      </c>
      <c r="AJ80" s="13">
        <f>AI80*VLOOKUP('Données projet'!$B$10,Paramètres!$A$1:$I$89,3,0)*VLOOKUP('Données projet'!$B$10,Paramètres!$A$1:$I$89,5,0)</f>
        <v>227.37891999999979</v>
      </c>
      <c r="AK80" s="13">
        <f t="shared" si="89"/>
        <v>55.715565262615449</v>
      </c>
      <c r="AL80" s="20">
        <f t="shared" si="58"/>
        <v>493.05622849905484</v>
      </c>
      <c r="AM80" s="59">
        <f t="shared" si="59"/>
        <v>786.38956183238815</v>
      </c>
      <c r="AN80" s="59">
        <f ca="1">AVERAGE(OFFSET($AM$3,0,0,'Données projet'!$E$10+1,1))-AVERAGE(OFFSET($H$3,0,0,'Données projet'!$E$10+1,1))</f>
        <v>237.03649693529445</v>
      </c>
      <c r="AO80" s="59">
        <f t="shared" si="90"/>
        <v>191.04289411674887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44.11146852138463</v>
      </c>
      <c r="AV80" s="21">
        <f>EXP(-LN(2)/25)*AV79+(1-EXP(-LN(2)/25))/(LN(2)/25)*Calculateur!AQ80*Calculateur!AS80*VLOOKUP('Données projet'!$B$10,Paramètres!$A$1:$I$89,3,0)*0.475*44/12</f>
        <v>11.026182574865926</v>
      </c>
      <c r="AW80" s="21">
        <f>EXP(-LN(2)/2)*AW79+(1-EXP(-LN(2)/2))/(LN(2)/2)*AQ80*AT80*VLOOKUP('Données projet'!$B$10,Paramètres!$A$1:$I$89,3,0)*0.475*44/12</f>
        <v>0.42990913791283536</v>
      </c>
      <c r="AX80" s="21">
        <f t="shared" si="60"/>
        <v>55.567560234163395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9.5237179487179446</v>
      </c>
      <c r="N81" s="13">
        <f>IF('Données projet'!$A$36&gt;35,N80+M81-V80,IF(A81&lt;'Données projet'!$A$36,$K$205^A81,IF(A81='Données projet'!$A$36,'Données projet'!$B$36,N80+M81-V80)))</f>
        <v>312.16474358974403</v>
      </c>
      <c r="O81" s="13">
        <f>N81*VLOOKUP('Données projet'!$B$9,Paramètres!$A$1:$I$89,3,0)*VLOOKUP('Données projet'!$B$9,Paramètres!$A$1:$I$89,5,0)</f>
        <v>146.09310000000022</v>
      </c>
      <c r="P81" s="13">
        <f t="shared" si="87"/>
        <v>37.689369466401502</v>
      </c>
      <c r="Q81" s="20">
        <f t="shared" si="54"/>
        <v>320.08780098731637</v>
      </c>
      <c r="R81" s="59">
        <f t="shared" si="55"/>
        <v>613.42113432064968</v>
      </c>
      <c r="S81" s="59">
        <f ca="1">AVERAGE(OFFSET($R$3,0,0,'Données projet'!$E$9+1,1))-AVERAGE(OFFSET($H$3,0,0,'Données projet'!$E$9+1,1))</f>
        <v>204.77882499755987</v>
      </c>
      <c r="T81" s="59">
        <f t="shared" si="88"/>
        <v>152.46480920430594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36.435102915094944</v>
      </c>
      <c r="AA81" s="21">
        <f>EXP(-LN(2)/25)*AA80+(1-EXP(-LN(2)/25))/(LN(2)/25)*Calculateur!V81*Calculateur!X81*VLOOKUP('Données projet'!$B$9,Paramètres!$A$1:$I$89,3,0)*0.475*44/12</f>
        <v>23.365368554477875</v>
      </c>
      <c r="AB81" s="21">
        <f>EXP(-LN(2)/2)*AB80+(1-EXP(-LN(2)/2))/(LN(2)/2)*V81*Y81*VLOOKUP('Données projet'!$B$9,Paramètres!$A$1:$I$89,3,0)*0.475*44/12</f>
        <v>1.1788691279818513</v>
      </c>
      <c r="AC81" s="22">
        <f t="shared" si="57"/>
        <v>60.979340597554668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7.5584615384615343</v>
      </c>
      <c r="AI81" s="13">
        <f>IF('Données projet'!$A$62&gt;35,AI80+AH81-AQ80,IF(A81&lt;'Données projet'!$A$62,$AF$205^A81,IF(A81='Données projet'!$A$62,'Données projet'!$B$62,AI80+AH81-AQ80)))</f>
        <v>387.79076923076889</v>
      </c>
      <c r="AJ81" s="13">
        <f>AI81*VLOOKUP('Données projet'!$B$10,Paramètres!$A$1:$I$89,3,0)*VLOOKUP('Données projet'!$B$10,Paramètres!$A$1:$I$89,5,0)</f>
        <v>231.89887999999982</v>
      </c>
      <c r="AK81" s="13">
        <f t="shared" si="89"/>
        <v>56.693067102008712</v>
      </c>
      <c r="AL81" s="20">
        <f t="shared" si="58"/>
        <v>502.63097453599818</v>
      </c>
      <c r="AM81" s="59">
        <f t="shared" si="59"/>
        <v>795.96430786933149</v>
      </c>
      <c r="AN81" s="59">
        <f ca="1">AVERAGE(OFFSET($AM$3,0,0,'Données projet'!$E$10+1,1))-AVERAGE(OFFSET($H$3,0,0,'Données projet'!$E$10+1,1))</f>
        <v>237.03649693529445</v>
      </c>
      <c r="AO81" s="59">
        <f t="shared" si="90"/>
        <v>191.04289411674887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43.246469529019393</v>
      </c>
      <c r="AV81" s="21">
        <f>EXP(-LN(2)/25)*AV80+(1-EXP(-LN(2)/25))/(LN(2)/25)*Calculateur!AQ81*Calculateur!AS81*VLOOKUP('Données projet'!$B$10,Paramètres!$A$1:$I$89,3,0)*0.475*44/12</f>
        <v>10.724671032514475</v>
      </c>
      <c r="AW81" s="21">
        <f>EXP(-LN(2)/2)*AW80+(1-EXP(-LN(2)/2))/(LN(2)/2)*AQ81*AT81*VLOOKUP('Données projet'!$B$10,Paramètres!$A$1:$I$89,3,0)*0.475*44/12</f>
        <v>0.3039916667122286</v>
      </c>
      <c r="AX81" s="21">
        <f t="shared" si="60"/>
        <v>54.2751322282461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9.5237179487179446</v>
      </c>
      <c r="N82" s="13">
        <f>IF('Données projet'!$A$36&gt;35,N81+M82-V81,IF(A82&lt;'Données projet'!$A$36,$K$205^A82,IF(A82='Données projet'!$A$36,'Données projet'!$B$36,N81+M82-V81)))</f>
        <v>321.68846153846198</v>
      </c>
      <c r="O82" s="13">
        <f>N82*VLOOKUP('Données projet'!$B$9,Paramètres!$A$1:$I$89,3,0)*VLOOKUP('Données projet'!$B$9,Paramètres!$A$1:$I$89,5,0)</f>
        <v>150.55020000000022</v>
      </c>
      <c r="P82" s="13">
        <f t="shared" si="87"/>
        <v>38.703593889379846</v>
      </c>
      <c r="Q82" s="20">
        <f t="shared" si="54"/>
        <v>329.6170243573369</v>
      </c>
      <c r="R82" s="59">
        <f t="shared" si="55"/>
        <v>622.95035769067022</v>
      </c>
      <c r="S82" s="59">
        <f ca="1">AVERAGE(OFFSET($R$3,0,0,'Données projet'!$E$9+1,1))-AVERAGE(OFFSET($H$3,0,0,'Données projet'!$E$9+1,1))</f>
        <v>204.77882499755987</v>
      </c>
      <c r="T82" s="59">
        <f t="shared" si="88"/>
        <v>152.46480920430594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35.720632770148349</v>
      </c>
      <c r="AA82" s="21">
        <f>EXP(-LN(2)/25)*AA81+(1-EXP(-LN(2)/25))/(LN(2)/25)*Calculateur!V82*Calculateur!X82*VLOOKUP('Données projet'!$B$9,Paramètres!$A$1:$I$89,3,0)*0.475*44/12</f>
        <v>22.726441322624346</v>
      </c>
      <c r="AB82" s="21">
        <f>EXP(-LN(2)/2)*AB81+(1-EXP(-LN(2)/2))/(LN(2)/2)*V82*Y82*VLOOKUP('Données projet'!$B$9,Paramètres!$A$1:$I$89,3,0)*0.475*44/12</f>
        <v>0.83358635452743901</v>
      </c>
      <c r="AC82" s="22">
        <f t="shared" si="57"/>
        <v>59.280660447300136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7.5584615384615343</v>
      </c>
      <c r="AI82" s="13">
        <f>IF('Données projet'!$A$62&gt;35,AI81+AH82-AQ81,IF(A82&lt;'Données projet'!$A$62,$AF$205^A82,IF(A82='Données projet'!$A$62,'Données projet'!$B$62,AI81+AH82-AQ81)))</f>
        <v>395.34923076923042</v>
      </c>
      <c r="AJ82" s="13">
        <f>AI82*VLOOKUP('Données projet'!$B$10,Paramètres!$A$1:$I$89,3,0)*VLOOKUP('Données projet'!$B$10,Paramètres!$A$1:$I$89,5,0)</f>
        <v>236.41883999999982</v>
      </c>
      <c r="AK82" s="13">
        <f t="shared" si="89"/>
        <v>57.668353588027863</v>
      </c>
      <c r="AL82" s="20">
        <f t="shared" si="58"/>
        <v>512.20186216581476</v>
      </c>
      <c r="AM82" s="59">
        <f t="shared" si="59"/>
        <v>805.53519549914813</v>
      </c>
      <c r="AN82" s="59">
        <f ca="1">AVERAGE(OFFSET($AM$3,0,0,'Données projet'!$E$10+1,1))-AVERAGE(OFFSET($H$3,0,0,'Données projet'!$E$10+1,1))</f>
        <v>237.03649693529445</v>
      </c>
      <c r="AO82" s="59">
        <f t="shared" si="90"/>
        <v>191.04289411674887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42.398432639297148</v>
      </c>
      <c r="AV82" s="21">
        <f>EXP(-LN(2)/25)*AV81+(1-EXP(-LN(2)/25))/(LN(2)/25)*Calculateur!AQ82*Calculateur!AS82*VLOOKUP('Données projet'!$B$10,Paramètres!$A$1:$I$89,3,0)*0.475*44/12</f>
        <v>10.431404339144429</v>
      </c>
      <c r="AW82" s="21">
        <f>EXP(-LN(2)/2)*AW81+(1-EXP(-LN(2)/2))/(LN(2)/2)*AQ82*AT82*VLOOKUP('Données projet'!$B$10,Paramètres!$A$1:$I$89,3,0)*0.475*44/12</f>
        <v>0.21495456895641774</v>
      </c>
      <c r="AX82" s="21">
        <f t="shared" si="60"/>
        <v>53.044791547397992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9.5237179487179446</v>
      </c>
      <c r="N83" s="13">
        <f>IF('Données projet'!$A$36&gt;35,N82+M83-V82,IF(A83&lt;'Données projet'!$A$36,$K$205^A83,IF(A83='Données projet'!$A$36,'Données projet'!$B$36,N82+M83-V82)))</f>
        <v>331.21217948717992</v>
      </c>
      <c r="O83" s="13">
        <f>N83*VLOOKUP('Données projet'!$B$9,Paramètres!$A$1:$I$89,3,0)*VLOOKUP('Données projet'!$B$9,Paramètres!$A$1:$I$89,5,0)</f>
        <v>155.00730000000019</v>
      </c>
      <c r="P83" s="13">
        <f t="shared" si="87"/>
        <v>39.714328701221518</v>
      </c>
      <c r="Q83" s="20">
        <f t="shared" si="54"/>
        <v>339.14016998796109</v>
      </c>
      <c r="R83" s="59">
        <f t="shared" si="55"/>
        <v>632.4735033212944</v>
      </c>
      <c r="S83" s="59">
        <f ca="1">AVERAGE(OFFSET($R$3,0,0,'Données projet'!$E$9+1,1))-AVERAGE(OFFSET($H$3,0,0,'Données projet'!$E$9+1,1))</f>
        <v>204.77882499755987</v>
      </c>
      <c r="T83" s="59">
        <f t="shared" si="88"/>
        <v>152.46480920430594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35.020172948960401</v>
      </c>
      <c r="AA83" s="21">
        <f>EXP(-LN(2)/25)*AA82+(1-EXP(-LN(2)/25))/(LN(2)/25)*Calculateur!V83*Calculateur!X83*VLOOKUP('Données projet'!$B$9,Paramètres!$A$1:$I$89,3,0)*0.475*44/12</f>
        <v>22.104985589525576</v>
      </c>
      <c r="AB83" s="21">
        <f>EXP(-LN(2)/2)*AB82+(1-EXP(-LN(2)/2))/(LN(2)/2)*V83*Y83*VLOOKUP('Données projet'!$B$9,Paramètres!$A$1:$I$89,3,0)*0.475*44/12</f>
        <v>0.58943456399092564</v>
      </c>
      <c r="AC83" s="22">
        <f t="shared" si="57"/>
        <v>57.714593102476904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402.90769230769229</v>
      </c>
      <c r="AG83" s="12">
        <f>VLOOKUP(A83,'Données projet'!$A$61:$I$81,9,0)</f>
        <v>7.5584615384615343</v>
      </c>
      <c r="AH83" s="12">
        <f t="array" ref="AH83">INDEX(AG:AG,MIN(IF(ISNUMBER(AG83:AG279),ROW(AG83:AG279),"")))</f>
        <v>7.5584615384615343</v>
      </c>
      <c r="AI83" s="13">
        <f>IF('Données projet'!$A$62&gt;35,AI82+AH83-AQ82,IF(A83&lt;'Données projet'!$A$62,$AF$205^A83,IF(A83='Données projet'!$A$62,'Données projet'!$B$62,AI82+AH83-AQ82)))</f>
        <v>402.90769230769195</v>
      </c>
      <c r="AJ83" s="13">
        <f>AI83*VLOOKUP('Données projet'!$B$10,Paramètres!$A$1:$I$89,3,0)*VLOOKUP('Données projet'!$B$10,Paramètres!$A$1:$I$89,5,0)</f>
        <v>240.93879999999982</v>
      </c>
      <c r="AK83" s="13">
        <f t="shared" si="89"/>
        <v>58.64147195802866</v>
      </c>
      <c r="AL83" s="20">
        <f t="shared" si="58"/>
        <v>521.76897366023286</v>
      </c>
      <c r="AM83" s="59">
        <f t="shared" si="59"/>
        <v>815.10230699356612</v>
      </c>
      <c r="AN83" s="59">
        <f ca="1">AVERAGE(OFFSET($AM$3,0,0,'Données projet'!$E$10+1,1))-AVERAGE(OFFSET($H$3,0,0,'Données projet'!$E$10+1,1))</f>
        <v>237.03649693529445</v>
      </c>
      <c r="AO83" s="59">
        <f t="shared" si="90"/>
        <v>191.04289411674887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402.90769230769229</v>
      </c>
      <c r="AR83" s="16">
        <f>IF(ISNA(VLOOKUP(A83,'Données projet'!$A$61:$I$81,5,0)),0%,VLOOKUP(A83,'Données projet'!$A$61:$I$81,5,0)*VLOOKUP('Données projet'!$B$10,Paramètres!$A$1:$I$89,7,0))</f>
        <v>0.315</v>
      </c>
      <c r="AS83" s="16">
        <f>IF(ISNA(VLOOKUP(A83,'Données projet'!$A$61:$I$81,6,0)),0%,VLOOKUP(A83,'Données projet'!$A$61:$I$81,6,0)*VLOOKUP('Données projet'!$B$10,Paramètres!$A$1:$I$89,7,0))</f>
        <v>7.5600000000000001E-2</v>
      </c>
      <c r="AT83" s="16">
        <f>IF(ISNA(VLOOKUP(A83,'Données projet'!$A$61:$I$81,7,0)),0%,VLOOKUP(A83,'Données projet'!$A$61:$I$81,7,0))</f>
        <v>0.13200000000000001</v>
      </c>
      <c r="AU83" s="21">
        <f>EXP(-LN(2)/35)*AU82+(1-EXP(-LN(2)/35))/(LN(2)/35)*AQ83*AR83*VLOOKUP('Données projet'!$B$10,Paramètres!$A$1:$I$89,3,0)*0.475*44/12</f>
        <v>142.24759236085166</v>
      </c>
      <c r="AV83" s="21">
        <f>EXP(-LN(2)/25)*AV82+(1-EXP(-LN(2)/25))/(LN(2)/25)*Calculateur!AQ83*Calculateur!AS83*VLOOKUP('Données projet'!$B$10,Paramètres!$A$1:$I$89,3,0)*0.475*44/12</f>
        <v>34.214352887737732</v>
      </c>
      <c r="AW83" s="21">
        <f>EXP(-LN(2)/2)*AW82+(1-EXP(-LN(2)/2))/(LN(2)/2)*AQ83*AT83*VLOOKUP('Données projet'!$B$10,Paramètres!$A$1:$I$89,3,0)*0.475*44/12</f>
        <v>36.161423056875712</v>
      </c>
      <c r="AX83" s="21">
        <f t="shared" si="60"/>
        <v>212.62336830546511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9.5237179487179446</v>
      </c>
      <c r="N84" s="13">
        <f>IF('Données projet'!$A$36&gt;35,N83+M84-V83,IF(A84&lt;'Données projet'!$A$36,$K$205^A84,IF(A84='Données projet'!$A$36,'Données projet'!$B$36,N83+M84-V83)))</f>
        <v>340.73589743589787</v>
      </c>
      <c r="O84" s="13">
        <f>N84*VLOOKUP('Données projet'!$B$9,Paramètres!$A$1:$I$89,3,0)*VLOOKUP('Données projet'!$B$9,Paramètres!$A$1:$I$89,5,0)</f>
        <v>159.46440000000021</v>
      </c>
      <c r="P84" s="13">
        <f t="shared" si="87"/>
        <v>40.721685766303303</v>
      </c>
      <c r="Q84" s="20">
        <f t="shared" si="54"/>
        <v>348.65743270964526</v>
      </c>
      <c r="R84" s="59">
        <f t="shared" si="55"/>
        <v>641.99076604297852</v>
      </c>
      <c r="S84" s="59">
        <f ca="1">AVERAGE(OFFSET($R$3,0,0,'Données projet'!$E$9+1,1))-AVERAGE(OFFSET($H$3,0,0,'Données projet'!$E$9+1,1))</f>
        <v>204.77882499755987</v>
      </c>
      <c r="T84" s="59">
        <f t="shared" si="88"/>
        <v>152.46480920430594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34.33344871762764</v>
      </c>
      <c r="AA84" s="21">
        <f>EXP(-LN(2)/25)*AA83+(1-EXP(-LN(2)/25))/(LN(2)/25)*Calculateur!V84*Calculateur!X84*VLOOKUP('Données projet'!$B$9,Paramètres!$A$1:$I$89,3,0)*0.475*44/12</f>
        <v>21.50052359612933</v>
      </c>
      <c r="AB84" s="21">
        <f>EXP(-LN(2)/2)*AB83+(1-EXP(-LN(2)/2))/(LN(2)/2)*V84*Y84*VLOOKUP('Données projet'!$B$9,Paramètres!$A$1:$I$89,3,0)*0.475*44/12</f>
        <v>0.41679317726371951</v>
      </c>
      <c r="AC84" s="22">
        <f t="shared" si="57"/>
        <v>56.250765491020694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-3.4106051316484809E-13</v>
      </c>
      <c r="AJ84" s="13">
        <f>AI84*VLOOKUP('Données projet'!$B$10,Paramètres!$A$1:$I$89,3,0)*VLOOKUP('Données projet'!$B$10,Paramètres!$A$1:$I$89,5,0)</f>
        <v>-2.0395418687257919E-13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237.03649693529445</v>
      </c>
      <c r="AO84" s="59">
        <f t="shared" si="90"/>
        <v>191.04289411674887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139.45820383711961</v>
      </c>
      <c r="AV84" s="21">
        <f>EXP(-LN(2)/25)*AV83+(1-EXP(-LN(2)/25))/(LN(2)/25)*Calculateur!AQ84*Calculateur!AS84*VLOOKUP('Données projet'!$B$10,Paramètres!$A$1:$I$89,3,0)*0.475*44/12</f>
        <v>33.27875960876792</v>
      </c>
      <c r="AW84" s="21">
        <f>EXP(-LN(2)/2)*AW83+(1-EXP(-LN(2)/2))/(LN(2)/2)*AQ84*AT84*VLOOKUP('Données projet'!$B$10,Paramètres!$A$1:$I$89,3,0)*0.475*44/12</f>
        <v>25.56998746087239</v>
      </c>
      <c r="AX84" s="21">
        <f t="shared" si="60"/>
        <v>198.30695090675994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9.5237179487179446</v>
      </c>
      <c r="N85" s="13">
        <f>IF('Données projet'!$A$36&gt;35,N84+M85-V84,IF(A85&lt;'Données projet'!$A$36,$K$205^A85,IF(A85='Données projet'!$A$36,'Données projet'!$B$36,N84+M85-V84)))</f>
        <v>350.25961538461581</v>
      </c>
      <c r="O85" s="13">
        <f>N85*VLOOKUP('Données projet'!$B$9,Paramètres!$A$1:$I$89,3,0)*VLOOKUP('Données projet'!$B$9,Paramètres!$A$1:$I$89,5,0)</f>
        <v>163.92150000000018</v>
      </c>
      <c r="P85" s="13">
        <f t="shared" si="87"/>
        <v>41.725770339892605</v>
      </c>
      <c r="Q85" s="20">
        <f t="shared" si="54"/>
        <v>358.16899584197989</v>
      </c>
      <c r="R85" s="59">
        <f t="shared" si="55"/>
        <v>651.50232917531321</v>
      </c>
      <c r="S85" s="59">
        <f ca="1">AVERAGE(OFFSET($R$3,0,0,'Données projet'!$E$9+1,1))-AVERAGE(OFFSET($H$3,0,0,'Données projet'!$E$9+1,1))</f>
        <v>204.77882499755987</v>
      </c>
      <c r="T85" s="59">
        <f t="shared" si="88"/>
        <v>152.46480920430594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33.660190729610896</v>
      </c>
      <c r="AA85" s="21">
        <f>EXP(-LN(2)/25)*AA84+(1-EXP(-LN(2)/25))/(LN(2)/25)*Calculateur!V85*Calculateur!X85*VLOOKUP('Données projet'!$B$9,Paramètres!$A$1:$I$89,3,0)*0.475*44/12</f>
        <v>20.912590647729779</v>
      </c>
      <c r="AB85" s="21">
        <f>EXP(-LN(2)/2)*AB84+(1-EXP(-LN(2)/2))/(LN(2)/2)*V85*Y85*VLOOKUP('Données projet'!$B$9,Paramètres!$A$1:$I$89,3,0)*0.475*44/12</f>
        <v>0.29471728199546282</v>
      </c>
      <c r="AC85" s="22">
        <f t="shared" si="57"/>
        <v>54.867498659336135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-3.4106051316484809E-13</v>
      </c>
      <c r="AJ85" s="13">
        <f>AI85*VLOOKUP('Données projet'!$B$10,Paramètres!$A$1:$I$89,3,0)*VLOOKUP('Données projet'!$B$10,Paramètres!$A$1:$I$89,5,0)</f>
        <v>-2.0395418687257919E-13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237.03649693529445</v>
      </c>
      <c r="AO85" s="59">
        <f t="shared" si="90"/>
        <v>191.04289411674887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136.72351352097894</v>
      </c>
      <c r="AV85" s="21">
        <f>EXP(-LN(2)/25)*AV84+(1-EXP(-LN(2)/25))/(LN(2)/25)*Calculateur!AQ85*Calculateur!AS85*VLOOKUP('Données projet'!$B$10,Paramètres!$A$1:$I$89,3,0)*0.475*44/12</f>
        <v>32.368750177212256</v>
      </c>
      <c r="AW85" s="21">
        <f>EXP(-LN(2)/2)*AW84+(1-EXP(-LN(2)/2))/(LN(2)/2)*AQ85*AT85*VLOOKUP('Données projet'!$B$10,Paramètres!$A$1:$I$89,3,0)*0.475*44/12</f>
        <v>18.08071152843786</v>
      </c>
      <c r="AX85" s="21">
        <f t="shared" si="60"/>
        <v>187.17297522662906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9.5237179487179446</v>
      </c>
      <c r="N86" s="13">
        <f>IF('Données projet'!$A$36&gt;35,N85+M86-V85,IF(A86&lt;'Données projet'!$A$36,$K$205^A86,IF(A86='Données projet'!$A$36,'Données projet'!$B$36,N85+M86-V85)))</f>
        <v>359.78333333333376</v>
      </c>
      <c r="O86" s="13">
        <f>N86*VLOOKUP('Données projet'!$B$9,Paramètres!$A$1:$I$89,3,0)*VLOOKUP('Données projet'!$B$9,Paramètres!$A$1:$I$89,5,0)</f>
        <v>168.3786000000002</v>
      </c>
      <c r="P86" s="13">
        <f t="shared" si="87"/>
        <v>42.726681627572944</v>
      </c>
      <c r="Q86" s="20">
        <f t="shared" si="54"/>
        <v>367.67503216802317</v>
      </c>
      <c r="R86" s="59">
        <f t="shared" si="55"/>
        <v>661.00836550135648</v>
      </c>
      <c r="S86" s="59">
        <f ca="1">AVERAGE(OFFSET($R$3,0,0,'Données projet'!$E$9+1,1))-AVERAGE(OFFSET($H$3,0,0,'Données projet'!$E$9+1,1))</f>
        <v>204.77882499755987</v>
      </c>
      <c r="T86" s="59">
        <f t="shared" si="88"/>
        <v>152.46480920430594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33.000134920092336</v>
      </c>
      <c r="AA86" s="21">
        <f>EXP(-LN(2)/25)*AA85+(1-EXP(-LN(2)/25))/(LN(2)/25)*Calculateur!V86*Calculateur!X86*VLOOKUP('Données projet'!$B$9,Paramètres!$A$1:$I$89,3,0)*0.475*44/12</f>
        <v>20.340734756722263</v>
      </c>
      <c r="AB86" s="21">
        <f>EXP(-LN(2)/2)*AB85+(1-EXP(-LN(2)/2))/(LN(2)/2)*V86*Y86*VLOOKUP('Données projet'!$B$9,Paramètres!$A$1:$I$89,3,0)*0.475*44/12</f>
        <v>0.20839658863185975</v>
      </c>
      <c r="AC86" s="22">
        <f t="shared" si="57"/>
        <v>53.549266265446455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-3.4106051316484809E-13</v>
      </c>
      <c r="AJ86" s="13">
        <f>AI86*VLOOKUP('Données projet'!$B$10,Paramètres!$A$1:$I$89,3,0)*VLOOKUP('Données projet'!$B$10,Paramètres!$A$1:$I$89,5,0)</f>
        <v>-2.0395418687257919E-13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237.03649693529445</v>
      </c>
      <c r="AO86" s="59">
        <f t="shared" si="90"/>
        <v>191.04289411674887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134.04244881394141</v>
      </c>
      <c r="AV86" s="21">
        <f>EXP(-LN(2)/25)*AV85+(1-EXP(-LN(2)/25))/(LN(2)/25)*Calculateur!AQ86*Calculateur!AS86*VLOOKUP('Données projet'!$B$10,Paramètres!$A$1:$I$89,3,0)*0.475*44/12</f>
        <v>31.483625001417796</v>
      </c>
      <c r="AW86" s="21">
        <f>EXP(-LN(2)/2)*AW85+(1-EXP(-LN(2)/2))/(LN(2)/2)*AQ86*AT86*VLOOKUP('Données projet'!$B$10,Paramètres!$A$1:$I$89,3,0)*0.475*44/12</f>
        <v>12.784993730436197</v>
      </c>
      <c r="AX86" s="21">
        <f t="shared" si="60"/>
        <v>178.3110675457954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9.5237179487179446</v>
      </c>
      <c r="N87" s="13">
        <f>IF('Données projet'!$A$36&gt;35,N86+M87-V86,IF(A87&lt;'Données projet'!$A$36,$K$205^A87,IF(A87='Données projet'!$A$36,'Données projet'!$B$36,N86+M87-V86)))</f>
        <v>369.3070512820517</v>
      </c>
      <c r="O87" s="13">
        <f>N87*VLOOKUP('Données projet'!$B$9,Paramètres!$A$1:$I$89,3,0)*VLOOKUP('Données projet'!$B$9,Paramètres!$A$1:$I$89,5,0)</f>
        <v>172.83570000000017</v>
      </c>
      <c r="P87" s="13">
        <f t="shared" si="87"/>
        <v>43.724513283769518</v>
      </c>
      <c r="Q87" s="20">
        <f t="shared" si="54"/>
        <v>377.17570480256546</v>
      </c>
      <c r="R87" s="59">
        <f t="shared" si="55"/>
        <v>670.50903813589878</v>
      </c>
      <c r="S87" s="59">
        <f ca="1">AVERAGE(OFFSET($R$3,0,0,'Données projet'!$E$9+1,1))-AVERAGE(OFFSET($H$3,0,0,'Données projet'!$E$9+1,1))</f>
        <v>204.77882499755987</v>
      </c>
      <c r="T87" s="59">
        <f t="shared" si="88"/>
        <v>152.46480920430594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32.353022402404143</v>
      </c>
      <c r="AA87" s="21">
        <f>EXP(-LN(2)/25)*AA86+(1-EXP(-LN(2)/25))/(LN(2)/25)*Calculateur!V87*Calculateur!X87*VLOOKUP('Données projet'!$B$9,Paramètres!$A$1:$I$89,3,0)*0.475*44/12</f>
        <v>19.784516295126942</v>
      </c>
      <c r="AB87" s="21">
        <f>EXP(-LN(2)/2)*AB86+(1-EXP(-LN(2)/2))/(LN(2)/2)*V87*Y87*VLOOKUP('Données projet'!$B$9,Paramètres!$A$1:$I$89,3,0)*0.475*44/12</f>
        <v>0.14735864099773141</v>
      </c>
      <c r="AC87" s="22">
        <f t="shared" si="57"/>
        <v>52.284897338528815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-3.4106051316484809E-13</v>
      </c>
      <c r="AJ87" s="13">
        <f>AI87*VLOOKUP('Données projet'!$B$10,Paramètres!$A$1:$I$89,3,0)*VLOOKUP('Données projet'!$B$10,Paramètres!$A$1:$I$89,5,0)</f>
        <v>-2.0395418687257919E-13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237.03649693529445</v>
      </c>
      <c r="AO87" s="59">
        <f t="shared" si="90"/>
        <v>191.04289411674887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131.41395815052087</v>
      </c>
      <c r="AV87" s="21">
        <f>EXP(-LN(2)/25)*AV86+(1-EXP(-LN(2)/25))/(LN(2)/25)*Calculateur!AQ87*Calculateur!AS87*VLOOKUP('Données projet'!$B$10,Paramètres!$A$1:$I$89,3,0)*0.475*44/12</f>
        <v>30.622703620102143</v>
      </c>
      <c r="AW87" s="21">
        <f>EXP(-LN(2)/2)*AW86+(1-EXP(-LN(2)/2))/(LN(2)/2)*AQ87*AT87*VLOOKUP('Données projet'!$B$10,Paramètres!$A$1:$I$89,3,0)*0.475*44/12</f>
        <v>9.0403557642189298</v>
      </c>
      <c r="AX87" s="21">
        <f t="shared" si="60"/>
        <v>171.07701753484196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378.83076923076919</v>
      </c>
      <c r="L88" s="12">
        <f>VLOOKUP(A88,'Données projet'!$A$35:$I$55,9,0)</f>
        <v>9.5237179487179446</v>
      </c>
      <c r="M88" s="12">
        <f t="array" ref="M88">INDEX(L:L,MIN(IF(ISNUMBER(L88:L284),ROW(L88:L284),"")))</f>
        <v>9.5237179487179446</v>
      </c>
      <c r="N88" s="13">
        <f>IF('Données projet'!$A$36&gt;35,N87+M88-V87,IF(A88&lt;'Données projet'!$A$36,$K$205^A88,IF(A88='Données projet'!$A$36,'Données projet'!$B$36,N87+M88-V87)))</f>
        <v>378.83076923076965</v>
      </c>
      <c r="O88" s="13">
        <f>N88*VLOOKUP('Données projet'!$B$9,Paramètres!$A$1:$I$89,3,0)*VLOOKUP('Données projet'!$B$9,Paramètres!$A$1:$I$89,5,0)</f>
        <v>177.2928000000002</v>
      </c>
      <c r="P88" s="13">
        <f t="shared" si="87"/>
        <v>44.719353857403945</v>
      </c>
      <c r="Q88" s="20">
        <f t="shared" si="54"/>
        <v>386.67116796831215</v>
      </c>
      <c r="R88" s="59">
        <f t="shared" si="55"/>
        <v>680.0045013016454</v>
      </c>
      <c r="S88" s="59">
        <f ca="1">AVERAGE(OFFSET($R$3,0,0,'Données projet'!$E$9+1,1))-AVERAGE(OFFSET($H$3,0,0,'Données projet'!$E$9+1,1))</f>
        <v>204.77882499755987</v>
      </c>
      <c r="T88" s="59">
        <f t="shared" si="88"/>
        <v>152.46480920430594</v>
      </c>
      <c r="U88" s="15">
        <f>IF(ISNA(VLOOKUP(A88,'Données projet'!$A$35:$I$55,3,0)),0,VLOOKUP(A88,'Données projet'!$A$35:$I$55,3,0))</f>
        <v>4</v>
      </c>
      <c r="V88" s="15">
        <f>IF(ISNA(VLOOKUP(A88,'Données projet'!$A$35:$I$55,4,0)),0,VLOOKUP(A88,'Données projet'!$A$35:$I$55,4,0))</f>
        <v>85.207692307692298</v>
      </c>
      <c r="W88" s="16">
        <f>IF(ISNA(VLOOKUP(A88,'Données projet'!$A$35:$I$55,5,0)),0%,VLOOKUP(A88,'Données projet'!$A$35:$I$55,5,0)*VLOOKUP('Données projet'!$B$9,Paramètres!$A$1:$I$89,7,0))</f>
        <v>0.38500000000000001</v>
      </c>
      <c r="X88" s="16">
        <f>IF(ISNA(VLOOKUP(A88,'Données projet'!$A$35:$I$55,6,0)),0%,VLOOKUP(A88,'Données projet'!$A$35:$I$55,6,0)*VLOOKUP('Données projet'!$B$9,Paramètres!$A$1:$I$89,7,0))</f>
        <v>9.240000000000001E-2</v>
      </c>
      <c r="Y88" s="16">
        <f>IF(ISNA(VLOOKUP(A88,'Données projet'!$A$35:$I$55,7,0)),0%,VLOOKUP(A88,'Données projet'!$A$35:$I$55,7,0))</f>
        <v>0.13200000000000001</v>
      </c>
      <c r="Z88" s="21">
        <f>EXP(-LN(2)/35)*Z87+(1-EXP(-LN(2)/35))/(LN(2)/35)*V88*W88*VLOOKUP('Données projet'!$B$9,Paramètres!$A$1:$I$89,3,0)*0.475*44/12</f>
        <v>52.084974665932798</v>
      </c>
      <c r="AA88" s="21">
        <f>EXP(-LN(2)/25)*AA87+(1-EXP(-LN(2)/25))/(LN(2)/25)*Calculateur!V88*Calculateur!X88*VLOOKUP('Données projet'!$B$9,Paramètres!$A$1:$I$89,3,0)*0.475*44/12</f>
        <v>24.11219208534061</v>
      </c>
      <c r="AB88" s="21">
        <f>EXP(-LN(2)/2)*AB87+(1-EXP(-LN(2)/2))/(LN(2)/2)*V88*Y88*VLOOKUP('Données projet'!$B$9,Paramètres!$A$1:$I$89,3,0)*0.475*44/12</f>
        <v>6.0640317926056841</v>
      </c>
      <c r="AC88" s="22">
        <f t="shared" si="57"/>
        <v>82.261198543879104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-3.4106051316484809E-13</v>
      </c>
      <c r="AJ88" s="13">
        <f>AI88*VLOOKUP('Données projet'!$B$10,Paramètres!$A$1:$I$89,3,0)*VLOOKUP('Données projet'!$B$10,Paramètres!$A$1:$I$89,5,0)</f>
        <v>-2.0395418687257919E-13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237.03649693529445</v>
      </c>
      <c r="AO88" s="59">
        <f t="shared" si="90"/>
        <v>191.04289411674887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128.83701058578902</v>
      </c>
      <c r="AV88" s="21">
        <f>EXP(-LN(2)/25)*AV87+(1-EXP(-LN(2)/25))/(LN(2)/25)*Calculateur!AQ88*Calculateur!AS88*VLOOKUP('Données projet'!$B$10,Paramètres!$A$1:$I$89,3,0)*0.475*44/12</f>
        <v>29.785324179232457</v>
      </c>
      <c r="AW88" s="21">
        <f>EXP(-LN(2)/2)*AW87+(1-EXP(-LN(2)/2))/(LN(2)/2)*AQ88*AT88*VLOOKUP('Données projet'!$B$10,Paramètres!$A$1:$I$89,3,0)*0.475*44/12</f>
        <v>6.3924968652180985</v>
      </c>
      <c r="AX88" s="21">
        <f t="shared" si="60"/>
        <v>165.01483163023957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8.7211538461538485</v>
      </c>
      <c r="N89" s="13">
        <f>IF('Données projet'!$A$36&gt;35,N88+M89-V88,IF(A89&lt;'Données projet'!$A$36,$K$205^A89,IF(A89='Données projet'!$A$36,'Données projet'!$B$36,N88+M89-V88)))</f>
        <v>302.34423076923122</v>
      </c>
      <c r="O89" s="13">
        <f>N89*VLOOKUP('Données projet'!$B$9,Paramètres!$A$1:$I$89,3,0)*VLOOKUP('Données projet'!$B$9,Paramètres!$A$1:$I$89,5,0)</f>
        <v>141.49710000000022</v>
      </c>
      <c r="P89" s="13">
        <f t="shared" si="87"/>
        <v>36.639757477223711</v>
      </c>
      <c r="Q89" s="20">
        <f t="shared" si="54"/>
        <v>310.25502677283174</v>
      </c>
      <c r="R89" s="59">
        <f t="shared" si="55"/>
        <v>603.58836010616506</v>
      </c>
      <c r="S89" s="59">
        <f ca="1">AVERAGE(OFFSET($R$3,0,0,'Données projet'!$E$9+1,1))-AVERAGE(OFFSET($H$3,0,0,'Données projet'!$E$9+1,1))</f>
        <v>204.77882499755987</v>
      </c>
      <c r="T89" s="59">
        <f t="shared" si="88"/>
        <v>152.46480920430594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51.063620081431502</v>
      </c>
      <c r="AA89" s="21">
        <f>EXP(-LN(2)/25)*AA88+(1-EXP(-LN(2)/25))/(LN(2)/25)*Calculateur!V89*Calculateur!X89*VLOOKUP('Données projet'!$B$9,Paramètres!$A$1:$I$89,3,0)*0.475*44/12</f>
        <v>23.452842924761899</v>
      </c>
      <c r="AB89" s="21">
        <f>EXP(-LN(2)/2)*AB88+(1-EXP(-LN(2)/2))/(LN(2)/2)*V89*Y89*VLOOKUP('Données projet'!$B$9,Paramètres!$A$1:$I$89,3,0)*0.475*44/12</f>
        <v>4.2879180018822955</v>
      </c>
      <c r="AC89" s="22">
        <f t="shared" si="57"/>
        <v>78.804381008075694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-3.4106051316484809E-13</v>
      </c>
      <c r="AJ89" s="13">
        <f>AI89*VLOOKUP('Données projet'!$B$10,Paramètres!$A$1:$I$89,3,0)*VLOOKUP('Données projet'!$B$10,Paramètres!$A$1:$I$89,5,0)</f>
        <v>-2.0395418687257919E-13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237.03649693529445</v>
      </c>
      <c r="AO89" s="59">
        <f t="shared" si="90"/>
        <v>191.04289411674887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126.31059539101874</v>
      </c>
      <c r="AV89" s="21">
        <f>EXP(-LN(2)/25)*AV88+(1-EXP(-LN(2)/25))/(LN(2)/25)*Calculateur!AQ89*Calculateur!AS89*VLOOKUP('Données projet'!$B$10,Paramètres!$A$1:$I$89,3,0)*0.475*44/12</f>
        <v>28.970842923209222</v>
      </c>
      <c r="AW89" s="21">
        <f>EXP(-LN(2)/2)*AW88+(1-EXP(-LN(2)/2))/(LN(2)/2)*AQ89*AT89*VLOOKUP('Données projet'!$B$10,Paramètres!$A$1:$I$89,3,0)*0.475*44/12</f>
        <v>4.5201778821094649</v>
      </c>
      <c r="AX89" s="21">
        <f t="shared" si="60"/>
        <v>159.80161619633742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8.7211538461538485</v>
      </c>
      <c r="N90" s="13">
        <f>IF('Données projet'!$A$36&gt;35,N89+M90-V89,IF(A90&lt;'Données projet'!$A$36,$K$205^A90,IF(A90='Données projet'!$A$36,'Données projet'!$B$36,N89+M90-V89)))</f>
        <v>311.06538461538508</v>
      </c>
      <c r="O90" s="13">
        <f>N90*VLOOKUP('Données projet'!$B$9,Paramètres!$A$1:$I$89,3,0)*VLOOKUP('Données projet'!$B$9,Paramètres!$A$1:$I$89,5,0)</f>
        <v>145.57860000000022</v>
      </c>
      <c r="P90" s="13">
        <f t="shared" si="87"/>
        <v>37.572063695955627</v>
      </c>
      <c r="Q90" s="20">
        <f t="shared" si="54"/>
        <v>318.98740593712301</v>
      </c>
      <c r="R90" s="59">
        <f t="shared" si="55"/>
        <v>612.32073927045633</v>
      </c>
      <c r="S90" s="59">
        <f ca="1">AVERAGE(OFFSET($R$3,0,0,'Données projet'!$E$9+1,1))-AVERAGE(OFFSET($H$3,0,0,'Données projet'!$E$9+1,1))</f>
        <v>204.77882499755987</v>
      </c>
      <c r="T90" s="59">
        <f t="shared" si="88"/>
        <v>152.46480920430594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50.062293637367496</v>
      </c>
      <c r="AA90" s="21">
        <f>EXP(-LN(2)/25)*AA89+(1-EXP(-LN(2)/25))/(LN(2)/25)*Calculateur!V90*Calculateur!X90*VLOOKUP('Données projet'!$B$9,Paramètres!$A$1:$I$89,3,0)*0.475*44/12</f>
        <v>22.811523701652877</v>
      </c>
      <c r="AB90" s="21">
        <f>EXP(-LN(2)/2)*AB89+(1-EXP(-LN(2)/2))/(LN(2)/2)*V90*Y90*VLOOKUP('Données projet'!$B$9,Paramètres!$A$1:$I$89,3,0)*0.475*44/12</f>
        <v>3.0320158963028425</v>
      </c>
      <c r="AC90" s="22">
        <f t="shared" si="57"/>
        <v>75.905833235323215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-3.4106051316484809E-13</v>
      </c>
      <c r="AJ90" s="13">
        <f>AI90*VLOOKUP('Données projet'!$B$10,Paramètres!$A$1:$I$89,3,0)*VLOOKUP('Données projet'!$B$10,Paramètres!$A$1:$I$89,5,0)</f>
        <v>-2.0395418687257919E-13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237.03649693529445</v>
      </c>
      <c r="AO90" s="59">
        <f t="shared" si="90"/>
        <v>191.04289411674887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123.8337216572568</v>
      </c>
      <c r="AV90" s="21">
        <f>EXP(-LN(2)/25)*AV89+(1-EXP(-LN(2)/25))/(LN(2)/25)*Calculateur!AQ90*Calculateur!AS90*VLOOKUP('Données projet'!$B$10,Paramètres!$A$1:$I$89,3,0)*0.475*44/12</f>
        <v>28.178633699963651</v>
      </c>
      <c r="AW90" s="21">
        <f>EXP(-LN(2)/2)*AW89+(1-EXP(-LN(2)/2))/(LN(2)/2)*AQ90*AT90*VLOOKUP('Données projet'!$B$10,Paramètres!$A$1:$I$89,3,0)*0.475*44/12</f>
        <v>3.1962484326090492</v>
      </c>
      <c r="AX90" s="21">
        <f t="shared" si="60"/>
        <v>155.20860378982951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8.7211538461538485</v>
      </c>
      <c r="N91" s="13">
        <f>IF('Données projet'!$A$36&gt;35,N90+M91-V90,IF(A91&lt;'Données projet'!$A$36,$K$205^A91,IF(A91='Données projet'!$A$36,'Données projet'!$B$36,N90+M91-V90)))</f>
        <v>319.78653846153895</v>
      </c>
      <c r="O91" s="13">
        <f>N91*VLOOKUP('Données projet'!$B$9,Paramètres!$A$1:$I$89,3,0)*VLOOKUP('Données projet'!$B$9,Paramètres!$A$1:$I$89,5,0)</f>
        <v>149.66010000000023</v>
      </c>
      <c r="P91" s="13">
        <f t="shared" si="87"/>
        <v>38.501331930603563</v>
      </c>
      <c r="Q91" s="20">
        <f t="shared" si="54"/>
        <v>327.71449394580162</v>
      </c>
      <c r="R91" s="59">
        <f t="shared" si="55"/>
        <v>621.04782727913494</v>
      </c>
      <c r="S91" s="59">
        <f ca="1">AVERAGE(OFFSET($R$3,0,0,'Données projet'!$E$9+1,1))-AVERAGE(OFFSET($H$3,0,0,'Données projet'!$E$9+1,1))</f>
        <v>204.77882499755987</v>
      </c>
      <c r="T91" s="59">
        <f t="shared" si="88"/>
        <v>152.46480920430594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49.080602594122759</v>
      </c>
      <c r="AA91" s="21">
        <f>EXP(-LN(2)/25)*AA90+(1-EXP(-LN(2)/25))/(LN(2)/25)*Calculateur!V91*Calculateur!X91*VLOOKUP('Données projet'!$B$9,Paramètres!$A$1:$I$89,3,0)*0.475*44/12</f>
        <v>22.187741386425284</v>
      </c>
      <c r="AB91" s="21">
        <f>EXP(-LN(2)/2)*AB90+(1-EXP(-LN(2)/2))/(LN(2)/2)*V91*Y91*VLOOKUP('Données projet'!$B$9,Paramètres!$A$1:$I$89,3,0)*0.475*44/12</f>
        <v>2.1439590009411478</v>
      </c>
      <c r="AC91" s="22">
        <f t="shared" si="57"/>
        <v>73.412302981489191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-3.4106051316484809E-13</v>
      </c>
      <c r="AJ91" s="13">
        <f>AI91*VLOOKUP('Données projet'!$B$10,Paramètres!$A$1:$I$89,3,0)*VLOOKUP('Données projet'!$B$10,Paramètres!$A$1:$I$89,5,0)</f>
        <v>-2.0395418687257919E-13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237.03649693529445</v>
      </c>
      <c r="AO91" s="59">
        <f t="shared" si="90"/>
        <v>191.04289411674887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121.40541790667012</v>
      </c>
      <c r="AV91" s="21">
        <f>EXP(-LN(2)/25)*AV90+(1-EXP(-LN(2)/25))/(LN(2)/25)*Calculateur!AQ91*Calculateur!AS91*VLOOKUP('Données projet'!$B$10,Paramètres!$A$1:$I$89,3,0)*0.475*44/12</f>
        <v>27.4080874795882</v>
      </c>
      <c r="AW91" s="21">
        <f>EXP(-LN(2)/2)*AW90+(1-EXP(-LN(2)/2))/(LN(2)/2)*AQ91*AT91*VLOOKUP('Données projet'!$B$10,Paramètres!$A$1:$I$89,3,0)*0.475*44/12</f>
        <v>2.2600889410547325</v>
      </c>
      <c r="AX91" s="21">
        <f t="shared" si="60"/>
        <v>151.07359432731306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8.7211538461538485</v>
      </c>
      <c r="N92" s="13">
        <f>IF('Données projet'!$A$36&gt;35,N91+M92-V91,IF(A92&lt;'Données projet'!$A$36,$K$205^A92,IF(A92='Données projet'!$A$36,'Données projet'!$B$36,N91+M92-V91)))</f>
        <v>328.50769230769282</v>
      </c>
      <c r="O92" s="13">
        <f>N92*VLOOKUP('Données projet'!$B$9,Paramètres!$A$1:$I$89,3,0)*VLOOKUP('Données projet'!$B$9,Paramètres!$A$1:$I$89,5,0)</f>
        <v>153.74160000000023</v>
      </c>
      <c r="P92" s="13">
        <f t="shared" si="87"/>
        <v>39.427654552879716</v>
      </c>
      <c r="Q92" s="20">
        <f t="shared" si="54"/>
        <v>336.4364516795992</v>
      </c>
      <c r="R92" s="59">
        <f t="shared" si="55"/>
        <v>629.76978501293252</v>
      </c>
      <c r="S92" s="59">
        <f ca="1">AVERAGE(OFFSET($R$3,0,0,'Données projet'!$E$9+1,1))-AVERAGE(OFFSET($H$3,0,0,'Données projet'!$E$9+1,1))</f>
        <v>204.77882499755987</v>
      </c>
      <c r="T92" s="59">
        <f t="shared" si="88"/>
        <v>152.46480920430594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48.118161913463638</v>
      </c>
      <c r="AA92" s="21">
        <f>EXP(-LN(2)/25)*AA91+(1-EXP(-LN(2)/25))/(LN(2)/25)*Calculateur!V92*Calculateur!X92*VLOOKUP('Données projet'!$B$9,Paramètres!$A$1:$I$89,3,0)*0.475*44/12</f>
        <v>21.581016431410877</v>
      </c>
      <c r="AB92" s="21">
        <f>EXP(-LN(2)/2)*AB91+(1-EXP(-LN(2)/2))/(LN(2)/2)*V92*Y92*VLOOKUP('Données projet'!$B$9,Paramètres!$A$1:$I$89,3,0)*0.475*44/12</f>
        <v>1.5160079481514213</v>
      </c>
      <c r="AC92" s="22">
        <f t="shared" si="57"/>
        <v>71.215186293025937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-3.4106051316484809E-13</v>
      </c>
      <c r="AJ92" s="13">
        <f>AI92*VLOOKUP('Données projet'!$B$10,Paramètres!$A$1:$I$89,3,0)*VLOOKUP('Données projet'!$B$10,Paramètres!$A$1:$I$89,5,0)</f>
        <v>-2.0395418687257919E-13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237.03649693529445</v>
      </c>
      <c r="AO92" s="59">
        <f t="shared" si="90"/>
        <v>191.04289411674887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119.02473171151341</v>
      </c>
      <c r="AV92" s="21">
        <f>EXP(-LN(2)/25)*AV91+(1-EXP(-LN(2)/25))/(LN(2)/25)*Calculateur!AQ92*Calculateur!AS92*VLOOKUP('Données projet'!$B$10,Paramètres!$A$1:$I$89,3,0)*0.475*44/12</f>
        <v>26.658611886130181</v>
      </c>
      <c r="AW92" s="21">
        <f>EXP(-LN(2)/2)*AW91+(1-EXP(-LN(2)/2))/(LN(2)/2)*AQ92*AT92*VLOOKUP('Données projet'!$B$10,Paramètres!$A$1:$I$89,3,0)*0.475*44/12</f>
        <v>1.5981242163045246</v>
      </c>
      <c r="AX92" s="21">
        <f t="shared" si="60"/>
        <v>147.2814678139481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8.7211538461538485</v>
      </c>
      <c r="N93" s="13">
        <f>IF('Données projet'!$A$36&gt;35,N92+M93-V92,IF(A93&lt;'Données projet'!$A$36,$K$205^A93,IF(A93='Données projet'!$A$36,'Données projet'!$B$36,N92+M93-V92)))</f>
        <v>337.22884615384669</v>
      </c>
      <c r="O93" s="13">
        <f>N93*VLOOKUP('Données projet'!$B$9,Paramètres!$A$1:$I$89,3,0)*VLOOKUP('Données projet'!$B$9,Paramètres!$A$1:$I$89,5,0)</f>
        <v>157.82310000000024</v>
      </c>
      <c r="P93" s="13">
        <f t="shared" si="87"/>
        <v>40.351118750694802</v>
      </c>
      <c r="Q93" s="20">
        <f t="shared" si="54"/>
        <v>345.15343099079388</v>
      </c>
      <c r="R93" s="59">
        <f t="shared" si="55"/>
        <v>638.48676432412719</v>
      </c>
      <c r="S93" s="59">
        <f ca="1">AVERAGE(OFFSET($R$3,0,0,'Données projet'!$E$9+1,1))-AVERAGE(OFFSET($H$3,0,0,'Données projet'!$E$9+1,1))</f>
        <v>204.77882499755987</v>
      </c>
      <c r="T93" s="59">
        <f t="shared" si="88"/>
        <v>152.46480920430594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47.174594107521393</v>
      </c>
      <c r="AA93" s="21">
        <f>EXP(-LN(2)/25)*AA92+(1-EXP(-LN(2)/25))/(LN(2)/25)*Calculateur!V93*Calculateur!X93*VLOOKUP('Données projet'!$B$9,Paramètres!$A$1:$I$89,3,0)*0.475*44/12</f>
        <v>20.990882402197617</v>
      </c>
      <c r="AB93" s="21">
        <f>EXP(-LN(2)/2)*AB92+(1-EXP(-LN(2)/2))/(LN(2)/2)*V93*Y93*VLOOKUP('Données projet'!$B$9,Paramètres!$A$1:$I$89,3,0)*0.475*44/12</f>
        <v>1.0719795004705739</v>
      </c>
      <c r="AC93" s="22">
        <f t="shared" si="57"/>
        <v>69.23745601018959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-3.4106051316484809E-13</v>
      </c>
      <c r="AJ93" s="13">
        <f>AI93*VLOOKUP('Données projet'!$B$10,Paramètres!$A$1:$I$89,3,0)*VLOOKUP('Données projet'!$B$10,Paramètres!$A$1:$I$89,5,0)</f>
        <v>-2.0395418687257919E-13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237.03649693529445</v>
      </c>
      <c r="AO93" s="59">
        <f t="shared" si="90"/>
        <v>191.04289411674887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116.69072932056852</v>
      </c>
      <c r="AV93" s="21">
        <f>EXP(-LN(2)/25)*AV92+(1-EXP(-LN(2)/25))/(LN(2)/25)*Calculateur!AQ93*Calculateur!AS93*VLOOKUP('Données projet'!$B$10,Paramètres!$A$1:$I$89,3,0)*0.475*44/12</f>
        <v>25.929630742188483</v>
      </c>
      <c r="AW93" s="21">
        <f>EXP(-LN(2)/2)*AW92+(1-EXP(-LN(2)/2))/(LN(2)/2)*AQ93*AT93*VLOOKUP('Données projet'!$B$10,Paramètres!$A$1:$I$89,3,0)*0.475*44/12</f>
        <v>1.1300444705273662</v>
      </c>
      <c r="AX93" s="21">
        <f t="shared" si="60"/>
        <v>143.75040453328438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8.7211538461538485</v>
      </c>
      <c r="N94" s="13">
        <f>IF('Données projet'!$A$36&gt;35,N93+M94-V93,IF(A94&lt;'Données projet'!$A$36,$K$205^A94,IF(A94='Données projet'!$A$36,'Données projet'!$B$36,N93+M94-V93)))</f>
        <v>345.95000000000056</v>
      </c>
      <c r="O94" s="13">
        <f>N94*VLOOKUP('Données projet'!$B$9,Paramètres!$A$1:$I$89,3,0)*VLOOKUP('Données projet'!$B$9,Paramètres!$A$1:$I$89,5,0)</f>
        <v>161.90460000000027</v>
      </c>
      <c r="P94" s="13">
        <f t="shared" si="87"/>
        <v>41.27180694550065</v>
      </c>
      <c r="Q94" s="20">
        <f t="shared" si="54"/>
        <v>353.86557543008075</v>
      </c>
      <c r="R94" s="59">
        <f t="shared" si="55"/>
        <v>647.19890876341401</v>
      </c>
      <c r="S94" s="59">
        <f ca="1">AVERAGE(OFFSET($R$3,0,0,'Données projet'!$E$9+1,1))-AVERAGE(OFFSET($H$3,0,0,'Données projet'!$E$9+1,1))</f>
        <v>204.77882499755987</v>
      </c>
      <c r="T94" s="59">
        <f t="shared" si="88"/>
        <v>152.46480920430594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46.249529090734143</v>
      </c>
      <c r="AA94" s="21">
        <f>EXP(-LN(2)/25)*AA93+(1-EXP(-LN(2)/25))/(LN(2)/25)*Calculateur!V94*Calculateur!X94*VLOOKUP('Données projet'!$B$9,Paramètres!$A$1:$I$89,3,0)*0.475*44/12</f>
        <v>20.416885619046994</v>
      </c>
      <c r="AB94" s="21">
        <f>EXP(-LN(2)/2)*AB93+(1-EXP(-LN(2)/2))/(LN(2)/2)*V94*Y94*VLOOKUP('Données projet'!$B$9,Paramètres!$A$1:$I$89,3,0)*0.475*44/12</f>
        <v>0.75800397407571063</v>
      </c>
      <c r="AC94" s="22">
        <f t="shared" si="57"/>
        <v>67.424418683856842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-3.4106051316484809E-13</v>
      </c>
      <c r="AJ94" s="13">
        <f>AI94*VLOOKUP('Données projet'!$B$10,Paramètres!$A$1:$I$89,3,0)*VLOOKUP('Données projet'!$B$10,Paramètres!$A$1:$I$89,5,0)</f>
        <v>-2.0395418687257919E-13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237.03649693529445</v>
      </c>
      <c r="AO94" s="59">
        <f t="shared" si="90"/>
        <v>191.04289411674887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114.40249529290918</v>
      </c>
      <c r="AV94" s="21">
        <f>EXP(-LN(2)/25)*AV93+(1-EXP(-LN(2)/25))/(LN(2)/25)*Calculateur!AQ94*Calculateur!AS94*VLOOKUP('Données projet'!$B$10,Paramètres!$A$1:$I$89,3,0)*0.475*44/12</f>
        <v>25.220583625963322</v>
      </c>
      <c r="AW94" s="21">
        <f>EXP(-LN(2)/2)*AW93+(1-EXP(-LN(2)/2))/(LN(2)/2)*AQ94*AT94*VLOOKUP('Données projet'!$B$10,Paramètres!$A$1:$I$89,3,0)*0.475*44/12</f>
        <v>0.79906210815226231</v>
      </c>
      <c r="AX94" s="21">
        <f t="shared" si="60"/>
        <v>140.42214102702476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8.7211538461538485</v>
      </c>
      <c r="N95" s="13">
        <f>IF('Données projet'!$A$36&gt;35,N94+M95-V94,IF(A95&lt;'Données projet'!$A$36,$K$205^A95,IF(A95='Données projet'!$A$36,'Données projet'!$B$36,N94+M95-V94)))</f>
        <v>354.67115384615443</v>
      </c>
      <c r="O95" s="13">
        <f>N95*VLOOKUP('Données projet'!$B$9,Paramètres!$A$1:$I$89,3,0)*VLOOKUP('Données projet'!$B$9,Paramètres!$A$1:$I$89,5,0)</f>
        <v>165.98610000000025</v>
      </c>
      <c r="P95" s="13">
        <f t="shared" si="87"/>
        <v>42.189797166364926</v>
      </c>
      <c r="Q95" s="20">
        <f t="shared" si="54"/>
        <v>362.57302089808604</v>
      </c>
      <c r="R95" s="59">
        <f t="shared" si="55"/>
        <v>655.9063542314193</v>
      </c>
      <c r="S95" s="59">
        <f ca="1">AVERAGE(OFFSET($R$3,0,0,'Données projet'!$E$9+1,1))-AVERAGE(OFFSET($H$3,0,0,'Données projet'!$E$9+1,1))</f>
        <v>204.77882499755987</v>
      </c>
      <c r="T95" s="59">
        <f t="shared" si="88"/>
        <v>152.46480920430594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45.342604034692144</v>
      </c>
      <c r="AA95" s="21">
        <f>EXP(-LN(2)/25)*AA94+(1-EXP(-LN(2)/25))/(LN(2)/25)*Calculateur!V95*Calculateur!X95*VLOOKUP('Données projet'!$B$9,Paramètres!$A$1:$I$89,3,0)*0.475*44/12</f>
        <v>19.858584808116802</v>
      </c>
      <c r="AB95" s="21">
        <f>EXP(-LN(2)/2)*AB94+(1-EXP(-LN(2)/2))/(LN(2)/2)*V95*Y95*VLOOKUP('Données projet'!$B$9,Paramètres!$A$1:$I$89,3,0)*0.475*44/12</f>
        <v>0.53598975023528694</v>
      </c>
      <c r="AC95" s="22">
        <f t="shared" si="57"/>
        <v>65.737178593044234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-3.4106051316484809E-13</v>
      </c>
      <c r="AJ95" s="13">
        <f>AI95*VLOOKUP('Données projet'!$B$10,Paramètres!$A$1:$I$89,3,0)*VLOOKUP('Données projet'!$B$10,Paramètres!$A$1:$I$89,5,0)</f>
        <v>-2.0395418687257919E-13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237.03649693529445</v>
      </c>
      <c r="AO95" s="59">
        <f t="shared" si="90"/>
        <v>191.04289411674887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112.1591321388473</v>
      </c>
      <c r="AV95" s="21">
        <f>EXP(-LN(2)/25)*AV94+(1-EXP(-LN(2)/25))/(LN(2)/25)*Calculateur!AQ95*Calculateur!AS95*VLOOKUP('Données projet'!$B$10,Paramètres!$A$1:$I$89,3,0)*0.475*44/12</f>
        <v>24.530925440418503</v>
      </c>
      <c r="AW95" s="21">
        <f>EXP(-LN(2)/2)*AW94+(1-EXP(-LN(2)/2))/(LN(2)/2)*AQ95*AT95*VLOOKUP('Données projet'!$B$10,Paramètres!$A$1:$I$89,3,0)*0.475*44/12</f>
        <v>0.56502223526368311</v>
      </c>
      <c r="AX95" s="21">
        <f t="shared" si="60"/>
        <v>137.25507981452949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8.7211538461538485</v>
      </c>
      <c r="N96" s="13">
        <f>IF('Données projet'!$A$36&gt;35,N95+M96-V95,IF(A96&lt;'Données projet'!$A$36,$K$205^A96,IF(A96='Données projet'!$A$36,'Données projet'!$B$36,N95+M96-V95)))</f>
        <v>363.39230769230829</v>
      </c>
      <c r="O96" s="13">
        <f>N96*VLOOKUP('Données projet'!$B$9,Paramètres!$A$1:$I$89,3,0)*VLOOKUP('Données projet'!$B$9,Paramètres!$A$1:$I$89,5,0)</f>
        <v>170.06760000000031</v>
      </c>
      <c r="P96" s="13">
        <f t="shared" si="87"/>
        <v>43.105163386216866</v>
      </c>
      <c r="Q96" s="20">
        <f t="shared" si="54"/>
        <v>371.27589623099493</v>
      </c>
      <c r="R96" s="59">
        <f t="shared" si="55"/>
        <v>664.60922956432819</v>
      </c>
      <c r="S96" s="59">
        <f ca="1">AVERAGE(OFFSET($R$3,0,0,'Données projet'!$E$9+1,1))-AVERAGE(OFFSET($H$3,0,0,'Données projet'!$E$9+1,1))</f>
        <v>204.77882499755987</v>
      </c>
      <c r="T96" s="59">
        <f t="shared" si="88"/>
        <v>152.46480920430594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44.453463225829466</v>
      </c>
      <c r="AA96" s="21">
        <f>EXP(-LN(2)/25)*AA95+(1-EXP(-LN(2)/25))/(LN(2)/25)*Calculateur!V96*Calculateur!X96*VLOOKUP('Données projet'!$B$9,Paramètres!$A$1:$I$89,3,0)*0.475*44/12</f>
        <v>19.31555076222126</v>
      </c>
      <c r="AB96" s="21">
        <f>EXP(-LN(2)/2)*AB95+(1-EXP(-LN(2)/2))/(LN(2)/2)*V96*Y96*VLOOKUP('Données projet'!$B$9,Paramètres!$A$1:$I$89,3,0)*0.475*44/12</f>
        <v>0.37900198703785531</v>
      </c>
      <c r="AC96" s="22">
        <f t="shared" si="57"/>
        <v>64.148015975088583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-3.4106051316484809E-13</v>
      </c>
      <c r="AJ96" s="13">
        <f>AI96*VLOOKUP('Données projet'!$B$10,Paramètres!$A$1:$I$89,3,0)*VLOOKUP('Données projet'!$B$10,Paramètres!$A$1:$I$89,5,0)</f>
        <v>-2.0395418687257919E-13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237.03649693529445</v>
      </c>
      <c r="AO96" s="59">
        <f t="shared" si="90"/>
        <v>191.04289411674887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109.95975996792015</v>
      </c>
      <c r="AV96" s="21">
        <f>EXP(-LN(2)/25)*AV95+(1-EXP(-LN(2)/25))/(LN(2)/25)*Calculateur!AQ96*Calculateur!AS96*VLOOKUP('Données projet'!$B$10,Paramètres!$A$1:$I$89,3,0)*0.475*44/12</f>
        <v>23.860125994224958</v>
      </c>
      <c r="AW96" s="21">
        <f>EXP(-LN(2)/2)*AW95+(1-EXP(-LN(2)/2))/(LN(2)/2)*AQ96*AT96*VLOOKUP('Données projet'!$B$10,Paramètres!$A$1:$I$89,3,0)*0.475*44/12</f>
        <v>0.39953105407613115</v>
      </c>
      <c r="AX96" s="21">
        <f t="shared" si="60"/>
        <v>134.21941701622126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8.7211538461538485</v>
      </c>
      <c r="N97" s="13">
        <f>IF('Données projet'!$A$36&gt;35,N96+M97-V96,IF(A97&lt;'Données projet'!$A$36,$K$205^A97,IF(A97='Données projet'!$A$36,'Données projet'!$B$36,N96+M97-V96)))</f>
        <v>372.11346153846216</v>
      </c>
      <c r="O97" s="13">
        <f>N97*VLOOKUP('Données projet'!$B$9,Paramètres!$A$1:$I$89,3,0)*VLOOKUP('Données projet'!$B$9,Paramètres!$A$1:$I$89,5,0)</f>
        <v>174.14910000000029</v>
      </c>
      <c r="P97" s="13">
        <f t="shared" si="87"/>
        <v>44.017975824904859</v>
      </c>
      <c r="Q97" s="20">
        <f t="shared" si="54"/>
        <v>379.97432372837642</v>
      </c>
      <c r="R97" s="59">
        <f t="shared" si="55"/>
        <v>673.30765706170973</v>
      </c>
      <c r="S97" s="59">
        <f ca="1">AVERAGE(OFFSET($R$3,0,0,'Données projet'!$E$9+1,1))-AVERAGE(OFFSET($H$3,0,0,'Données projet'!$E$9+1,1))</f>
        <v>204.77882499755987</v>
      </c>
      <c r="T97" s="59">
        <f t="shared" si="88"/>
        <v>152.46480920430594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43.581757925906238</v>
      </c>
      <c r="AA97" s="21">
        <f>EXP(-LN(2)/25)*AA96+(1-EXP(-LN(2)/25))/(LN(2)/25)*Calculateur!V97*Calculateur!X97*VLOOKUP('Données projet'!$B$9,Paramètres!$A$1:$I$89,3,0)*0.475*44/12</f>
        <v>18.78736601086765</v>
      </c>
      <c r="AB97" s="21">
        <f>EXP(-LN(2)/2)*AB96+(1-EXP(-LN(2)/2))/(LN(2)/2)*V97*Y97*VLOOKUP('Données projet'!$B$9,Paramètres!$A$1:$I$89,3,0)*0.475*44/12</f>
        <v>0.26799487511764347</v>
      </c>
      <c r="AC97" s="22">
        <f t="shared" si="57"/>
        <v>62.637118811891533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-3.4106051316484809E-13</v>
      </c>
      <c r="AJ97" s="13">
        <f>AI97*VLOOKUP('Données projet'!$B$10,Paramètres!$A$1:$I$89,3,0)*VLOOKUP('Données projet'!$B$10,Paramètres!$A$1:$I$89,5,0)</f>
        <v>-2.0395418687257919E-13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237.03649693529445</v>
      </c>
      <c r="AO97" s="59">
        <f t="shared" si="90"/>
        <v>191.04289411674887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107.80351614378031</v>
      </c>
      <c r="AV97" s="21">
        <f>EXP(-LN(2)/25)*AV96+(1-EXP(-LN(2)/25))/(LN(2)/25)*Calculateur!AQ97*Calculateur!AS97*VLOOKUP('Données projet'!$B$10,Paramètres!$A$1:$I$89,3,0)*0.475*44/12</f>
        <v>23.207669594163384</v>
      </c>
      <c r="AW97" s="21">
        <f>EXP(-LN(2)/2)*AW96+(1-EXP(-LN(2)/2))/(LN(2)/2)*AQ97*AT97*VLOOKUP('Données projet'!$B$10,Paramètres!$A$1:$I$89,3,0)*0.475*44/12</f>
        <v>0.28251111763184156</v>
      </c>
      <c r="AX97" s="21">
        <f t="shared" si="60"/>
        <v>131.29369685557555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8.7211538461538485</v>
      </c>
      <c r="N98" s="13">
        <f>IF('Données projet'!$A$36&gt;35,N97+M98-V97,IF(A98&lt;'Données projet'!$A$36,$K$205^A98,IF(A98='Données projet'!$A$36,'Données projet'!$B$36,N97+M98-V97)))</f>
        <v>380.83461538461603</v>
      </c>
      <c r="O98" s="13">
        <f>N98*VLOOKUP('Données projet'!$B$9,Paramètres!$A$1:$I$89,3,0)*VLOOKUP('Données projet'!$B$9,Paramètres!$A$1:$I$89,5,0)</f>
        <v>178.23060000000029</v>
      </c>
      <c r="P98" s="13">
        <f t="shared" si="87"/>
        <v>44.928301223043398</v>
      </c>
      <c r="Q98" s="20">
        <f t="shared" si="54"/>
        <v>388.66841963013439</v>
      </c>
      <c r="R98" s="59">
        <f t="shared" si="55"/>
        <v>682.00175296346765</v>
      </c>
      <c r="S98" s="59">
        <f ca="1">AVERAGE(OFFSET($R$3,0,0,'Données projet'!$E$9+1,1))-AVERAGE(OFFSET($H$3,0,0,'Données projet'!$E$9+1,1))</f>
        <v>204.77882499755987</v>
      </c>
      <c r="T98" s="59">
        <f t="shared" si="88"/>
        <v>152.46480920430594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42.727146235226776</v>
      </c>
      <c r="AA98" s="21">
        <f>EXP(-LN(2)/25)*AA97+(1-EXP(-LN(2)/25))/(LN(2)/25)*Calculateur!V98*Calculateur!X98*VLOOKUP('Données projet'!$B$9,Paramètres!$A$1:$I$89,3,0)*0.475*44/12</f>
        <v>18.273624499315837</v>
      </c>
      <c r="AB98" s="21">
        <f>EXP(-LN(2)/2)*AB97+(1-EXP(-LN(2)/2))/(LN(2)/2)*V98*Y98*VLOOKUP('Données projet'!$B$9,Paramètres!$A$1:$I$89,3,0)*0.475*44/12</f>
        <v>0.18950099351892766</v>
      </c>
      <c r="AC98" s="22">
        <f t="shared" si="57"/>
        <v>61.190271728061539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-3.4106051316484809E-13</v>
      </c>
      <c r="AJ98" s="13">
        <f>AI98*VLOOKUP('Données projet'!$B$10,Paramètres!$A$1:$I$89,3,0)*VLOOKUP('Données projet'!$B$10,Paramètres!$A$1:$I$89,5,0)</f>
        <v>-2.0395418687257919E-13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237.03649693529445</v>
      </c>
      <c r="AO98" s="59">
        <f t="shared" si="90"/>
        <v>191.04289411674887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105.68955494585299</v>
      </c>
      <c r="AV98" s="21">
        <f>EXP(-LN(2)/25)*AV97+(1-EXP(-LN(2)/25))/(LN(2)/25)*Calculateur!AQ98*Calculateur!AS98*VLOOKUP('Données projet'!$B$10,Paramètres!$A$1:$I$89,3,0)*0.475*44/12</f>
        <v>22.573054648672684</v>
      </c>
      <c r="AW98" s="21">
        <f>EXP(-LN(2)/2)*AW97+(1-EXP(-LN(2)/2))/(LN(2)/2)*AQ98*AT98*VLOOKUP('Données projet'!$B$10,Paramètres!$A$1:$I$89,3,0)*0.475*44/12</f>
        <v>0.19976552703806558</v>
      </c>
      <c r="AX98" s="21">
        <f t="shared" si="60"/>
        <v>128.46237512156375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8.7211538461538485</v>
      </c>
      <c r="N99" s="13">
        <f>IF('Données projet'!$A$36&gt;35,N98+M99-V98,IF(A99&lt;'Données projet'!$A$36,$K$205^A99,IF(A99='Données projet'!$A$36,'Données projet'!$B$36,N98+M99-V98)))</f>
        <v>389.5557692307699</v>
      </c>
      <c r="O99" s="13">
        <f>N99*VLOOKUP('Données projet'!$B$9,Paramètres!$A$1:$I$89,3,0)*VLOOKUP('Données projet'!$B$9,Paramètres!$A$1:$I$89,5,0)</f>
        <v>182.31210000000033</v>
      </c>
      <c r="P99" s="13">
        <f t="shared" si="87"/>
        <v>45.836203090068118</v>
      </c>
      <c r="Q99" s="20">
        <f t="shared" ref="Q99:Q130" si="107">(O99+P99)*0.475*44/12</f>
        <v>397.35829454853587</v>
      </c>
      <c r="R99" s="59">
        <f t="shared" si="55"/>
        <v>690.69162788186918</v>
      </c>
      <c r="S99" s="59">
        <f ca="1">AVERAGE(OFFSET($R$3,0,0,'Données projet'!$E$9+1,1))-AVERAGE(OFFSET($H$3,0,0,'Données projet'!$E$9+1,1))</f>
        <v>204.77882499755987</v>
      </c>
      <c r="T99" s="59">
        <f t="shared" si="88"/>
        <v>152.46480920430594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41.889292958539876</v>
      </c>
      <c r="AA99" s="21">
        <f>EXP(-LN(2)/25)*AA98+(1-EXP(-LN(2)/25))/(LN(2)/25)*Calculateur!V99*Calculateur!X99*VLOOKUP('Données projet'!$B$9,Paramètres!$A$1:$I$89,3,0)*0.475*44/12</f>
        <v>17.773931276413897</v>
      </c>
      <c r="AB99" s="21">
        <f>EXP(-LN(2)/2)*AB98+(1-EXP(-LN(2)/2))/(LN(2)/2)*V99*Y99*VLOOKUP('Données projet'!$B$9,Paramètres!$A$1:$I$89,3,0)*0.475*44/12</f>
        <v>0.13399743755882174</v>
      </c>
      <c r="AC99" s="22">
        <f t="shared" si="57"/>
        <v>59.797221672512592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-3.4106051316484809E-13</v>
      </c>
      <c r="AJ99" s="13">
        <f>AI99*VLOOKUP('Données projet'!$B$10,Paramètres!$A$1:$I$89,3,0)*VLOOKUP('Données projet'!$B$10,Paramètres!$A$1:$I$89,5,0)</f>
        <v>-2.0395418687257919E-13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237.03649693529445</v>
      </c>
      <c r="AO99" s="59">
        <f t="shared" si="90"/>
        <v>191.04289411674887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103.61704723762801</v>
      </c>
      <c r="AV99" s="21">
        <f>EXP(-LN(2)/25)*AV98+(1-EXP(-LN(2)/25))/(LN(2)/25)*Calculateur!AQ99*Calculateur!AS99*VLOOKUP('Données projet'!$B$10,Paramètres!$A$1:$I$89,3,0)*0.475*44/12</f>
        <v>21.955793282239377</v>
      </c>
      <c r="AW99" s="21">
        <f>EXP(-LN(2)/2)*AW98+(1-EXP(-LN(2)/2))/(LN(2)/2)*AQ99*AT99*VLOOKUP('Données projet'!$B$10,Paramètres!$A$1:$I$89,3,0)*0.475*44/12</f>
        <v>0.14125555881592078</v>
      </c>
      <c r="AX99" s="21">
        <f t="shared" si="60"/>
        <v>125.7140960786833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>
        <f>VLOOKUP(A100,'Données projet'!$A$35:$I$55,2,0)</f>
        <v>398.27692307692308</v>
      </c>
      <c r="L100" s="12">
        <f>VLOOKUP(A100,'Données projet'!$A$35:$I$55,9,0)</f>
        <v>8.7211538461538485</v>
      </c>
      <c r="M100" s="12">
        <f t="array" ref="M100">INDEX(L:L,MIN(IF(ISNUMBER(L100:L296),ROW(L100:L296),"")))</f>
        <v>8.7211538461538485</v>
      </c>
      <c r="N100" s="13">
        <f>IF('Données projet'!$A$36&gt;35,N99+M100-V99,IF(A100&lt;'Données projet'!$A$36,$K$205^A100,IF(A100='Données projet'!$A$36,'Données projet'!$B$36,N99+M100-V99)))</f>
        <v>398.27692307692377</v>
      </c>
      <c r="O100" s="13">
        <f>N100*VLOOKUP('Données projet'!$B$9,Paramètres!$A$1:$I$89,3,0)*VLOOKUP('Données projet'!$B$9,Paramètres!$A$1:$I$89,5,0)</f>
        <v>186.39360000000033</v>
      </c>
      <c r="P100" s="13">
        <f t="shared" si="87"/>
        <v>46.741741929451443</v>
      </c>
      <c r="Q100" s="20">
        <f t="shared" si="107"/>
        <v>406.04405386046182</v>
      </c>
      <c r="R100" s="59">
        <f t="shared" si="55"/>
        <v>699.37738719379513</v>
      </c>
      <c r="S100" s="59">
        <f ca="1">AVERAGE(OFFSET($R$3,0,0,'Données projet'!$E$9+1,1))-AVERAGE(OFFSET($H$3,0,0,'Données projet'!$E$9+1,1))</f>
        <v>204.77882499755987</v>
      </c>
      <c r="T100" s="59">
        <f t="shared" si="88"/>
        <v>152.46480920430594</v>
      </c>
      <c r="U100" s="15">
        <f>IF(ISNA(VLOOKUP(A100,'Données projet'!$A$35:$I$55,3,0)),0,VLOOKUP(A100,'Données projet'!$A$35:$I$55,3,0))</f>
        <v>5</v>
      </c>
      <c r="V100" s="15">
        <f>IF(ISNA(VLOOKUP(A100,'Données projet'!$A$35:$I$55,4,0)),0,VLOOKUP(A100,'Données projet'!$A$35:$I$55,4,0))</f>
        <v>79.669230769230765</v>
      </c>
      <c r="W100" s="16">
        <f>IF(ISNA(VLOOKUP(A100,'Données projet'!$A$35:$I$55,5,0)),0%,VLOOKUP(A100,'Données projet'!$A$35:$I$55,5,0)*VLOOKUP('Données projet'!$B$9,Paramètres!$A$1:$I$89,7,0))</f>
        <v>0.38500000000000001</v>
      </c>
      <c r="X100" s="16">
        <f>IF(ISNA(VLOOKUP(A100,'Données projet'!$A$35:$I$55,6,0)),0%,VLOOKUP(A100,'Données projet'!$A$35:$I$55,6,0)*VLOOKUP('Données projet'!$B$9,Paramètres!$A$1:$I$89,7,0))</f>
        <v>9.240000000000001E-2</v>
      </c>
      <c r="Y100" s="16">
        <f>IF(ISNA(VLOOKUP(A100,'Données projet'!$A$35:$I$55,7,0)),0%,VLOOKUP(A100,'Données projet'!$A$35:$I$55,7,0))</f>
        <v>0.13200000000000001</v>
      </c>
      <c r="Z100" s="21">
        <f>EXP(-LN(2)/35)*Z99+(1-EXP(-LN(2)/35))/(LN(2)/35)*V100*W100*VLOOKUP('Données projet'!$B$9,Paramètres!$A$1:$I$89,3,0)*0.475*44/12</f>
        <v>60.110439571641187</v>
      </c>
      <c r="AA100" s="21">
        <f>EXP(-LN(2)/25)*AA99+(1-EXP(-LN(2)/25))/(LN(2)/25)*Calculateur!V100*Calculateur!X100*VLOOKUP('Données projet'!$B$9,Paramètres!$A$1:$I$89,3,0)*0.475*44/12</f>
        <v>21.84012432948392</v>
      </c>
      <c r="AB100" s="21">
        <f>EXP(-LN(2)/2)*AB99+(1-EXP(-LN(2)/2))/(LN(2)/2)*V100*Y100*VLOOKUP('Données projet'!$B$9,Paramètres!$A$1:$I$89,3,0)*0.475*44/12</f>
        <v>5.6671975078443229</v>
      </c>
      <c r="AC100" s="22">
        <f t="shared" si="57"/>
        <v>87.617761408969429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-3.4106051316484809E-13</v>
      </c>
      <c r="AJ100" s="13">
        <f>AI100*VLOOKUP('Données projet'!$B$10,Paramètres!$A$1:$I$89,3,0)*VLOOKUP('Données projet'!$B$10,Paramètres!$A$1:$I$89,5,0)</f>
        <v>-2.0395418687257919E-13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237.03649693529445</v>
      </c>
      <c r="AO100" s="59">
        <f t="shared" si="90"/>
        <v>191.04289411674887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101.58518014145645</v>
      </c>
      <c r="AV100" s="21">
        <f>EXP(-LN(2)/25)*AV99+(1-EXP(-LN(2)/25))/(LN(2)/25)*Calculateur!AQ100*Calculateur!AS100*VLOOKUP('Données projet'!$B$10,Paramètres!$A$1:$I$89,3,0)*0.475*44/12</f>
        <v>21.355410960331554</v>
      </c>
      <c r="AW100" s="21">
        <f>EXP(-LN(2)/2)*AW99+(1-EXP(-LN(2)/2))/(LN(2)/2)*AQ100*AT100*VLOOKUP('Données projet'!$B$10,Paramètres!$A$1:$I$89,3,0)*0.475*44/12</f>
        <v>9.9882763519032788E-2</v>
      </c>
      <c r="AX100" s="21">
        <f t="shared" si="60"/>
        <v>123.04047386530704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7.882692307692305</v>
      </c>
      <c r="N101" s="13">
        <f>IF('Données projet'!$A$36&gt;35,N100+M101-V100,IF(A101&lt;'Données projet'!$A$36,$K$205^A101,IF(A101='Données projet'!$A$36,'Données projet'!$B$36,N100+M101-V100)))</f>
        <v>326.49038461538532</v>
      </c>
      <c r="O101" s="13">
        <f>N101*VLOOKUP('Données projet'!$B$9,Paramètres!$A$1:$I$89,3,0)*VLOOKUP('Données projet'!$B$9,Paramètres!$A$1:$I$89,5,0)</f>
        <v>152.79750000000033</v>
      </c>
      <c r="P101" s="13">
        <f t="shared" si="87"/>
        <v>39.213642223408968</v>
      </c>
      <c r="Q101" s="20">
        <f t="shared" si="107"/>
        <v>334.41940603910456</v>
      </c>
      <c r="R101" s="59">
        <f t="shared" si="55"/>
        <v>627.75273937243787</v>
      </c>
      <c r="S101" s="59">
        <f ca="1">AVERAGE(OFFSET($R$3,0,0,'Données projet'!$E$9+1,1))-AVERAGE(OFFSET($H$3,0,0,'Données projet'!$E$9+1,1))</f>
        <v>204.77882499755987</v>
      </c>
      <c r="T101" s="59">
        <f t="shared" si="88"/>
        <v>152.46480920430594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58.931710515389199</v>
      </c>
      <c r="AA101" s="21">
        <f>EXP(-LN(2)/25)*AA100+(1-EXP(-LN(2)/25))/(LN(2)/25)*Calculateur!V101*Calculateur!X101*VLOOKUP('Données projet'!$B$9,Paramètres!$A$1:$I$89,3,0)*0.475*44/12</f>
        <v>21.242904981171961</v>
      </c>
      <c r="AB101" s="21">
        <f>EXP(-LN(2)/2)*AB100+(1-EXP(-LN(2)/2))/(LN(2)/2)*V101*Y101*VLOOKUP('Données projet'!$B$9,Paramètres!$A$1:$I$89,3,0)*0.475*44/12</f>
        <v>4.0073137881202232</v>
      </c>
      <c r="AC101" s="22">
        <f t="shared" si="57"/>
        <v>84.181929284681388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-3.4106051316484809E-13</v>
      </c>
      <c r="AJ101" s="13">
        <f>AI101*VLOOKUP('Données projet'!$B$10,Paramètres!$A$1:$I$89,3,0)*VLOOKUP('Données projet'!$B$10,Paramètres!$A$1:$I$89,5,0)</f>
        <v>-2.0395418687257919E-13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237.03649693529445</v>
      </c>
      <c r="AO101" s="59">
        <f t="shared" si="90"/>
        <v>191.04289411674887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99.593156719724249</v>
      </c>
      <c r="AV101" s="21">
        <f>EXP(-LN(2)/25)*AV100+(1-EXP(-LN(2)/25))/(LN(2)/25)*Calculateur!AQ101*Calculateur!AS101*VLOOKUP('Données projet'!$B$10,Paramètres!$A$1:$I$89,3,0)*0.475*44/12</f>
        <v>20.771446124589033</v>
      </c>
      <c r="AW101" s="21">
        <f>EXP(-LN(2)/2)*AW100+(1-EXP(-LN(2)/2))/(LN(2)/2)*AQ101*AT101*VLOOKUP('Données projet'!$B$10,Paramètres!$A$1:$I$89,3,0)*0.475*44/12</f>
        <v>7.0627779407960389E-2</v>
      </c>
      <c r="AX101" s="21">
        <f t="shared" si="60"/>
        <v>120.43523062372124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7.882692307692305</v>
      </c>
      <c r="N102" s="13">
        <f>IF('Données projet'!$A$36&gt;35,N101+M102-V101,IF(A102&lt;'Données projet'!$A$36,$K$205^A102,IF(A102='Données projet'!$A$36,'Données projet'!$B$36,N101+M102-V101)))</f>
        <v>334.37307692307763</v>
      </c>
      <c r="O102" s="13">
        <f>N102*VLOOKUP('Données projet'!$B$9,Paramètres!$A$1:$I$89,3,0)*VLOOKUP('Données projet'!$B$9,Paramètres!$A$1:$I$89,5,0)</f>
        <v>156.48660000000032</v>
      </c>
      <c r="P102" s="13">
        <f t="shared" si="87"/>
        <v>40.049037096609261</v>
      </c>
      <c r="Q102" s="20">
        <f t="shared" si="107"/>
        <v>342.29956794326159</v>
      </c>
      <c r="R102" s="59">
        <f t="shared" si="55"/>
        <v>635.63290127659491</v>
      </c>
      <c r="S102" s="59">
        <f ca="1">AVERAGE(OFFSET($R$3,0,0,'Données projet'!$E$9+1,1))-AVERAGE(OFFSET($H$3,0,0,'Données projet'!$E$9+1,1))</f>
        <v>204.77882499755987</v>
      </c>
      <c r="T102" s="59">
        <f t="shared" si="88"/>
        <v>152.46480920430594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57.776095616976576</v>
      </c>
      <c r="AA102" s="21">
        <f>EXP(-LN(2)/25)*AA101+(1-EXP(-LN(2)/25))/(LN(2)/25)*Calculateur!V102*Calculateur!X102*VLOOKUP('Données projet'!$B$9,Paramètres!$A$1:$I$89,3,0)*0.475*44/12</f>
        <v>20.662016627345992</v>
      </c>
      <c r="AB102" s="21">
        <f>EXP(-LN(2)/2)*AB101+(1-EXP(-LN(2)/2))/(LN(2)/2)*V102*Y102*VLOOKUP('Données projet'!$B$9,Paramètres!$A$1:$I$89,3,0)*0.475*44/12</f>
        <v>2.8335987539221619</v>
      </c>
      <c r="AC102" s="22">
        <f t="shared" si="57"/>
        <v>81.271710998244728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-3.4106051316484809E-13</v>
      </c>
      <c r="AJ102" s="13">
        <f>AI102*VLOOKUP('Données projet'!$B$10,Paramètres!$A$1:$I$89,3,0)*VLOOKUP('Données projet'!$B$10,Paramètres!$A$1:$I$89,5,0)</f>
        <v>-2.0395418687257919E-13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237.03649693529445</v>
      </c>
      <c r="AO102" s="59">
        <f t="shared" si="90"/>
        <v>191.04289411674887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97.640195662277904</v>
      </c>
      <c r="AV102" s="21">
        <f>EXP(-LN(2)/25)*AV101+(1-EXP(-LN(2)/25))/(LN(2)/25)*Calculateur!AQ102*Calculateur!AS102*VLOOKUP('Données projet'!$B$10,Paramètres!$A$1:$I$89,3,0)*0.475*44/12</f>
        <v>20.203449837989268</v>
      </c>
      <c r="AW102" s="21">
        <f>EXP(-LN(2)/2)*AW101+(1-EXP(-LN(2)/2))/(LN(2)/2)*AQ102*AT102*VLOOKUP('Données projet'!$B$10,Paramètres!$A$1:$I$89,3,0)*0.475*44/12</f>
        <v>4.9941381759516394E-2</v>
      </c>
      <c r="AX102" s="21">
        <f t="shared" si="60"/>
        <v>117.89358688202668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7.882692307692305</v>
      </c>
      <c r="N103" s="13">
        <f>IF('Données projet'!$A$36&gt;35,N102+M103-V102,IF(A103&lt;'Données projet'!$A$36,$K$205^A103,IF(A103='Données projet'!$A$36,'Données projet'!$B$36,N102+M103-V102)))</f>
        <v>342.25576923076994</v>
      </c>
      <c r="O103" s="13">
        <f>N103*VLOOKUP('Données projet'!$B$9,Paramètres!$A$1:$I$89,3,0)*VLOOKUP('Données projet'!$B$9,Paramètres!$A$1:$I$89,5,0)</f>
        <v>160.17570000000035</v>
      </c>
      <c r="P103" s="13">
        <f t="shared" si="87"/>
        <v>40.882142500403575</v>
      </c>
      <c r="Q103" s="20">
        <f t="shared" si="107"/>
        <v>350.17574235487018</v>
      </c>
      <c r="R103" s="59">
        <f t="shared" si="55"/>
        <v>643.50907568820344</v>
      </c>
      <c r="S103" s="59">
        <f ca="1">AVERAGE(OFFSET($R$3,0,0,'Données projet'!$E$9+1,1))-AVERAGE(OFFSET($H$3,0,0,'Données projet'!$E$9+1,1))</f>
        <v>204.77882499755987</v>
      </c>
      <c r="T103" s="59">
        <f t="shared" si="88"/>
        <v>152.46480920430594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56.643141621866334</v>
      </c>
      <c r="AA103" s="21">
        <f>EXP(-LN(2)/25)*AA102+(1-EXP(-LN(2)/25))/(LN(2)/25)*Calculateur!V103*Calculateur!X103*VLOOKUP('Données projet'!$B$9,Paramètres!$A$1:$I$89,3,0)*0.475*44/12</f>
        <v>20.097012696102986</v>
      </c>
      <c r="AB103" s="21">
        <f>EXP(-LN(2)/2)*AB102+(1-EXP(-LN(2)/2))/(LN(2)/2)*V103*Y103*VLOOKUP('Données projet'!$B$9,Paramètres!$A$1:$I$89,3,0)*0.475*44/12</f>
        <v>2.003656894060112</v>
      </c>
      <c r="AC103" s="22">
        <f t="shared" si="57"/>
        <v>78.743811212029428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-3.4106051316484809E-13</v>
      </c>
      <c r="AJ103" s="13">
        <f>AI103*VLOOKUP('Données projet'!$B$10,Paramètres!$A$1:$I$89,3,0)*VLOOKUP('Données projet'!$B$10,Paramètres!$A$1:$I$89,5,0)</f>
        <v>-2.0395418687257919E-13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237.03649693529445</v>
      </c>
      <c r="AO103" s="59">
        <f t="shared" si="90"/>
        <v>191.04289411674887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95.725530979979453</v>
      </c>
      <c r="AV103" s="21">
        <f>EXP(-LN(2)/25)*AV102+(1-EXP(-LN(2)/25))/(LN(2)/25)*Calculateur!AQ103*Calculateur!AS103*VLOOKUP('Données projet'!$B$10,Paramètres!$A$1:$I$89,3,0)*0.475*44/12</f>
        <v>19.650985439716202</v>
      </c>
      <c r="AW103" s="21">
        <f>EXP(-LN(2)/2)*AW102+(1-EXP(-LN(2)/2))/(LN(2)/2)*AQ103*AT103*VLOOKUP('Données projet'!$B$10,Paramètres!$A$1:$I$89,3,0)*0.475*44/12</f>
        <v>3.5313889703980195E-2</v>
      </c>
      <c r="AX103" s="21">
        <f t="shared" si="60"/>
        <v>115.41183030939965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7.882692307692305</v>
      </c>
      <c r="N104" s="13">
        <f>IF('Données projet'!$A$36&gt;35,N103+M104-V103,IF(A104&lt;'Données projet'!$A$36,$K$205^A104,IF(A104='Données projet'!$A$36,'Données projet'!$B$36,N103+M104-V103)))</f>
        <v>350.13846153846225</v>
      </c>
      <c r="O104" s="13">
        <f>N104*VLOOKUP('Données projet'!$B$9,Paramètres!$A$1:$I$89,3,0)*VLOOKUP('Données projet'!$B$9,Paramètres!$A$1:$I$89,5,0)</f>
        <v>163.86480000000032</v>
      </c>
      <c r="P104" s="13">
        <f t="shared" si="87"/>
        <v>41.713017234350204</v>
      </c>
      <c r="Q104" s="20">
        <f t="shared" si="107"/>
        <v>358.04803168316045</v>
      </c>
      <c r="R104" s="59">
        <f t="shared" si="55"/>
        <v>651.38136501649376</v>
      </c>
      <c r="S104" s="59">
        <f ca="1">AVERAGE(OFFSET($R$3,0,0,'Données projet'!$E$9+1,1))-AVERAGE(OFFSET($H$3,0,0,'Données projet'!$E$9+1,1))</f>
        <v>204.77882499755987</v>
      </c>
      <c r="T104" s="59">
        <f t="shared" si="88"/>
        <v>152.46480920430594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55.532404163566504</v>
      </c>
      <c r="AA104" s="21">
        <f>EXP(-LN(2)/25)*AA103+(1-EXP(-LN(2)/25))/(LN(2)/25)*Calculateur!V104*Calculateur!X104*VLOOKUP('Données projet'!$B$9,Paramètres!$A$1:$I$89,3,0)*0.475*44/12</f>
        <v>19.547458827072084</v>
      </c>
      <c r="AB104" s="21">
        <f>EXP(-LN(2)/2)*AB103+(1-EXP(-LN(2)/2))/(LN(2)/2)*V104*Y104*VLOOKUP('Données projet'!$B$9,Paramètres!$A$1:$I$89,3,0)*0.475*44/12</f>
        <v>1.4167993769610812</v>
      </c>
      <c r="AC104" s="22">
        <f t="shared" si="57"/>
        <v>76.496662367599669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-3.4106051316484809E-13</v>
      </c>
      <c r="AJ104" s="13">
        <f>AI104*VLOOKUP('Données projet'!$B$10,Paramètres!$A$1:$I$89,3,0)*VLOOKUP('Données projet'!$B$10,Paramètres!$A$1:$I$89,5,0)</f>
        <v>-2.0395418687257919E-13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237.03649693529445</v>
      </c>
      <c r="AO104" s="59">
        <f t="shared" si="90"/>
        <v>191.04289411674887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93.848411704270731</v>
      </c>
      <c r="AV104" s="21">
        <f>EXP(-LN(2)/25)*AV103+(1-EXP(-LN(2)/25))/(LN(2)/25)*Calculateur!AQ104*Calculateur!AS104*VLOOKUP('Données projet'!$B$10,Paramètres!$A$1:$I$89,3,0)*0.475*44/12</f>
        <v>19.11362820946675</v>
      </c>
      <c r="AW104" s="21">
        <f>EXP(-LN(2)/2)*AW103+(1-EXP(-LN(2)/2))/(LN(2)/2)*AQ104*AT104*VLOOKUP('Données projet'!$B$10,Paramètres!$A$1:$I$89,3,0)*0.475*44/12</f>
        <v>2.4970690879758197E-2</v>
      </c>
      <c r="AX104" s="21">
        <f t="shared" si="60"/>
        <v>112.98701060461724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7.882692307692305</v>
      </c>
      <c r="N105" s="13">
        <f>IF('Données projet'!$A$36&gt;35,N104+M105-V104,IF(A105&lt;'Données projet'!$A$36,$K$205^A105,IF(A105='Données projet'!$A$36,'Données projet'!$B$36,N104+M105-V104)))</f>
        <v>358.02115384615456</v>
      </c>
      <c r="O105" s="13">
        <f>N105*VLOOKUP('Données projet'!$B$9,Paramètres!$A$1:$I$89,3,0)*VLOOKUP('Données projet'!$B$9,Paramètres!$A$1:$I$89,5,0)</f>
        <v>167.55390000000031</v>
      </c>
      <c r="P105" s="13">
        <f t="shared" si="87"/>
        <v>42.541717299361345</v>
      </c>
      <c r="Q105" s="20">
        <f t="shared" si="107"/>
        <v>365.91653346305492</v>
      </c>
      <c r="R105" s="59">
        <f t="shared" si="55"/>
        <v>659.24986679638823</v>
      </c>
      <c r="S105" s="59">
        <f ca="1">AVERAGE(OFFSET($R$3,0,0,'Données projet'!$E$9+1,1))-AVERAGE(OFFSET($H$3,0,0,'Données projet'!$E$9+1,1))</f>
        <v>204.77882499755987</v>
      </c>
      <c r="T105" s="59">
        <f t="shared" si="88"/>
        <v>152.46480920430594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54.443447589340977</v>
      </c>
      <c r="AA105" s="21">
        <f>EXP(-LN(2)/25)*AA104+(1-EXP(-LN(2)/25))/(LN(2)/25)*Calculateur!V105*Calculateur!X105*VLOOKUP('Données projet'!$B$9,Paramètres!$A$1:$I$89,3,0)*0.475*44/12</f>
        <v>19.012932537489615</v>
      </c>
      <c r="AB105" s="21">
        <f>EXP(-LN(2)/2)*AB104+(1-EXP(-LN(2)/2))/(LN(2)/2)*V105*Y105*VLOOKUP('Données projet'!$B$9,Paramètres!$A$1:$I$89,3,0)*0.475*44/12</f>
        <v>1.0018284470300562</v>
      </c>
      <c r="AC105" s="22">
        <f t="shared" si="57"/>
        <v>74.458208573860645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-3.4106051316484809E-13</v>
      </c>
      <c r="AJ105" s="13">
        <f>AI105*VLOOKUP('Données projet'!$B$10,Paramètres!$A$1:$I$89,3,0)*VLOOKUP('Données projet'!$B$10,Paramètres!$A$1:$I$89,5,0)</f>
        <v>-2.0395418687257919E-13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237.03649693529445</v>
      </c>
      <c r="AO105" s="59">
        <f t="shared" si="90"/>
        <v>191.04289411674887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92.008101592628961</v>
      </c>
      <c r="AV105" s="21">
        <f>EXP(-LN(2)/25)*AV104+(1-EXP(-LN(2)/25))/(LN(2)/25)*Calculateur!AQ105*Calculateur!AS105*VLOOKUP('Données projet'!$B$10,Paramètres!$A$1:$I$89,3,0)*0.475*44/12</f>
        <v>18.590965040936858</v>
      </c>
      <c r="AW105" s="21">
        <f>EXP(-LN(2)/2)*AW104+(1-EXP(-LN(2)/2))/(LN(2)/2)*AQ105*AT105*VLOOKUP('Données projet'!$B$10,Paramètres!$A$1:$I$89,3,0)*0.475*44/12</f>
        <v>1.7656944851990097E-2</v>
      </c>
      <c r="AX105" s="21">
        <f t="shared" si="60"/>
        <v>110.61672357841782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7.882692307692305</v>
      </c>
      <c r="N106" s="13">
        <f>IF('Données projet'!$A$36&gt;35,N105+M106-V105,IF(A106&lt;'Données projet'!$A$36,$K$205^A106,IF(A106='Données projet'!$A$36,'Données projet'!$B$36,N105+M106-V105)))</f>
        <v>365.90384615384687</v>
      </c>
      <c r="O106" s="13">
        <f>N106*VLOOKUP('Données projet'!$B$9,Paramètres!$A$1:$I$89,3,0)*VLOOKUP('Données projet'!$B$9,Paramètres!$A$1:$I$89,5,0)</f>
        <v>171.24300000000036</v>
      </c>
      <c r="P106" s="13">
        <f t="shared" si="87"/>
        <v>43.368296089548551</v>
      </c>
      <c r="Q106" s="20">
        <f t="shared" si="107"/>
        <v>373.78134068929762</v>
      </c>
      <c r="R106" s="59">
        <f t="shared" si="55"/>
        <v>667.11467402263088</v>
      </c>
      <c r="S106" s="59">
        <f ca="1">AVERAGE(OFFSET($R$3,0,0,'Données projet'!$E$9+1,1))-AVERAGE(OFFSET($H$3,0,0,'Données projet'!$E$9+1,1))</f>
        <v>204.77882499755987</v>
      </c>
      <c r="T106" s="59">
        <f t="shared" si="88"/>
        <v>152.46480920430594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53.375844789338089</v>
      </c>
      <c r="AA106" s="21">
        <f>EXP(-LN(2)/25)*AA105+(1-EXP(-LN(2)/25))/(LN(2)/25)*Calculateur!V106*Calculateur!X106*VLOOKUP('Données projet'!$B$9,Paramètres!$A$1:$I$89,3,0)*0.475*44/12</f>
        <v>18.493022897405293</v>
      </c>
      <c r="AB106" s="21">
        <f>EXP(-LN(2)/2)*AB105+(1-EXP(-LN(2)/2))/(LN(2)/2)*V106*Y106*VLOOKUP('Données projet'!$B$9,Paramètres!$A$1:$I$89,3,0)*0.475*44/12</f>
        <v>0.7083996884805408</v>
      </c>
      <c r="AC106" s="22">
        <f t="shared" si="57"/>
        <v>72.577267375223926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-3.4106051316484809E-13</v>
      </c>
      <c r="AJ106" s="13">
        <f>AI106*VLOOKUP('Données projet'!$B$10,Paramètres!$A$1:$I$89,3,0)*VLOOKUP('Données projet'!$B$10,Paramètres!$A$1:$I$89,5,0)</f>
        <v>-2.0395418687257919E-13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237.03649693529445</v>
      </c>
      <c r="AO106" s="59">
        <f t="shared" si="90"/>
        <v>191.04289411674887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90.203878839798151</v>
      </c>
      <c r="AV106" s="21">
        <f>EXP(-LN(2)/25)*AV105+(1-EXP(-LN(2)/25))/(LN(2)/25)*Calculateur!AQ106*Calculateur!AS106*VLOOKUP('Données projet'!$B$10,Paramètres!$A$1:$I$89,3,0)*0.475*44/12</f>
        <v>18.082594124236078</v>
      </c>
      <c r="AW106" s="21">
        <f>EXP(-LN(2)/2)*AW105+(1-EXP(-LN(2)/2))/(LN(2)/2)*AQ106*AT106*VLOOKUP('Données projet'!$B$10,Paramètres!$A$1:$I$89,3,0)*0.475*44/12</f>
        <v>1.2485345439879099E-2</v>
      </c>
      <c r="AX106" s="21">
        <f t="shared" si="60"/>
        <v>108.29895830947412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7.882692307692305</v>
      </c>
      <c r="N107" s="13">
        <f>IF('Données projet'!$A$36&gt;35,N106+M107-V106,IF(A107&lt;'Données projet'!$A$36,$K$205^A107,IF(A107='Données projet'!$A$36,'Données projet'!$B$36,N106+M107-V106)))</f>
        <v>373.78653846153918</v>
      </c>
      <c r="O107" s="13">
        <f>N107*VLOOKUP('Données projet'!$B$9,Paramètres!$A$1:$I$89,3,0)*VLOOKUP('Données projet'!$B$9,Paramètres!$A$1:$I$89,5,0)</f>
        <v>174.93210000000036</v>
      </c>
      <c r="P107" s="13">
        <f t="shared" si="87"/>
        <v>44.192804567069899</v>
      </c>
      <c r="Q107" s="20">
        <f t="shared" si="107"/>
        <v>381.64254212098064</v>
      </c>
      <c r="R107" s="59">
        <f t="shared" si="55"/>
        <v>674.97587545431395</v>
      </c>
      <c r="S107" s="59">
        <f ca="1">AVERAGE(OFFSET($R$3,0,0,'Données projet'!$E$9+1,1))-AVERAGE(OFFSET($H$3,0,0,'Données projet'!$E$9+1,1))</f>
        <v>204.77882499755987</v>
      </c>
      <c r="T107" s="59">
        <f t="shared" si="88"/>
        <v>152.46480920430594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52.329177029069847</v>
      </c>
      <c r="AA107" s="21">
        <f>EXP(-LN(2)/25)*AA106+(1-EXP(-LN(2)/25))/(LN(2)/25)*Calculateur!V107*Calculateur!X107*VLOOKUP('Données projet'!$B$9,Paramètres!$A$1:$I$89,3,0)*0.475*44/12</f>
        <v>17.987330213769937</v>
      </c>
      <c r="AB107" s="21">
        <f>EXP(-LN(2)/2)*AB106+(1-EXP(-LN(2)/2))/(LN(2)/2)*V107*Y107*VLOOKUP('Données projet'!$B$9,Paramètres!$A$1:$I$89,3,0)*0.475*44/12</f>
        <v>0.50091422351502823</v>
      </c>
      <c r="AC107" s="22">
        <f t="shared" si="57"/>
        <v>70.817421466354801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-3.4106051316484809E-13</v>
      </c>
      <c r="AJ107" s="13">
        <f>AI107*VLOOKUP('Données projet'!$B$10,Paramètres!$A$1:$I$89,3,0)*VLOOKUP('Données projet'!$B$10,Paramètres!$A$1:$I$89,5,0)</f>
        <v>-2.0395418687257919E-13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237.03649693529445</v>
      </c>
      <c r="AO107" s="59">
        <f t="shared" si="90"/>
        <v>191.04289411674887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88.435035794683131</v>
      </c>
      <c r="AV107" s="21">
        <f>EXP(-LN(2)/25)*AV106+(1-EXP(-LN(2)/25))/(LN(2)/25)*Calculateur!AQ107*Calculateur!AS107*VLOOKUP('Données projet'!$B$10,Paramètres!$A$1:$I$89,3,0)*0.475*44/12</f>
        <v>17.588124636986546</v>
      </c>
      <c r="AW107" s="21">
        <f>EXP(-LN(2)/2)*AW106+(1-EXP(-LN(2)/2))/(LN(2)/2)*AQ107*AT107*VLOOKUP('Données projet'!$B$10,Paramètres!$A$1:$I$89,3,0)*0.475*44/12</f>
        <v>8.8284724259950487E-3</v>
      </c>
      <c r="AX107" s="21">
        <f t="shared" si="60"/>
        <v>106.03198890409567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7.882692307692305</v>
      </c>
      <c r="N108" s="13">
        <f>IF('Données projet'!$A$36&gt;35,N107+M108-V107,IF(A108&lt;'Données projet'!$A$36,$K$205^A108,IF(A108='Données projet'!$A$36,'Données projet'!$B$36,N107+M108-V107)))</f>
        <v>381.66923076923149</v>
      </c>
      <c r="O108" s="13">
        <f>N108*VLOOKUP('Données projet'!$B$9,Paramètres!$A$1:$I$89,3,0)*VLOOKUP('Données projet'!$B$9,Paramètres!$A$1:$I$89,5,0)</f>
        <v>178.62120000000033</v>
      </c>
      <c r="P108" s="13">
        <f t="shared" si="87"/>
        <v>45.01529142181213</v>
      </c>
      <c r="Q108" s="20">
        <f t="shared" si="107"/>
        <v>389.50022255965672</v>
      </c>
      <c r="R108" s="59">
        <f t="shared" si="55"/>
        <v>682.83355589299003</v>
      </c>
      <c r="S108" s="59">
        <f ca="1">AVERAGE(OFFSET($R$3,0,0,'Données projet'!$E$9+1,1))-AVERAGE(OFFSET($H$3,0,0,'Données projet'!$E$9+1,1))</f>
        <v>204.77882499755987</v>
      </c>
      <c r="T108" s="59">
        <f t="shared" si="88"/>
        <v>152.46480920430594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51.303033785176169</v>
      </c>
      <c r="AA108" s="21">
        <f>EXP(-LN(2)/25)*AA107+(1-EXP(-LN(2)/25))/(LN(2)/25)*Calculateur!V108*Calculateur!X108*VLOOKUP('Données projet'!$B$9,Paramètres!$A$1:$I$89,3,0)*0.475*44/12</f>
        <v>17.495465723161814</v>
      </c>
      <c r="AB108" s="21">
        <f>EXP(-LN(2)/2)*AB107+(1-EXP(-LN(2)/2))/(LN(2)/2)*V108*Y108*VLOOKUP('Données projet'!$B$9,Paramètres!$A$1:$I$89,3,0)*0.475*44/12</f>
        <v>0.35419984424027046</v>
      </c>
      <c r="AC108" s="22">
        <f t="shared" si="57"/>
        <v>69.152699352578253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-3.4106051316484809E-13</v>
      </c>
      <c r="AJ108" s="13">
        <f>AI108*VLOOKUP('Données projet'!$B$10,Paramètres!$A$1:$I$89,3,0)*VLOOKUP('Données projet'!$B$10,Paramètres!$A$1:$I$89,5,0)</f>
        <v>-2.0395418687257919E-13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237.03649693529445</v>
      </c>
      <c r="AO108" s="59">
        <f t="shared" si="90"/>
        <v>191.04289411674887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86.700878682795093</v>
      </c>
      <c r="AV108" s="21">
        <f>EXP(-LN(2)/25)*AV107+(1-EXP(-LN(2)/25))/(LN(2)/25)*Calculateur!AQ108*Calculateur!AS108*VLOOKUP('Données projet'!$B$10,Paramètres!$A$1:$I$89,3,0)*0.475*44/12</f>
        <v>17.107176443868873</v>
      </c>
      <c r="AW108" s="21">
        <f>EXP(-LN(2)/2)*AW107+(1-EXP(-LN(2)/2))/(LN(2)/2)*AQ108*AT108*VLOOKUP('Données projet'!$B$10,Paramètres!$A$1:$I$89,3,0)*0.475*44/12</f>
        <v>6.2426727199395493E-3</v>
      </c>
      <c r="AX108" s="21">
        <f t="shared" si="60"/>
        <v>103.81429779938389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7.882692307692305</v>
      </c>
      <c r="N109" s="13">
        <f>IF('Données projet'!$A$36&gt;35,N108+M109-V108,IF(A109&lt;'Données projet'!$A$36,$K$205^A109,IF(A109='Données projet'!$A$36,'Données projet'!$B$36,N108+M109-V108)))</f>
        <v>389.5519230769238</v>
      </c>
      <c r="O109" s="13">
        <f>N109*VLOOKUP('Données projet'!$B$9,Paramètres!$A$1:$I$89,3,0)*VLOOKUP('Données projet'!$B$9,Paramètres!$A$1:$I$89,5,0)</f>
        <v>182.31030000000032</v>
      </c>
      <c r="P109" s="13">
        <f t="shared" si="87"/>
        <v>45.835803217507902</v>
      </c>
      <c r="Q109" s="20">
        <f t="shared" si="107"/>
        <v>397.35446310382684</v>
      </c>
      <c r="R109" s="59">
        <f t="shared" si="55"/>
        <v>690.68779643716016</v>
      </c>
      <c r="S109" s="59">
        <f ca="1">AVERAGE(OFFSET($R$3,0,0,'Données projet'!$E$9+1,1))-AVERAGE(OFFSET($H$3,0,0,'Données projet'!$E$9+1,1))</f>
        <v>204.77882499755987</v>
      </c>
      <c r="T109" s="59">
        <f t="shared" si="88"/>
        <v>152.46480920430594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50.297012584409671</v>
      </c>
      <c r="AA109" s="21">
        <f>EXP(-LN(2)/25)*AA108+(1-EXP(-LN(2)/25))/(LN(2)/25)*Calculateur!V109*Calculateur!X109*VLOOKUP('Données projet'!$B$9,Paramètres!$A$1:$I$89,3,0)*0.475*44/12</f>
        <v>17.017051292915397</v>
      </c>
      <c r="AB109" s="21">
        <f>EXP(-LN(2)/2)*AB108+(1-EXP(-LN(2)/2))/(LN(2)/2)*V109*Y109*VLOOKUP('Données projet'!$B$9,Paramètres!$A$1:$I$89,3,0)*0.475*44/12</f>
        <v>0.25045711175751417</v>
      </c>
      <c r="AC109" s="22">
        <f t="shared" si="57"/>
        <v>67.564520989082581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-3.4106051316484809E-13</v>
      </c>
      <c r="AJ109" s="13">
        <f>AI109*VLOOKUP('Données projet'!$B$10,Paramètres!$A$1:$I$89,3,0)*VLOOKUP('Données projet'!$B$10,Paramètres!$A$1:$I$89,5,0)</f>
        <v>-2.0395418687257919E-13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237.03649693529445</v>
      </c>
      <c r="AO109" s="59">
        <f t="shared" si="90"/>
        <v>191.04289411674887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85.000727334139782</v>
      </c>
      <c r="AV109" s="21">
        <f>EXP(-LN(2)/25)*AV108+(1-EXP(-LN(2)/25))/(LN(2)/25)*Calculateur!AQ109*Calculateur!AS109*VLOOKUP('Données projet'!$B$10,Paramètres!$A$1:$I$89,3,0)*0.475*44/12</f>
        <v>16.639379804383967</v>
      </c>
      <c r="AW109" s="21">
        <f>EXP(-LN(2)/2)*AW108+(1-EXP(-LN(2)/2))/(LN(2)/2)*AQ109*AT109*VLOOKUP('Données projet'!$B$10,Paramètres!$A$1:$I$89,3,0)*0.475*44/12</f>
        <v>4.4142362129975243E-3</v>
      </c>
      <c r="AX109" s="21">
        <f t="shared" si="60"/>
        <v>101.64452137473674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7.882692307692305</v>
      </c>
      <c r="N110" s="13">
        <f>IF('Données projet'!$A$36&gt;35,N109+M110-V109,IF(A110&lt;'Données projet'!$A$36,$K$205^A110,IF(A110='Données projet'!$A$36,'Données projet'!$B$36,N109+M110-V109)))</f>
        <v>397.43461538461611</v>
      </c>
      <c r="O110" s="13">
        <f>N110*VLOOKUP('Données projet'!$B$9,Paramètres!$A$1:$I$89,3,0)*VLOOKUP('Données projet'!$B$9,Paramètres!$A$1:$I$89,5,0)</f>
        <v>185.99940000000032</v>
      </c>
      <c r="P110" s="13">
        <f t="shared" si="87"/>
        <v>46.654384525692834</v>
      </c>
      <c r="Q110" s="20">
        <f t="shared" si="107"/>
        <v>405.20534138224889</v>
      </c>
      <c r="R110" s="59">
        <f t="shared" si="55"/>
        <v>698.53867471558215</v>
      </c>
      <c r="S110" s="59">
        <f ca="1">AVERAGE(OFFSET($R$3,0,0,'Données projet'!$E$9+1,1))-AVERAGE(OFFSET($H$3,0,0,'Données projet'!$E$9+1,1))</f>
        <v>204.77882499755987</v>
      </c>
      <c r="T110" s="59">
        <f t="shared" si="88"/>
        <v>152.46480920430594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49.310718845777856</v>
      </c>
      <c r="AA110" s="21">
        <f>EXP(-LN(2)/25)*AA109+(1-EXP(-LN(2)/25))/(LN(2)/25)*Calculateur!V110*Calculateur!X110*VLOOKUP('Données projet'!$B$9,Paramètres!$A$1:$I$89,3,0)*0.475*44/12</f>
        <v>16.551719130422793</v>
      </c>
      <c r="AB110" s="21">
        <f>EXP(-LN(2)/2)*AB109+(1-EXP(-LN(2)/2))/(LN(2)/2)*V110*Y110*VLOOKUP('Données projet'!$B$9,Paramètres!$A$1:$I$89,3,0)*0.475*44/12</f>
        <v>0.17709992212013526</v>
      </c>
      <c r="AC110" s="22">
        <f t="shared" si="57"/>
        <v>66.039537898320788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-3.4106051316484809E-13</v>
      </c>
      <c r="AJ110" s="13">
        <f>AI110*VLOOKUP('Données projet'!$B$10,Paramètres!$A$1:$I$89,3,0)*VLOOKUP('Données projet'!$B$10,Paramètres!$A$1:$I$89,5,0)</f>
        <v>-2.0395418687257919E-13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237.03649693529445</v>
      </c>
      <c r="AO110" s="59">
        <f t="shared" si="90"/>
        <v>191.04289411674887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83.333914916441671</v>
      </c>
      <c r="AV110" s="21">
        <f>EXP(-LN(2)/25)*AV109+(1-EXP(-LN(2)/25))/(LN(2)/25)*Calculateur!AQ110*Calculateur!AS110*VLOOKUP('Données projet'!$B$10,Paramètres!$A$1:$I$89,3,0)*0.475*44/12</f>
        <v>16.184375088606135</v>
      </c>
      <c r="AW110" s="21">
        <f>EXP(-LN(2)/2)*AW109+(1-EXP(-LN(2)/2))/(LN(2)/2)*AQ110*AT110*VLOOKUP('Données projet'!$B$10,Paramètres!$A$1:$I$89,3,0)*0.475*44/12</f>
        <v>3.1213363599697746E-3</v>
      </c>
      <c r="AX110" s="21">
        <f t="shared" si="60"/>
        <v>99.52141134140777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7.882692307692305</v>
      </c>
      <c r="N111" s="13">
        <f>IF('Données projet'!$A$36&gt;35,N110+M111-V110,IF(A111&lt;'Données projet'!$A$36,$K$205^A111,IF(A111='Données projet'!$A$36,'Données projet'!$B$36,N110+M111-V110)))</f>
        <v>405.31730769230842</v>
      </c>
      <c r="O111" s="13">
        <f>N111*VLOOKUP('Données projet'!$B$9,Paramètres!$A$1:$I$89,3,0)*VLOOKUP('Données projet'!$B$9,Paramètres!$A$1:$I$89,5,0)</f>
        <v>189.68850000000032</v>
      </c>
      <c r="P111" s="13">
        <f t="shared" si="87"/>
        <v>47.471078048734149</v>
      </c>
      <c r="Q111" s="20">
        <f t="shared" si="107"/>
        <v>413.05293176821243</v>
      </c>
      <c r="R111" s="59">
        <f t="shared" si="55"/>
        <v>706.38626510154575</v>
      </c>
      <c r="S111" s="59">
        <f ca="1">AVERAGE(OFFSET($R$3,0,0,'Données projet'!$E$9+1,1))-AVERAGE(OFFSET($H$3,0,0,'Données projet'!$E$9+1,1))</f>
        <v>204.77882499755987</v>
      </c>
      <c r="T111" s="59">
        <f t="shared" si="88"/>
        <v>152.46480920430594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48.343765725780834</v>
      </c>
      <c r="AA111" s="21">
        <f>EXP(-LN(2)/25)*AA110+(1-EXP(-LN(2)/25))/(LN(2)/25)*Calculateur!V111*Calculateur!X111*VLOOKUP('Données projet'!$B$9,Paramètres!$A$1:$I$89,3,0)*0.475*44/12</f>
        <v>16.099111500384303</v>
      </c>
      <c r="AB111" s="21">
        <f>EXP(-LN(2)/2)*AB110+(1-EXP(-LN(2)/2))/(LN(2)/2)*V111*Y111*VLOOKUP('Données projet'!$B$9,Paramètres!$A$1:$I$89,3,0)*0.475*44/12</f>
        <v>0.12522855587875709</v>
      </c>
      <c r="AC111" s="22">
        <f t="shared" si="57"/>
        <v>64.568105782043901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-3.4106051316484809E-13</v>
      </c>
      <c r="AJ111" s="13">
        <f>AI111*VLOOKUP('Données projet'!$B$10,Paramètres!$A$1:$I$89,3,0)*VLOOKUP('Données projet'!$B$10,Paramètres!$A$1:$I$89,5,0)</f>
        <v>-2.0395418687257919E-13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237.03649693529445</v>
      </c>
      <c r="AO111" s="59">
        <f t="shared" si="90"/>
        <v>191.04289411674887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81.699787673599431</v>
      </c>
      <c r="AV111" s="21">
        <f>EXP(-LN(2)/25)*AV110+(1-EXP(-LN(2)/25))/(LN(2)/25)*Calculateur!AQ111*Calculateur!AS111*VLOOKUP('Données projet'!$B$10,Paramètres!$A$1:$I$89,3,0)*0.475*44/12</f>
        <v>15.741812500708905</v>
      </c>
      <c r="AW111" s="21">
        <f>EXP(-LN(2)/2)*AW110+(1-EXP(-LN(2)/2))/(LN(2)/2)*AQ111*AT111*VLOOKUP('Données projet'!$B$10,Paramètres!$A$1:$I$89,3,0)*0.475*44/12</f>
        <v>2.2071181064987622E-3</v>
      </c>
      <c r="AX111" s="21">
        <f t="shared" si="60"/>
        <v>97.443807292414832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413.2</v>
      </c>
      <c r="L112" s="12">
        <f>VLOOKUP(A112,'Données projet'!$A$35:$I$55,9,0)</f>
        <v>7.882692307692305</v>
      </c>
      <c r="M112" s="12">
        <f t="array" ref="M112">INDEX(L:L,MIN(IF(ISNUMBER(L112:L308),ROW(L112:L308),"")))</f>
        <v>7.882692307692305</v>
      </c>
      <c r="N112" s="13">
        <f>IF('Données projet'!$A$36&gt;35,N111+M112-V111,IF(A112&lt;'Données projet'!$A$36,$K$205^A112,IF(A112='Données projet'!$A$36,'Données projet'!$B$36,N111+M112-V111)))</f>
        <v>413.20000000000073</v>
      </c>
      <c r="O112" s="13">
        <f>N112*VLOOKUP('Données projet'!$B$9,Paramètres!$A$1:$I$89,3,0)*VLOOKUP('Données projet'!$B$9,Paramètres!$A$1:$I$89,5,0)</f>
        <v>193.37760000000034</v>
      </c>
      <c r="P112" s="13">
        <f t="shared" si="87"/>
        <v>48.285924733018319</v>
      </c>
      <c r="Q112" s="20">
        <f t="shared" si="107"/>
        <v>420.89730557667417</v>
      </c>
      <c r="R112" s="59">
        <f t="shared" si="55"/>
        <v>714.23063891000743</v>
      </c>
      <c r="S112" s="59">
        <f ca="1">AVERAGE(OFFSET($R$3,0,0,'Données projet'!$E$9+1,1))-AVERAGE(OFFSET($H$3,0,0,'Données projet'!$E$9+1,1))</f>
        <v>204.77882499755987</v>
      </c>
      <c r="T112" s="59">
        <f t="shared" si="88"/>
        <v>152.46480920430594</v>
      </c>
      <c r="U112" s="15">
        <f>IF(ISNA(VLOOKUP(A112,'Données projet'!$A$35:$I$55,3,0)),0,VLOOKUP(A112,'Données projet'!$A$35:$I$55,3,0))</f>
        <v>6</v>
      </c>
      <c r="V112" s="15">
        <f>IF(ISNA(VLOOKUP(A112,'Données projet'!$A$35:$I$55,4,0)),0,VLOOKUP(A112,'Données projet'!$A$35:$I$55,4,0))</f>
        <v>80.653846153846146</v>
      </c>
      <c r="W112" s="16">
        <f>IF(ISNA(VLOOKUP(A112,'Données projet'!$A$35:$I$55,5,0)),0%,VLOOKUP(A112,'Données projet'!$A$35:$I$55,5,0)*VLOOKUP('Données projet'!$B$9,Paramètres!$A$1:$I$89,7,0))</f>
        <v>0.38500000000000001</v>
      </c>
      <c r="X112" s="16">
        <f>IF(ISNA(VLOOKUP(A112,'Données projet'!$A$35:$I$55,6,0)),0%,VLOOKUP(A112,'Données projet'!$A$35:$I$55,6,0)*VLOOKUP('Données projet'!$B$9,Paramètres!$A$1:$I$89,7,0))</f>
        <v>9.240000000000001E-2</v>
      </c>
      <c r="Y112" s="16">
        <f>IF(ISNA(VLOOKUP(A112,'Données projet'!$A$35:$I$55,7,0)),0%,VLOOKUP(A112,'Données projet'!$A$35:$I$55,7,0))</f>
        <v>0.13200000000000001</v>
      </c>
      <c r="Z112" s="21">
        <f>EXP(-LN(2)/35)*Z111+(1-EXP(-LN(2)/35))/(LN(2)/35)*V112*W112*VLOOKUP('Données projet'!$B$9,Paramètres!$A$1:$I$89,3,0)*0.475*44/12</f>
        <v>66.673687211666817</v>
      </c>
      <c r="AA112" s="21">
        <f>EXP(-LN(2)/25)*AA111+(1-EXP(-LN(2)/25))/(LN(2)/25)*Calculateur!V112*Calculateur!X112*VLOOKUP('Données projet'!$B$9,Paramètres!$A$1:$I$89,3,0)*0.475*44/12</f>
        <v>20.267362551009228</v>
      </c>
      <c r="AB112" s="21">
        <f>EXP(-LN(2)/2)*AB111+(1-EXP(-LN(2)/2))/(LN(2)/2)*V112*Y112*VLOOKUP('Données projet'!$B$9,Paramètres!$A$1:$I$89,3,0)*0.475*44/12</f>
        <v>5.7298656809813524</v>
      </c>
      <c r="AC112" s="22">
        <f t="shared" si="57"/>
        <v>92.670915443657393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-3.4106051316484809E-13</v>
      </c>
      <c r="AJ112" s="13">
        <f>AI112*VLOOKUP('Données projet'!$B$10,Paramètres!$A$1:$I$89,3,0)*VLOOKUP('Données projet'!$B$10,Paramètres!$A$1:$I$89,5,0)</f>
        <v>-2.0395418687257919E-13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237.03649693529445</v>
      </c>
      <c r="AO112" s="59">
        <f t="shared" si="90"/>
        <v>191.04289411674887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80.097704669270129</v>
      </c>
      <c r="AV112" s="21">
        <f>EXP(-LN(2)/25)*AV111+(1-EXP(-LN(2)/25))/(LN(2)/25)*Calculateur!AQ112*Calculateur!AS112*VLOOKUP('Données projet'!$B$10,Paramètres!$A$1:$I$89,3,0)*0.475*44/12</f>
        <v>15.311351810051079</v>
      </c>
      <c r="AW112" s="21">
        <f>EXP(-LN(2)/2)*AW111+(1-EXP(-LN(2)/2))/(LN(2)/2)*AQ112*AT112*VLOOKUP('Données projet'!$B$10,Paramètres!$A$1:$I$89,3,0)*0.475*44/12</f>
        <v>1.5606681799848873E-3</v>
      </c>
      <c r="AX112" s="21">
        <f t="shared" si="60"/>
        <v>95.410617147501199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7.0884615384615346</v>
      </c>
      <c r="N113" s="13">
        <f>IF('Données projet'!$A$36&gt;35,N112+M113-V112,IF(A113&lt;'Données projet'!$A$36,$K$205^A113,IF(A113='Données projet'!$A$36,'Données projet'!$B$36,N112+M113-V112)))</f>
        <v>339.63461538461615</v>
      </c>
      <c r="O113" s="13">
        <f>N113*VLOOKUP('Données projet'!$B$9,Paramètres!$A$1:$I$89,3,0)*VLOOKUP('Données projet'!$B$9,Paramètres!$A$1:$I$89,5,0)</f>
        <v>158.94900000000035</v>
      </c>
      <c r="P113" s="13">
        <f t="shared" si="87"/>
        <v>40.605368573899682</v>
      </c>
      <c r="Q113" s="20">
        <f t="shared" si="107"/>
        <v>347.55719193287587</v>
      </c>
      <c r="R113" s="59">
        <f t="shared" si="55"/>
        <v>640.89052526620912</v>
      </c>
      <c r="S113" s="59">
        <f ca="1">AVERAGE(OFFSET($R$3,0,0,'Données projet'!$E$9+1,1))-AVERAGE(OFFSET($H$3,0,0,'Données projet'!$E$9+1,1))</f>
        <v>204.77882499755987</v>
      </c>
      <c r="T113" s="59">
        <f t="shared" si="88"/>
        <v>152.46480920430594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65.366256872379708</v>
      </c>
      <c r="AA113" s="21">
        <f>EXP(-LN(2)/25)*AA112+(1-EXP(-LN(2)/25))/(LN(2)/25)*Calculateur!V113*Calculateur!X113*VLOOKUP('Données projet'!$B$9,Paramètres!$A$1:$I$89,3,0)*0.475*44/12</f>
        <v>19.713150456237607</v>
      </c>
      <c r="AB113" s="21">
        <f>EXP(-LN(2)/2)*AB112+(1-EXP(-LN(2)/2))/(LN(2)/2)*V113*Y113*VLOOKUP('Données projet'!$B$9,Paramètres!$A$1:$I$89,3,0)*0.475*44/12</f>
        <v>4.0516268783099898</v>
      </c>
      <c r="AC113" s="22">
        <f t="shared" si="57"/>
        <v>89.13103420692731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-3.4106051316484809E-13</v>
      </c>
      <c r="AJ113" s="13">
        <f>AI113*VLOOKUP('Données projet'!$B$10,Paramètres!$A$1:$I$89,3,0)*VLOOKUP('Données projet'!$B$10,Paramètres!$A$1:$I$89,5,0)</f>
        <v>-2.0395418687257919E-13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237.03649693529445</v>
      </c>
      <c r="AO113" s="59">
        <f t="shared" si="90"/>
        <v>191.04289411674887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78.527037535481583</v>
      </c>
      <c r="AV113" s="21">
        <f>EXP(-LN(2)/25)*AV112+(1-EXP(-LN(2)/25))/(LN(2)/25)*Calculateur!AQ113*Calculateur!AS113*VLOOKUP('Données projet'!$B$10,Paramètres!$A$1:$I$89,3,0)*0.475*44/12</f>
        <v>14.892662089616234</v>
      </c>
      <c r="AW113" s="21">
        <f>EXP(-LN(2)/2)*AW112+(1-EXP(-LN(2)/2))/(LN(2)/2)*AQ113*AT113*VLOOKUP('Données projet'!$B$10,Paramètres!$A$1:$I$89,3,0)*0.475*44/12</f>
        <v>1.1035590532493811E-3</v>
      </c>
      <c r="AX113" s="21">
        <f t="shared" si="60"/>
        <v>93.420803184151069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7.0884615384615346</v>
      </c>
      <c r="N114" s="13">
        <f>IF('Données projet'!$A$36&gt;35,N113+M114-V113,IF(A114&lt;'Données projet'!$A$36,$K$205^A114,IF(A114='Données projet'!$A$36,'Données projet'!$B$36,N113+M114-V113)))</f>
        <v>346.72307692307771</v>
      </c>
      <c r="O114" s="13">
        <f>N114*VLOOKUP('Données projet'!$B$9,Paramètres!$A$1:$I$89,3,0)*VLOOKUP('Données projet'!$B$9,Paramètres!$A$1:$I$89,5,0)</f>
        <v>162.26640000000037</v>
      </c>
      <c r="P114" s="13">
        <f t="shared" si="87"/>
        <v>41.35328902901945</v>
      </c>
      <c r="Q114" s="20">
        <f t="shared" si="107"/>
        <v>354.63762505887615</v>
      </c>
      <c r="R114" s="59">
        <f t="shared" si="55"/>
        <v>647.97095839220947</v>
      </c>
      <c r="S114" s="59">
        <f ca="1">AVERAGE(OFFSET($R$3,0,0,'Données projet'!$E$9+1,1))-AVERAGE(OFFSET($H$3,0,0,'Données projet'!$E$9+1,1))</f>
        <v>204.77882499755987</v>
      </c>
      <c r="T114" s="59">
        <f t="shared" si="88"/>
        <v>152.46480920430594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64.084464444592257</v>
      </c>
      <c r="AA114" s="21">
        <f>EXP(-LN(2)/25)*AA113+(1-EXP(-LN(2)/25))/(LN(2)/25)*Calculateur!V114*Calculateur!X114*VLOOKUP('Données projet'!$B$9,Paramètres!$A$1:$I$89,3,0)*0.475*44/12</f>
        <v>19.174093320342262</v>
      </c>
      <c r="AB114" s="21">
        <f>EXP(-LN(2)/2)*AB113+(1-EXP(-LN(2)/2))/(LN(2)/2)*V114*Y114*VLOOKUP('Données projet'!$B$9,Paramètres!$A$1:$I$89,3,0)*0.475*44/12</f>
        <v>2.8649328404906766</v>
      </c>
      <c r="AC114" s="22">
        <f t="shared" si="57"/>
        <v>86.123490605425204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-3.4106051316484809E-13</v>
      </c>
      <c r="AJ114" s="13">
        <f>AI114*VLOOKUP('Données projet'!$B$10,Paramètres!$A$1:$I$89,3,0)*VLOOKUP('Données projet'!$B$10,Paramètres!$A$1:$I$89,5,0)</f>
        <v>-2.0395418687257919E-13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237.03649693529445</v>
      </c>
      <c r="AO114" s="59">
        <f t="shared" si="90"/>
        <v>191.04289411674887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76.987170226174271</v>
      </c>
      <c r="AV114" s="21">
        <f>EXP(-LN(2)/25)*AV113+(1-EXP(-LN(2)/25))/(LN(2)/25)*Calculateur!AQ114*Calculateur!AS114*VLOOKUP('Données projet'!$B$10,Paramètres!$A$1:$I$89,3,0)*0.475*44/12</f>
        <v>14.485421461604616</v>
      </c>
      <c r="AW114" s="21">
        <f>EXP(-LN(2)/2)*AW113+(1-EXP(-LN(2)/2))/(LN(2)/2)*AQ114*AT114*VLOOKUP('Données projet'!$B$10,Paramètres!$A$1:$I$89,3,0)*0.475*44/12</f>
        <v>7.8033408999244366E-4</v>
      </c>
      <c r="AX114" s="21">
        <f t="shared" si="60"/>
        <v>91.473372021868883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7.0884615384615346</v>
      </c>
      <c r="N115" s="13">
        <f>IF('Données projet'!$A$36&gt;35,N114+M115-V114,IF(A115&lt;'Données projet'!$A$36,$K$205^A115,IF(A115='Données projet'!$A$36,'Données projet'!$B$36,N114+M115-V114)))</f>
        <v>353.81153846153927</v>
      </c>
      <c r="O115" s="13">
        <f>N115*VLOOKUP('Données projet'!$B$9,Paramètres!$A$1:$I$89,3,0)*VLOOKUP('Données projet'!$B$9,Paramètres!$A$1:$I$89,5,0)</f>
        <v>165.58380000000037</v>
      </c>
      <c r="P115" s="13">
        <f t="shared" si="87"/>
        <v>42.099431642932551</v>
      </c>
      <c r="Q115" s="20">
        <f t="shared" si="107"/>
        <v>361.71496177810815</v>
      </c>
      <c r="R115" s="59">
        <f t="shared" si="55"/>
        <v>655.04829511144146</v>
      </c>
      <c r="S115" s="59">
        <f ca="1">AVERAGE(OFFSET($R$3,0,0,'Données projet'!$E$9+1,1))-AVERAGE(OFFSET($H$3,0,0,'Données projet'!$E$9+1,1))</f>
        <v>204.77882499755987</v>
      </c>
      <c r="T115" s="59">
        <f t="shared" si="88"/>
        <v>152.46480920430594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62.82780718449753</v>
      </c>
      <c r="AA115" s="21">
        <f>EXP(-LN(2)/25)*AA114+(1-EXP(-LN(2)/25))/(LN(2)/25)*Calculateur!V115*Calculateur!X115*VLOOKUP('Données projet'!$B$9,Paramètres!$A$1:$I$89,3,0)*0.475*44/12</f>
        <v>18.649776730175759</v>
      </c>
      <c r="AB115" s="21">
        <f>EXP(-LN(2)/2)*AB114+(1-EXP(-LN(2)/2))/(LN(2)/2)*V115*Y115*VLOOKUP('Données projet'!$B$9,Paramètres!$A$1:$I$89,3,0)*0.475*44/12</f>
        <v>2.0258134391549949</v>
      </c>
      <c r="AC115" s="22">
        <f t="shared" si="57"/>
        <v>83.503397353828291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-3.4106051316484809E-13</v>
      </c>
      <c r="AJ115" s="13">
        <f>AI115*VLOOKUP('Données projet'!$B$10,Paramètres!$A$1:$I$89,3,0)*VLOOKUP('Données projet'!$B$10,Paramètres!$A$1:$I$89,5,0)</f>
        <v>-2.0395418687257919E-13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237.03649693529445</v>
      </c>
      <c r="AO115" s="59">
        <f t="shared" si="90"/>
        <v>191.04289411674887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75.477498775576166</v>
      </c>
      <c r="AV115" s="21">
        <f>EXP(-LN(2)/25)*AV114+(1-EXP(-LN(2)/25))/(LN(2)/25)*Calculateur!AQ115*Calculateur!AS115*VLOOKUP('Données projet'!$B$10,Paramètres!$A$1:$I$89,3,0)*0.475*44/12</f>
        <v>14.089316849981831</v>
      </c>
      <c r="AW115" s="21">
        <f>EXP(-LN(2)/2)*AW114+(1-EXP(-LN(2)/2))/(LN(2)/2)*AQ115*AT115*VLOOKUP('Données projet'!$B$10,Paramètres!$A$1:$I$89,3,0)*0.475*44/12</f>
        <v>5.5177952662469054E-4</v>
      </c>
      <c r="AX115" s="21">
        <f t="shared" si="60"/>
        <v>89.567367405084624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7.0884615384615346</v>
      </c>
      <c r="N116" s="13">
        <f>IF('Données projet'!$A$36&gt;35,N115+M116-V115,IF(A116&lt;'Données projet'!$A$36,$K$205^A116,IF(A116='Données projet'!$A$36,'Données projet'!$B$36,N115+M116-V115)))</f>
        <v>360.90000000000083</v>
      </c>
      <c r="O116" s="13">
        <f>N116*VLOOKUP('Données projet'!$B$9,Paramètres!$A$1:$I$89,3,0)*VLOOKUP('Données projet'!$B$9,Paramètres!$A$1:$I$89,5,0)</f>
        <v>168.90120000000039</v>
      </c>
      <c r="P116" s="13">
        <f t="shared" si="87"/>
        <v>42.843836138922327</v>
      </c>
      <c r="Q116" s="20">
        <f t="shared" si="107"/>
        <v>368.78927127529045</v>
      </c>
      <c r="R116" s="59">
        <f t="shared" si="55"/>
        <v>662.12260460862376</v>
      </c>
      <c r="S116" s="59">
        <f ca="1">AVERAGE(OFFSET($R$3,0,0,'Données projet'!$E$9+1,1))-AVERAGE(OFFSET($H$3,0,0,'Données projet'!$E$9+1,1))</f>
        <v>204.77882499755987</v>
      </c>
      <c r="T116" s="59">
        <f t="shared" si="88"/>
        <v>152.46480920430594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61.595792206788012</v>
      </c>
      <c r="AA116" s="21">
        <f>EXP(-LN(2)/25)*AA115+(1-EXP(-LN(2)/25))/(LN(2)/25)*Calculateur!V116*Calculateur!X116*VLOOKUP('Données projet'!$B$9,Paramètres!$A$1:$I$89,3,0)*0.475*44/12</f>
        <v>18.139797604739968</v>
      </c>
      <c r="AB116" s="21">
        <f>EXP(-LN(2)/2)*AB115+(1-EXP(-LN(2)/2))/(LN(2)/2)*V116*Y116*VLOOKUP('Données projet'!$B$9,Paramètres!$A$1:$I$89,3,0)*0.475*44/12</f>
        <v>1.4324664202453383</v>
      </c>
      <c r="AC116" s="22">
        <f t="shared" si="57"/>
        <v>81.168056231773306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-3.4106051316484809E-13</v>
      </c>
      <c r="AJ116" s="13">
        <f>AI116*VLOOKUP('Données projet'!$B$10,Paramètres!$A$1:$I$89,3,0)*VLOOKUP('Données projet'!$B$10,Paramètres!$A$1:$I$89,5,0)</f>
        <v>-2.0395418687257919E-13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237.03649693529445</v>
      </c>
      <c r="AO116" s="59">
        <f t="shared" si="90"/>
        <v>191.04289411674887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73.997431061315623</v>
      </c>
      <c r="AV116" s="21">
        <f>EXP(-LN(2)/25)*AV115+(1-EXP(-LN(2)/25))/(LN(2)/25)*Calculateur!AQ116*Calculateur!AS116*VLOOKUP('Données projet'!$B$10,Paramètres!$A$1:$I$89,3,0)*0.475*44/12</f>
        <v>13.704043739794106</v>
      </c>
      <c r="AW116" s="21">
        <f>EXP(-LN(2)/2)*AW115+(1-EXP(-LN(2)/2))/(LN(2)/2)*AQ116*AT116*VLOOKUP('Données projet'!$B$10,Paramètres!$A$1:$I$89,3,0)*0.475*44/12</f>
        <v>3.9016704499622183E-4</v>
      </c>
      <c r="AX116" s="21">
        <f t="shared" si="60"/>
        <v>87.701864968154723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7.0884615384615346</v>
      </c>
      <c r="N117" s="13">
        <f>IF('Données projet'!$A$36&gt;35,N116+M117-V116,IF(A117&lt;'Données projet'!$A$36,$K$205^A117,IF(A117='Données projet'!$A$36,'Données projet'!$B$36,N116+M117-V116)))</f>
        <v>367.98846153846239</v>
      </c>
      <c r="O117" s="13">
        <f>N117*VLOOKUP('Données projet'!$B$9,Paramètres!$A$1:$I$89,3,0)*VLOOKUP('Données projet'!$B$9,Paramètres!$A$1:$I$89,5,0)</f>
        <v>172.21860000000038</v>
      </c>
      <c r="P117" s="13">
        <f t="shared" si="87"/>
        <v>43.586540590608692</v>
      </c>
      <c r="Q117" s="20">
        <f t="shared" si="107"/>
        <v>375.86061986197745</v>
      </c>
      <c r="R117" s="59">
        <f t="shared" si="55"/>
        <v>669.19395319531077</v>
      </c>
      <c r="S117" s="59">
        <f ca="1">AVERAGE(OFFSET($R$3,0,0,'Données projet'!$E$9+1,1))-AVERAGE(OFFSET($H$3,0,0,'Données projet'!$E$9+1,1))</f>
        <v>204.77882499755987</v>
      </c>
      <c r="T117" s="59">
        <f t="shared" si="88"/>
        <v>152.46480920430594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60.387936291336445</v>
      </c>
      <c r="AA117" s="21">
        <f>EXP(-LN(2)/25)*AA116+(1-EXP(-LN(2)/25))/(LN(2)/25)*Calculateur!V117*Calculateur!X117*VLOOKUP('Données projet'!$B$9,Paramètres!$A$1:$I$89,3,0)*0.475*44/12</f>
        <v>17.643763885307855</v>
      </c>
      <c r="AB117" s="21">
        <f>EXP(-LN(2)/2)*AB116+(1-EXP(-LN(2)/2))/(LN(2)/2)*V117*Y117*VLOOKUP('Données projet'!$B$9,Paramètres!$A$1:$I$89,3,0)*0.475*44/12</f>
        <v>1.0129067195774974</v>
      </c>
      <c r="AC117" s="22">
        <f t="shared" si="57"/>
        <v>79.044606896221808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-3.4106051316484809E-13</v>
      </c>
      <c r="AJ117" s="13">
        <f>AI117*VLOOKUP('Données projet'!$B$10,Paramètres!$A$1:$I$89,3,0)*VLOOKUP('Données projet'!$B$10,Paramètres!$A$1:$I$89,5,0)</f>
        <v>-2.0395418687257919E-13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237.03649693529445</v>
      </c>
      <c r="AO117" s="59">
        <f t="shared" si="90"/>
        <v>191.04289411674887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72.546386572179557</v>
      </c>
      <c r="AV117" s="21">
        <f>EXP(-LN(2)/25)*AV116+(1-EXP(-LN(2)/25))/(LN(2)/25)*Calculateur!AQ117*Calculateur!AS117*VLOOKUP('Données projet'!$B$10,Paramètres!$A$1:$I$89,3,0)*0.475*44/12</f>
        <v>13.329305943065096</v>
      </c>
      <c r="AW117" s="21">
        <f>EXP(-LN(2)/2)*AW116+(1-EXP(-LN(2)/2))/(LN(2)/2)*AQ117*AT117*VLOOKUP('Données projet'!$B$10,Paramètres!$A$1:$I$89,3,0)*0.475*44/12</f>
        <v>2.7588976331234527E-4</v>
      </c>
      <c r="AX117" s="21">
        <f t="shared" si="60"/>
        <v>85.875968405007967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7.0884615384615346</v>
      </c>
      <c r="N118" s="13">
        <f>IF('Données projet'!$A$36&gt;35,N117+M118-V117,IF(A118&lt;'Données projet'!$A$36,$K$205^A118,IF(A118='Données projet'!$A$36,'Données projet'!$B$36,N117+M118-V117)))</f>
        <v>375.07692307692395</v>
      </c>
      <c r="O118" s="13">
        <f>N118*VLOOKUP('Données projet'!$B$9,Paramètres!$A$1:$I$89,3,0)*VLOOKUP('Données projet'!$B$9,Paramètres!$A$1:$I$89,5,0)</f>
        <v>175.5360000000004</v>
      </c>
      <c r="P118" s="13">
        <f t="shared" si="87"/>
        <v>44.327581520891201</v>
      </c>
      <c r="Q118" s="20">
        <f t="shared" si="107"/>
        <v>382.92907114888618</v>
      </c>
      <c r="R118" s="59">
        <f t="shared" si="55"/>
        <v>676.26240448221949</v>
      </c>
      <c r="S118" s="59">
        <f ca="1">AVERAGE(OFFSET($R$3,0,0,'Données projet'!$E$9+1,1))-AVERAGE(OFFSET($H$3,0,0,'Données projet'!$E$9+1,1))</f>
        <v>204.77882499755987</v>
      </c>
      <c r="T118" s="59">
        <f t="shared" si="88"/>
        <v>152.46480920430594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59.203765693667521</v>
      </c>
      <c r="AA118" s="21">
        <f>EXP(-LN(2)/25)*AA117+(1-EXP(-LN(2)/25))/(LN(2)/25)*Calculateur!V118*Calculateur!X118*VLOOKUP('Données projet'!$B$9,Paramètres!$A$1:$I$89,3,0)*0.475*44/12</f>
        <v>17.161294234018893</v>
      </c>
      <c r="AB118" s="21">
        <f>EXP(-LN(2)/2)*AB117+(1-EXP(-LN(2)/2))/(LN(2)/2)*V118*Y118*VLOOKUP('Données projet'!$B$9,Paramètres!$A$1:$I$89,3,0)*0.475*44/12</f>
        <v>0.71623321012266916</v>
      </c>
      <c r="AC118" s="22">
        <f t="shared" si="57"/>
        <v>77.081293137809084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-3.4106051316484809E-13</v>
      </c>
      <c r="AJ118" s="13">
        <f>AI118*VLOOKUP('Données projet'!$B$10,Paramètres!$A$1:$I$89,3,0)*VLOOKUP('Données projet'!$B$10,Paramètres!$A$1:$I$89,5,0)</f>
        <v>-2.0395418687257919E-13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237.03649693529445</v>
      </c>
      <c r="AO118" s="59">
        <f t="shared" si="90"/>
        <v>191.04289411674887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71.1237961804257</v>
      </c>
      <c r="AV118" s="21">
        <f>EXP(-LN(2)/25)*AV117+(1-EXP(-LN(2)/25))/(LN(2)/25)*Calculateur!AQ118*Calculateur!AS118*VLOOKUP('Données projet'!$B$10,Paramètres!$A$1:$I$89,3,0)*0.475*44/12</f>
        <v>12.964815371094247</v>
      </c>
      <c r="AW118" s="21">
        <f>EXP(-LN(2)/2)*AW117+(1-EXP(-LN(2)/2))/(LN(2)/2)*AQ118*AT118*VLOOKUP('Données projet'!$B$10,Paramètres!$A$1:$I$89,3,0)*0.475*44/12</f>
        <v>1.9508352249811091E-4</v>
      </c>
      <c r="AX118" s="21">
        <f t="shared" si="60"/>
        <v>84.088806635042445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7.0884615384615346</v>
      </c>
      <c r="N119" s="13">
        <f>IF('Données projet'!$A$36&gt;35,N118+M119-V118,IF(A119&lt;'Données projet'!$A$36,$K$205^A119,IF(A119='Données projet'!$A$36,'Données projet'!$B$36,N118+M119-V118)))</f>
        <v>382.16538461538551</v>
      </c>
      <c r="O119" s="13">
        <f>N119*VLOOKUP('Données projet'!$B$9,Paramètres!$A$1:$I$89,3,0)*VLOOKUP('Données projet'!$B$9,Paramètres!$A$1:$I$89,5,0)</f>
        <v>178.85340000000042</v>
      </c>
      <c r="P119" s="13">
        <f t="shared" si="87"/>
        <v>45.066993993201848</v>
      </c>
      <c r="Q119" s="20">
        <f t="shared" si="107"/>
        <v>389.99468620482725</v>
      </c>
      <c r="R119" s="59">
        <f t="shared" si="55"/>
        <v>683.32801953816056</v>
      </c>
      <c r="S119" s="59">
        <f ca="1">AVERAGE(OFFSET($R$3,0,0,'Données projet'!$E$9+1,1))-AVERAGE(OFFSET($H$3,0,0,'Données projet'!$E$9+1,1))</f>
        <v>204.77882499755987</v>
      </c>
      <c r="T119" s="59">
        <f t="shared" si="88"/>
        <v>152.46480920430594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58.042815959146132</v>
      </c>
      <c r="AA119" s="21">
        <f>EXP(-LN(2)/25)*AA118+(1-EXP(-LN(2)/25))/(LN(2)/25)*Calculateur!V119*Calculateur!X119*VLOOKUP('Données projet'!$B$9,Paramètres!$A$1:$I$89,3,0)*0.475*44/12</f>
        <v>16.692017740716405</v>
      </c>
      <c r="AB119" s="21">
        <f>EXP(-LN(2)/2)*AB118+(1-EXP(-LN(2)/2))/(LN(2)/2)*V119*Y119*VLOOKUP('Données projet'!$B$9,Paramètres!$A$1:$I$89,3,0)*0.475*44/12</f>
        <v>0.50645335978874872</v>
      </c>
      <c r="AC119" s="22">
        <f t="shared" si="57"/>
        <v>75.241287059651285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-3.4106051316484809E-13</v>
      </c>
      <c r="AJ119" s="13">
        <f>AI119*VLOOKUP('Données projet'!$B$10,Paramètres!$A$1:$I$89,3,0)*VLOOKUP('Données projet'!$B$10,Paramètres!$A$1:$I$89,5,0)</f>
        <v>-2.0395418687257919E-13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237.03649693529445</v>
      </c>
      <c r="AO119" s="59">
        <f t="shared" si="90"/>
        <v>191.04289411674887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69.729101918559678</v>
      </c>
      <c r="AV119" s="21">
        <f>EXP(-LN(2)/25)*AV118+(1-EXP(-LN(2)/25))/(LN(2)/25)*Calculateur!AQ119*Calculateur!AS119*VLOOKUP('Données projet'!$B$10,Paramètres!$A$1:$I$89,3,0)*0.475*44/12</f>
        <v>12.610291812981666</v>
      </c>
      <c r="AW119" s="21">
        <f>EXP(-LN(2)/2)*AW118+(1-EXP(-LN(2)/2))/(LN(2)/2)*AQ119*AT119*VLOOKUP('Données projet'!$B$10,Paramètres!$A$1:$I$89,3,0)*0.475*44/12</f>
        <v>1.3794488165617264E-4</v>
      </c>
      <c r="AX119" s="21">
        <f t="shared" si="60"/>
        <v>82.339531676423007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7.0884615384615346</v>
      </c>
      <c r="N120" s="13">
        <f>IF('Données projet'!$A$36&gt;35,N119+M120-V119,IF(A120&lt;'Données projet'!$A$36,$K$205^A120,IF(A120='Données projet'!$A$36,'Données projet'!$B$36,N119+M120-V119)))</f>
        <v>389.25384615384706</v>
      </c>
      <c r="O120" s="13">
        <f>N120*VLOOKUP('Données projet'!$B$9,Paramètres!$A$1:$I$89,3,0)*VLOOKUP('Données projet'!$B$9,Paramètres!$A$1:$I$89,5,0)</f>
        <v>182.17080000000044</v>
      </c>
      <c r="P120" s="13">
        <f t="shared" si="87"/>
        <v>45.804811695795308</v>
      </c>
      <c r="Q120" s="20">
        <f t="shared" si="107"/>
        <v>397.05752370351092</v>
      </c>
      <c r="R120" s="59">
        <f t="shared" si="55"/>
        <v>690.39085703684418</v>
      </c>
      <c r="S120" s="59">
        <f ca="1">AVERAGE(OFFSET($R$3,0,0,'Données projet'!$E$9+1,1))-AVERAGE(OFFSET($H$3,0,0,'Données projet'!$E$9+1,1))</f>
        <v>204.77882499755987</v>
      </c>
      <c r="T120" s="59">
        <f t="shared" si="88"/>
        <v>152.46480920430594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56.904631740809293</v>
      </c>
      <c r="AA120" s="21">
        <f>EXP(-LN(2)/25)*AA119+(1-EXP(-LN(2)/25))/(LN(2)/25)*Calculateur!V120*Calculateur!X120*VLOOKUP('Données projet'!$B$9,Paramètres!$A$1:$I$89,3,0)*0.475*44/12</f>
        <v>16.235573637801451</v>
      </c>
      <c r="AB120" s="21">
        <f>EXP(-LN(2)/2)*AB119+(1-EXP(-LN(2)/2))/(LN(2)/2)*V120*Y120*VLOOKUP('Données projet'!$B$9,Paramètres!$A$1:$I$89,3,0)*0.475*44/12</f>
        <v>0.35811660506133458</v>
      </c>
      <c r="AC120" s="22">
        <f t="shared" si="57"/>
        <v>73.498321983672085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-3.4106051316484809E-13</v>
      </c>
      <c r="AJ120" s="13">
        <f>AI120*VLOOKUP('Données projet'!$B$10,Paramètres!$A$1:$I$89,3,0)*VLOOKUP('Données projet'!$B$10,Paramètres!$A$1:$I$89,5,0)</f>
        <v>-2.0395418687257919E-13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237.03649693529445</v>
      </c>
      <c r="AO120" s="59">
        <f t="shared" si="90"/>
        <v>191.04289411674887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68.361756760489357</v>
      </c>
      <c r="AV120" s="21">
        <f>EXP(-LN(2)/25)*AV119+(1-EXP(-LN(2)/25))/(LN(2)/25)*Calculateur!AQ120*Calculateur!AS120*VLOOKUP('Données projet'!$B$10,Paramètres!$A$1:$I$89,3,0)*0.475*44/12</f>
        <v>12.265462720209257</v>
      </c>
      <c r="AW120" s="21">
        <f>EXP(-LN(2)/2)*AW119+(1-EXP(-LN(2)/2))/(LN(2)/2)*AQ120*AT120*VLOOKUP('Données projet'!$B$10,Paramètres!$A$1:$I$89,3,0)*0.475*44/12</f>
        <v>9.7541761249055457E-5</v>
      </c>
      <c r="AX120" s="21">
        <f t="shared" si="60"/>
        <v>80.627317022459863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7.0884615384615346</v>
      </c>
      <c r="N121" s="13">
        <f>IF('Données projet'!$A$36&gt;35,N120+M121-V120,IF(A121&lt;'Données projet'!$A$36,$K$205^A121,IF(A121='Données projet'!$A$36,'Données projet'!$B$36,N120+M121-V120)))</f>
        <v>396.34230769230862</v>
      </c>
      <c r="O121" s="13">
        <f>N121*VLOOKUP('Données projet'!$B$9,Paramètres!$A$1:$I$89,3,0)*VLOOKUP('Données projet'!$B$9,Paramètres!$A$1:$I$89,5,0)</f>
        <v>185.48820000000043</v>
      </c>
      <c r="P121" s="13">
        <f t="shared" si="87"/>
        <v>46.541067019726086</v>
      </c>
      <c r="Q121" s="20">
        <f t="shared" si="107"/>
        <v>404.11764005935697</v>
      </c>
      <c r="R121" s="59">
        <f t="shared" si="55"/>
        <v>697.45097339269023</v>
      </c>
      <c r="S121" s="59">
        <f ca="1">AVERAGE(OFFSET($R$3,0,0,'Données projet'!$E$9+1,1))-AVERAGE(OFFSET($H$3,0,0,'Données projet'!$E$9+1,1))</f>
        <v>204.77882499755987</v>
      </c>
      <c r="T121" s="59">
        <f t="shared" si="88"/>
        <v>152.46480920430594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55.788766620770218</v>
      </c>
      <c r="AA121" s="21">
        <f>EXP(-LN(2)/25)*AA120+(1-EXP(-LN(2)/25))/(LN(2)/25)*Calculateur!V121*Calculateur!X121*VLOOKUP('Données projet'!$B$9,Paramètres!$A$1:$I$89,3,0)*0.475*44/12</f>
        <v>15.79161102288406</v>
      </c>
      <c r="AB121" s="21">
        <f>EXP(-LN(2)/2)*AB120+(1-EXP(-LN(2)/2))/(LN(2)/2)*V121*Y121*VLOOKUP('Données projet'!$B$9,Paramètres!$A$1:$I$89,3,0)*0.475*44/12</f>
        <v>0.25322667989437436</v>
      </c>
      <c r="AC121" s="22">
        <f t="shared" si="57"/>
        <v>71.833604323548641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-3.4106051316484809E-13</v>
      </c>
      <c r="AJ121" s="13">
        <f>AI121*VLOOKUP('Données projet'!$B$10,Paramètres!$A$1:$I$89,3,0)*VLOOKUP('Données projet'!$B$10,Paramètres!$A$1:$I$89,5,0)</f>
        <v>-2.0395418687257919E-13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237.03649693529445</v>
      </c>
      <c r="AO121" s="59">
        <f t="shared" si="90"/>
        <v>191.04289411674887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67.021224406970589</v>
      </c>
      <c r="AV121" s="21">
        <f>EXP(-LN(2)/25)*AV120+(1-EXP(-LN(2)/25))/(LN(2)/25)*Calculateur!AQ121*Calculateur!AS121*VLOOKUP('Données projet'!$B$10,Paramètres!$A$1:$I$89,3,0)*0.475*44/12</f>
        <v>11.930062997112483</v>
      </c>
      <c r="AW121" s="21">
        <f>EXP(-LN(2)/2)*AW120+(1-EXP(-LN(2)/2))/(LN(2)/2)*AQ121*AT121*VLOOKUP('Données projet'!$B$10,Paramètres!$A$1:$I$89,3,0)*0.475*44/12</f>
        <v>6.8972440828086318E-5</v>
      </c>
      <c r="AX121" s="21">
        <f t="shared" si="60"/>
        <v>78.951356376523904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7.0884615384615346</v>
      </c>
      <c r="N122" s="13">
        <f>IF('Données projet'!$A$36&gt;35,N121+M122-V121,IF(A122&lt;'Données projet'!$A$36,$K$205^A122,IF(A122='Données projet'!$A$36,'Données projet'!$B$36,N121+M122-V121)))</f>
        <v>403.43076923077018</v>
      </c>
      <c r="O122" s="13">
        <f>N122*VLOOKUP('Données projet'!$B$9,Paramètres!$A$1:$I$89,3,0)*VLOOKUP('Données projet'!$B$9,Paramètres!$A$1:$I$89,5,0)</f>
        <v>188.80560000000045</v>
      </c>
      <c r="P122" s="13">
        <f t="shared" si="87"/>
        <v>47.275791131089136</v>
      </c>
      <c r="Q122" s="20">
        <f t="shared" si="107"/>
        <v>411.17508955331436</v>
      </c>
      <c r="R122" s="59">
        <f t="shared" si="55"/>
        <v>704.50842288664762</v>
      </c>
      <c r="S122" s="59">
        <f ca="1">AVERAGE(OFFSET($R$3,0,0,'Données projet'!$E$9+1,1))-AVERAGE(OFFSET($H$3,0,0,'Données projet'!$E$9+1,1))</f>
        <v>204.77882499755987</v>
      </c>
      <c r="T122" s="59">
        <f t="shared" si="88"/>
        <v>152.46480920430594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54.694782935124586</v>
      </c>
      <c r="AA122" s="21">
        <f>EXP(-LN(2)/25)*AA121+(1-EXP(-LN(2)/25))/(LN(2)/25)*Calculateur!V122*Calculateur!X122*VLOOKUP('Données projet'!$B$9,Paramètres!$A$1:$I$89,3,0)*0.475*44/12</f>
        <v>15.359788589018564</v>
      </c>
      <c r="AB122" s="21">
        <f>EXP(-LN(2)/2)*AB121+(1-EXP(-LN(2)/2))/(LN(2)/2)*V122*Y122*VLOOKUP('Données projet'!$B$9,Paramètres!$A$1:$I$89,3,0)*0.475*44/12</f>
        <v>0.17905830253066729</v>
      </c>
      <c r="AC122" s="22">
        <f t="shared" si="57"/>
        <v>70.233629826673805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-3.4106051316484809E-13</v>
      </c>
      <c r="AJ122" s="13">
        <f>AI122*VLOOKUP('Données projet'!$B$10,Paramètres!$A$1:$I$89,3,0)*VLOOKUP('Données projet'!$B$10,Paramètres!$A$1:$I$89,5,0)</f>
        <v>-2.0395418687257919E-13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237.03649693529445</v>
      </c>
      <c r="AO122" s="59">
        <f t="shared" si="90"/>
        <v>191.04289411674887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65.706979075260321</v>
      </c>
      <c r="AV122" s="21">
        <f>EXP(-LN(2)/25)*AV121+(1-EXP(-LN(2)/25))/(LN(2)/25)*Calculateur!AQ122*Calculateur!AS122*VLOOKUP('Données projet'!$B$10,Paramètres!$A$1:$I$89,3,0)*0.475*44/12</f>
        <v>11.603834797081696</v>
      </c>
      <c r="AW122" s="21">
        <f>EXP(-LN(2)/2)*AW121+(1-EXP(-LN(2)/2))/(LN(2)/2)*AQ122*AT122*VLOOKUP('Données projet'!$B$10,Paramètres!$A$1:$I$89,3,0)*0.475*44/12</f>
        <v>4.8770880624527729E-5</v>
      </c>
      <c r="AX122" s="21">
        <f t="shared" si="60"/>
        <v>77.310862643222634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7.0884615384615346</v>
      </c>
      <c r="N123" s="13">
        <f>IF('Données projet'!$A$36&gt;35,N122+M123-V122,IF(A123&lt;'Données projet'!$A$36,$K$205^A123,IF(A123='Données projet'!$A$36,'Données projet'!$B$36,N122+M123-V122)))</f>
        <v>410.51923076923174</v>
      </c>
      <c r="O123" s="13">
        <f>N123*VLOOKUP('Données projet'!$B$9,Paramètres!$A$1:$I$89,3,0)*VLOOKUP('Données projet'!$B$9,Paramètres!$A$1:$I$89,5,0)</f>
        <v>192.12300000000045</v>
      </c>
      <c r="P123" s="13">
        <f t="shared" si="87"/>
        <v>48.009014038039808</v>
      </c>
      <c r="Q123" s="20">
        <f t="shared" si="107"/>
        <v>418.2299244495868</v>
      </c>
      <c r="R123" s="59">
        <f t="shared" si="55"/>
        <v>711.56325778292012</v>
      </c>
      <c r="S123" s="59">
        <f ca="1">AVERAGE(OFFSET($R$3,0,0,'Données projet'!$E$9+1,1))-AVERAGE(OFFSET($H$3,0,0,'Données projet'!$E$9+1,1))</f>
        <v>204.77882499755987</v>
      </c>
      <c r="T123" s="59">
        <f t="shared" si="88"/>
        <v>152.46480920430594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53.622251602290305</v>
      </c>
      <c r="AA123" s="21">
        <f>EXP(-LN(2)/25)*AA122+(1-EXP(-LN(2)/25))/(LN(2)/25)*Calculateur!V123*Calculateur!X123*VLOOKUP('Données projet'!$B$9,Paramètres!$A$1:$I$89,3,0)*0.475*44/12</f>
        <v>14.939774362315674</v>
      </c>
      <c r="AB123" s="21">
        <f>EXP(-LN(2)/2)*AB122+(1-EXP(-LN(2)/2))/(LN(2)/2)*V123*Y123*VLOOKUP('Données projet'!$B$9,Paramètres!$A$1:$I$89,3,0)*0.475*44/12</f>
        <v>0.12661333994718718</v>
      </c>
      <c r="AC123" s="22">
        <f t="shared" si="57"/>
        <v>68.688639304553163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-3.4106051316484809E-13</v>
      </c>
      <c r="AJ123" s="13">
        <f>AI123*VLOOKUP('Données projet'!$B$10,Paramètres!$A$1:$I$89,3,0)*VLOOKUP('Données projet'!$B$10,Paramètres!$A$1:$I$89,5,0)</f>
        <v>-2.0395418687257919E-13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237.03649693529445</v>
      </c>
      <c r="AO123" s="59">
        <f t="shared" si="90"/>
        <v>191.04289411674887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64.418505292894395</v>
      </c>
      <c r="AV123" s="21">
        <f>EXP(-LN(2)/25)*AV122+(1-EXP(-LN(2)/25))/(LN(2)/25)*Calculateur!AQ123*Calculateur!AS123*VLOOKUP('Données projet'!$B$10,Paramètres!$A$1:$I$89,3,0)*0.475*44/12</f>
        <v>11.286527324336346</v>
      </c>
      <c r="AW123" s="21">
        <f>EXP(-LN(2)/2)*AW122+(1-EXP(-LN(2)/2))/(LN(2)/2)*AQ123*AT123*VLOOKUP('Données projet'!$B$10,Paramètres!$A$1:$I$89,3,0)*0.475*44/12</f>
        <v>3.4486220414043159E-5</v>
      </c>
      <c r="AX123" s="21">
        <f t="shared" si="60"/>
        <v>75.705067103451157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>
        <f>VLOOKUP(A124,'Données projet'!$A$35:$I$55,2,0)</f>
        <v>417.60769230769228</v>
      </c>
      <c r="L124" s="12">
        <f>VLOOKUP(A124,'Données projet'!$A$35:$I$55,9,0)</f>
        <v>7.0884615384615346</v>
      </c>
      <c r="M124" s="12">
        <f t="array" ref="M124">INDEX(L:L,MIN(IF(ISNUMBER(L124:L320),ROW(L124:L320),"")))</f>
        <v>7.0884615384615346</v>
      </c>
      <c r="N124" s="13">
        <f>IF('Données projet'!$A$36&gt;35,N123+M124-V123,IF(A124&lt;'Données projet'!$A$36,$K$205^A124,IF(A124='Données projet'!$A$36,'Données projet'!$B$36,N123+M124-V123)))</f>
        <v>417.6076923076933</v>
      </c>
      <c r="O124" s="13">
        <f>N124*VLOOKUP('Données projet'!$B$9,Paramètres!$A$1:$I$89,3,0)*VLOOKUP('Données projet'!$B$9,Paramètres!$A$1:$I$89,5,0)</f>
        <v>195.44040000000044</v>
      </c>
      <c r="P124" s="13">
        <f t="shared" si="87"/>
        <v>48.740764653053404</v>
      </c>
      <c r="Q124" s="20">
        <f t="shared" si="107"/>
        <v>425.28219510406871</v>
      </c>
      <c r="R124" s="59">
        <f t="shared" si="55"/>
        <v>718.61552843740196</v>
      </c>
      <c r="S124" s="59">
        <f ca="1">AVERAGE(OFFSET($R$3,0,0,'Données projet'!$E$9+1,1))-AVERAGE(OFFSET($H$3,0,0,'Données projet'!$E$9+1,1))</f>
        <v>204.77882499755987</v>
      </c>
      <c r="T124" s="59">
        <f t="shared" si="88"/>
        <v>152.46480920430594</v>
      </c>
      <c r="U124" s="15">
        <f>IF(ISNA(VLOOKUP(A124,'Données projet'!$A$35:$I$55,3,0)),0,VLOOKUP(A124,'Données projet'!$A$35:$I$55,3,0))</f>
        <v>7</v>
      </c>
      <c r="V124" s="15">
        <f>IF(ISNA(VLOOKUP(A124,'Données projet'!$A$35:$I$55,4,0)),0,VLOOKUP(A124,'Données projet'!$A$35:$I$55,4,0))</f>
        <v>207.07692307692307</v>
      </c>
      <c r="W124" s="16">
        <f>IF(ISNA(VLOOKUP(A124,'Données projet'!$A$35:$I$55,5,0)),0%,VLOOKUP(A124,'Données projet'!$A$35:$I$55,5,0)*VLOOKUP('Données projet'!$B$9,Paramètres!$A$1:$I$89,7,0))</f>
        <v>0.38500000000000001</v>
      </c>
      <c r="X124" s="16">
        <f>IF(ISNA(VLOOKUP(A124,'Données projet'!$A$35:$I$55,6,0)),0%,VLOOKUP(A124,'Données projet'!$A$35:$I$55,6,0)*VLOOKUP('Données projet'!$B$9,Paramètres!$A$1:$I$89,7,0))</f>
        <v>9.240000000000001E-2</v>
      </c>
      <c r="Y124" s="16">
        <f>IF(ISNA(VLOOKUP(A124,'Données projet'!$A$35:$I$55,7,0)),0%,VLOOKUP(A124,'Données projet'!$A$35:$I$55,7,0))</f>
        <v>0.13200000000000001</v>
      </c>
      <c r="Z124" s="21">
        <f>EXP(-LN(2)/35)*Z123+(1-EXP(-LN(2)/35))/(LN(2)/35)*V124*W124*VLOOKUP('Données projet'!$B$9,Paramètres!$A$1:$I$89,3,0)*0.475*44/12</f>
        <v>102.06635753935271</v>
      </c>
      <c r="AA124" s="21">
        <f>EXP(-LN(2)/25)*AA123+(1-EXP(-LN(2)/25))/(LN(2)/25)*Calculateur!V124*Calculateur!X124*VLOOKUP('Données projet'!$B$9,Paramètres!$A$1:$I$89,3,0)*0.475*44/12</f>
        <v>26.363418853005165</v>
      </c>
      <c r="AB124" s="21">
        <f>EXP(-LN(2)/2)*AB123+(1-EXP(-LN(2)/2))/(LN(2)/2)*V124*Y124*VLOOKUP('Données projet'!$B$9,Paramètres!$A$1:$I$89,3,0)*0.475*44/12</f>
        <v>14.573479478426137</v>
      </c>
      <c r="AC124" s="22">
        <f t="shared" si="57"/>
        <v>143.00325587078402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-2.0395418687257919E-13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237.03649693529445</v>
      </c>
      <c r="AO124" s="59">
        <f t="shared" si="90"/>
        <v>191.04289411674887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63.155297695509262</v>
      </c>
      <c r="AV124" s="21">
        <f>EXP(-LN(2)/25)*AV123+(1-EXP(-LN(2)/25))/(LN(2)/25)*Calculateur!AQ124*Calculateur!AS124*VLOOKUP('Données projet'!$B$10,Paramètres!$A$1:$I$89,3,0)*0.475*44/12</f>
        <v>10.977896641119692</v>
      </c>
      <c r="AW124" s="21">
        <f>EXP(-LN(2)/2)*AW123+(1-EXP(-LN(2)/2))/(LN(2)/2)*AQ124*AT124*VLOOKUP('Données projet'!$B$10,Paramètres!$A$1:$I$89,3,0)*0.475*44/12</f>
        <v>2.4385440312263864E-5</v>
      </c>
      <c r="AX124" s="21">
        <f t="shared" si="60"/>
        <v>74.133218722069259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4.9084615384615375</v>
      </c>
      <c r="N125" s="13">
        <f>IF('Données projet'!$A$36&gt;35,N124+M125-V124,IF(A125&lt;'Données projet'!$A$36,$K$205^A125,IF(A125='Données projet'!$A$36,'Données projet'!$B$36,N124+M125-V124)))</f>
        <v>215.43923076923178</v>
      </c>
      <c r="O125" s="13">
        <f>N125*VLOOKUP('Données projet'!$B$9,Paramètres!$A$1:$I$89,3,0)*VLOOKUP('Données projet'!$B$9,Paramètres!$A$1:$I$89,5,0)</f>
        <v>100.82556000000046</v>
      </c>
      <c r="P125" s="13">
        <f t="shared" si="87"/>
        <v>27.158581624033999</v>
      </c>
      <c r="Q125" s="20">
        <f t="shared" si="107"/>
        <v>222.90571332852667</v>
      </c>
      <c r="R125" s="59">
        <f t="shared" si="55"/>
        <v>516.23904666186002</v>
      </c>
      <c r="S125" s="59">
        <f ca="1">AVERAGE(OFFSET($R$3,0,0,'Données projet'!$E$9+1,1))-AVERAGE(OFFSET($H$3,0,0,'Données projet'!$E$9+1,1))</f>
        <v>204.77882499755987</v>
      </c>
      <c r="T125" s="59">
        <f t="shared" si="88"/>
        <v>152.46480920430594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100.06489852233699</v>
      </c>
      <c r="AA125" s="21">
        <f>EXP(-LN(2)/25)*AA124+(1-EXP(-LN(2)/25))/(LN(2)/25)*Calculateur!V125*Calculateur!X125*VLOOKUP('Données projet'!$B$9,Paramètres!$A$1:$I$89,3,0)*0.475*44/12</f>
        <v>25.642509778077795</v>
      </c>
      <c r="AB125" s="21">
        <f>EXP(-LN(2)/2)*AB124+(1-EXP(-LN(2)/2))/(LN(2)/2)*V125*Y125*VLOOKUP('Données projet'!$B$9,Paramètres!$A$1:$I$89,3,0)*0.475*44/12</f>
        <v>10.305006164678112</v>
      </c>
      <c r="AC125" s="22">
        <f t="shared" si="57"/>
        <v>136.01241446509289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-2.0395418687257919E-13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237.03649693529445</v>
      </c>
      <c r="AO125" s="59">
        <f t="shared" si="90"/>
        <v>191.04289411674887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61.916860828628295</v>
      </c>
      <c r="AV125" s="21">
        <f>EXP(-LN(2)/25)*AV124+(1-EXP(-LN(2)/25))/(LN(2)/25)*Calculateur!AQ125*Calculateur!AS125*VLOOKUP('Données projet'!$B$10,Paramètres!$A$1:$I$89,3,0)*0.475*44/12</f>
        <v>10.67770548016578</v>
      </c>
      <c r="AW125" s="21">
        <f>EXP(-LN(2)/2)*AW124+(1-EXP(-LN(2)/2))/(LN(2)/2)*AQ125*AT125*VLOOKUP('Données projet'!$B$10,Paramètres!$A$1:$I$89,3,0)*0.475*44/12</f>
        <v>1.7243110207021579E-5</v>
      </c>
      <c r="AX125" s="21">
        <f t="shared" si="60"/>
        <v>72.594583551904279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4.9084615384615375</v>
      </c>
      <c r="N126" s="13">
        <f>IF('Données projet'!$A$36&gt;35,N125+M126-V125,IF(A126&lt;'Données projet'!$A$36,$K$205^A126,IF(A126='Données projet'!$A$36,'Données projet'!$B$36,N125+M126-V125)))</f>
        <v>220.34769230769331</v>
      </c>
      <c r="O126" s="13">
        <f>N126*VLOOKUP('Données projet'!$B$9,Paramètres!$A$1:$I$89,3,0)*VLOOKUP('Données projet'!$B$9,Paramètres!$A$1:$I$89,5,0)</f>
        <v>103.12272000000047</v>
      </c>
      <c r="P126" s="13">
        <f t="shared" si="87"/>
        <v>27.70460592159175</v>
      </c>
      <c r="Q126" s="20">
        <f t="shared" si="107"/>
        <v>227.8575926467731</v>
      </c>
      <c r="R126" s="59">
        <f t="shared" si="55"/>
        <v>521.19092598010639</v>
      </c>
      <c r="S126" s="59">
        <f ca="1">AVERAGE(OFFSET($R$3,0,0,'Données projet'!$E$9+1,1))-AVERAGE(OFFSET($H$3,0,0,'Données projet'!$E$9+1,1))</f>
        <v>204.77882499755987</v>
      </c>
      <c r="T126" s="59">
        <f t="shared" si="88"/>
        <v>152.46480920430594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98.102686895875493</v>
      </c>
      <c r="AA126" s="21">
        <f>EXP(-LN(2)/25)*AA125+(1-EXP(-LN(2)/25))/(LN(2)/25)*Calculateur!V126*Calculateur!X126*VLOOKUP('Données projet'!$B$9,Paramètres!$A$1:$I$89,3,0)*0.475*44/12</f>
        <v>24.941313999715273</v>
      </c>
      <c r="AB126" s="21">
        <f>EXP(-LN(2)/2)*AB125+(1-EXP(-LN(2)/2))/(LN(2)/2)*V126*Y126*VLOOKUP('Données projet'!$B$9,Paramètres!$A$1:$I$89,3,0)*0.475*44/12</f>
        <v>7.2867397392130693</v>
      </c>
      <c r="AC126" s="22">
        <f t="shared" si="57"/>
        <v>130.33074063480385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-2.0395418687257919E-13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237.03649693529445</v>
      </c>
      <c r="AO126" s="59">
        <f t="shared" si="90"/>
        <v>191.04289411674887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60.702708953334962</v>
      </c>
      <c r="AV126" s="21">
        <f>EXP(-LN(2)/25)*AV125+(1-EXP(-LN(2)/25))/(LN(2)/25)*Calculateur!AQ126*Calculateur!AS126*VLOOKUP('Données projet'!$B$10,Paramètres!$A$1:$I$89,3,0)*0.475*44/12</f>
        <v>10.38572306229452</v>
      </c>
      <c r="AW126" s="21">
        <f>EXP(-LN(2)/2)*AW125+(1-EXP(-LN(2)/2))/(LN(2)/2)*AQ126*AT126*VLOOKUP('Données projet'!$B$10,Paramètres!$A$1:$I$89,3,0)*0.475*44/12</f>
        <v>1.2192720156131932E-5</v>
      </c>
      <c r="AX126" s="21">
        <f t="shared" si="60"/>
        <v>71.088444208349628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4.9084615384615375</v>
      </c>
      <c r="N127" s="13">
        <f>IF('Données projet'!$A$36&gt;35,N126+M127-V126,IF(A127&lt;'Données projet'!$A$36,$K$205^A127,IF(A127='Données projet'!$A$36,'Données projet'!$B$36,N126+M127-V126)))</f>
        <v>225.25615384615486</v>
      </c>
      <c r="O127" s="13">
        <f>N127*VLOOKUP('Données projet'!$B$9,Paramètres!$A$1:$I$89,3,0)*VLOOKUP('Données projet'!$B$9,Paramètres!$A$1:$I$89,5,0)</f>
        <v>105.41988000000046</v>
      </c>
      <c r="P127" s="13">
        <f t="shared" si="87"/>
        <v>28.249216129722416</v>
      </c>
      <c r="Q127" s="20">
        <f t="shared" si="107"/>
        <v>232.80700909260065</v>
      </c>
      <c r="R127" s="59">
        <f t="shared" si="55"/>
        <v>526.14034242593402</v>
      </c>
      <c r="S127" s="59">
        <f ca="1">AVERAGE(OFFSET($R$3,0,0,'Données projet'!$E$9+1,1))-AVERAGE(OFFSET($H$3,0,0,'Données projet'!$E$9+1,1))</f>
        <v>204.77882499755987</v>
      </c>
      <c r="T127" s="59">
        <f t="shared" si="88"/>
        <v>152.46480920430594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96.178953042578001</v>
      </c>
      <c r="AA127" s="21">
        <f>EXP(-LN(2)/25)*AA126+(1-EXP(-LN(2)/25))/(LN(2)/25)*Calculateur!V127*Calculateur!X127*VLOOKUP('Données projet'!$B$9,Paramètres!$A$1:$I$89,3,0)*0.475*44/12</f>
        <v>24.259292456786358</v>
      </c>
      <c r="AB127" s="21">
        <f>EXP(-LN(2)/2)*AB126+(1-EXP(-LN(2)/2))/(LN(2)/2)*V127*Y127*VLOOKUP('Données projet'!$B$9,Paramètres!$A$1:$I$89,3,0)*0.475*44/12</f>
        <v>5.1525030823390567</v>
      </c>
      <c r="AC127" s="22">
        <f t="shared" si="57"/>
        <v>125.59074858170341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-2.0395418687257919E-13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237.03649693529445</v>
      </c>
      <c r="AO127" s="59">
        <f t="shared" si="90"/>
        <v>191.04289411674887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59.512365855756613</v>
      </c>
      <c r="AV127" s="21">
        <f>EXP(-LN(2)/25)*AV126+(1-EXP(-LN(2)/25))/(LN(2)/25)*Calculateur!AQ127*Calculateur!AS127*VLOOKUP('Données projet'!$B$10,Paramètres!$A$1:$I$89,3,0)*0.475*44/12</f>
        <v>10.101724918994638</v>
      </c>
      <c r="AW127" s="21">
        <f>EXP(-LN(2)/2)*AW126+(1-EXP(-LN(2)/2))/(LN(2)/2)*AQ127*AT127*VLOOKUP('Données projet'!$B$10,Paramètres!$A$1:$I$89,3,0)*0.475*44/12</f>
        <v>8.6215551035107897E-6</v>
      </c>
      <c r="AX127" s="21">
        <f t="shared" si="60"/>
        <v>69.614099396306344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4.9084615384615375</v>
      </c>
      <c r="N128" s="13">
        <f>IF('Données projet'!$A$36&gt;35,N127+M128-V127,IF(A128&lt;'Données projet'!$A$36,$K$205^A128,IF(A128='Données projet'!$A$36,'Données projet'!$B$36,N127+M128-V127)))</f>
        <v>230.16461538461641</v>
      </c>
      <c r="O128" s="13">
        <f>N128*VLOOKUP('Données projet'!$B$9,Paramètres!$A$1:$I$89,3,0)*VLOOKUP('Données projet'!$B$9,Paramètres!$A$1:$I$89,5,0)</f>
        <v>107.71704000000048</v>
      </c>
      <c r="P128" s="13">
        <f t="shared" si="87"/>
        <v>28.792446610882244</v>
      </c>
      <c r="Q128" s="20">
        <f t="shared" si="107"/>
        <v>237.75402251395406</v>
      </c>
      <c r="R128" s="59">
        <f t="shared" si="55"/>
        <v>531.08735584728743</v>
      </c>
      <c r="S128" s="59">
        <f ca="1">AVERAGE(OFFSET($R$3,0,0,'Données projet'!$E$9+1,1))-AVERAGE(OFFSET($H$3,0,0,'Données projet'!$E$9+1,1))</f>
        <v>204.77882499755987</v>
      </c>
      <c r="T128" s="59">
        <f t="shared" si="88"/>
        <v>152.46480920430594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94.292942436781871</v>
      </c>
      <c r="AA128" s="21">
        <f>EXP(-LN(2)/25)*AA127+(1-EXP(-LN(2)/25))/(LN(2)/25)*Calculateur!V128*Calculateur!X128*VLOOKUP('Données projet'!$B$9,Paramètres!$A$1:$I$89,3,0)*0.475*44/12</f>
        <v>23.595920828814791</v>
      </c>
      <c r="AB128" s="21">
        <f>EXP(-LN(2)/2)*AB127+(1-EXP(-LN(2)/2))/(LN(2)/2)*V128*Y128*VLOOKUP('Données projet'!$B$9,Paramètres!$A$1:$I$89,3,0)*0.475*44/12</f>
        <v>3.6433698696065351</v>
      </c>
      <c r="AC128" s="22">
        <f t="shared" si="57"/>
        <v>121.53223313520319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-2.0395418687257919E-13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237.03649693529445</v>
      </c>
      <c r="AO128" s="59">
        <f t="shared" si="90"/>
        <v>191.04289411674887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58.345364660284176</v>
      </c>
      <c r="AV128" s="21">
        <f>EXP(-LN(2)/25)*AV127+(1-EXP(-LN(2)/25))/(LN(2)/25)*Calculateur!AQ128*Calculateur!AS128*VLOOKUP('Données projet'!$B$10,Paramètres!$A$1:$I$89,3,0)*0.475*44/12</f>
        <v>9.8254927198581044</v>
      </c>
      <c r="AW128" s="21">
        <f>EXP(-LN(2)/2)*AW127+(1-EXP(-LN(2)/2))/(LN(2)/2)*AQ128*AT128*VLOOKUP('Données projet'!$B$10,Paramètres!$A$1:$I$89,3,0)*0.475*44/12</f>
        <v>6.0963600780659661E-6</v>
      </c>
      <c r="AX128" s="21">
        <f t="shared" si="60"/>
        <v>68.170863476502362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4.9084615384615375</v>
      </c>
      <c r="N129" s="13">
        <f>IF('Données projet'!$A$36&gt;35,N128+M129-V128,IF(A129&lt;'Données projet'!$A$36,$K$205^A129,IF(A129='Données projet'!$A$36,'Données projet'!$B$36,N128+M129-V128)))</f>
        <v>235.07307692307796</v>
      </c>
      <c r="O129" s="13">
        <f>N129*VLOOKUP('Données projet'!$B$9,Paramètres!$A$1:$I$89,3,0)*VLOOKUP('Données projet'!$B$9,Paramètres!$A$1:$I$89,5,0)</f>
        <v>110.01420000000049</v>
      </c>
      <c r="P129" s="13">
        <f t="shared" si="87"/>
        <v>29.334330178180249</v>
      </c>
      <c r="Q129" s="20">
        <f t="shared" si="107"/>
        <v>242.69869006033142</v>
      </c>
      <c r="R129" s="59">
        <f t="shared" si="55"/>
        <v>536.03202339366476</v>
      </c>
      <c r="S129" s="59">
        <f ca="1">AVERAGE(OFFSET($R$3,0,0,'Données projet'!$E$9+1,1))-AVERAGE(OFFSET($H$3,0,0,'Données projet'!$E$9+1,1))</f>
        <v>204.77882499755987</v>
      </c>
      <c r="T129" s="59">
        <f t="shared" si="88"/>
        <v>152.46480920430594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92.443915348612521</v>
      </c>
      <c r="AA129" s="21">
        <f>EXP(-LN(2)/25)*AA128+(1-EXP(-LN(2)/25))/(LN(2)/25)*Calculateur!V129*Calculateur!X129*VLOOKUP('Données projet'!$B$9,Paramètres!$A$1:$I$89,3,0)*0.475*44/12</f>
        <v>22.950689132895302</v>
      </c>
      <c r="AB129" s="21">
        <f>EXP(-LN(2)/2)*AB128+(1-EXP(-LN(2)/2))/(LN(2)/2)*V129*Y129*VLOOKUP('Données projet'!$B$9,Paramètres!$A$1:$I$89,3,0)*0.475*44/12</f>
        <v>2.5762515411695284</v>
      </c>
      <c r="AC129" s="22">
        <f t="shared" si="57"/>
        <v>117.97085602267735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-2.0395418687257919E-13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237.03649693529445</v>
      </c>
      <c r="AO129" s="59">
        <f t="shared" si="90"/>
        <v>191.04289411674887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57.201247646454505</v>
      </c>
      <c r="AV129" s="21">
        <f>EXP(-LN(2)/25)*AV128+(1-EXP(-LN(2)/25))/(LN(2)/25)*Calculateur!AQ129*Calculateur!AS129*VLOOKUP('Données projet'!$B$10,Paramètres!$A$1:$I$89,3,0)*0.475*44/12</f>
        <v>9.5568141047333786</v>
      </c>
      <c r="AW129" s="21">
        <f>EXP(-LN(2)/2)*AW128+(1-EXP(-LN(2)/2))/(LN(2)/2)*AQ129*AT129*VLOOKUP('Données projet'!$B$10,Paramètres!$A$1:$I$89,3,0)*0.475*44/12</f>
        <v>4.3107775517553949E-6</v>
      </c>
      <c r="AX129" s="21">
        <f t="shared" si="60"/>
        <v>66.758066061965437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4.9084615384615375</v>
      </c>
      <c r="N130" s="13">
        <f>IF('Données projet'!$A$36&gt;35,N129+M130-V129,IF(A130&lt;'Données projet'!$A$36,$K$205^A130,IF(A130='Données projet'!$A$36,'Données projet'!$B$36,N129+M130-V129)))</f>
        <v>239.98153846153951</v>
      </c>
      <c r="O130" s="13">
        <f>N130*VLOOKUP('Données projet'!$B$9,Paramètres!$A$1:$I$89,3,0)*VLOOKUP('Données projet'!$B$9,Paramètres!$A$1:$I$89,5,0)</f>
        <v>112.31136000000051</v>
      </c>
      <c r="P130" s="13">
        <f t="shared" si="87"/>
        <v>29.874898196104638</v>
      </c>
      <c r="Q130" s="20">
        <f t="shared" si="107"/>
        <v>247.64106635821645</v>
      </c>
      <c r="R130" s="59">
        <f t="shared" si="55"/>
        <v>540.97439969154971</v>
      </c>
      <c r="S130" s="59">
        <f ca="1">AVERAGE(OFFSET($R$3,0,0,'Données projet'!$E$9+1,1))-AVERAGE(OFFSET($H$3,0,0,'Données projet'!$E$9+1,1))</f>
        <v>204.77882499755987</v>
      </c>
      <c r="T130" s="59">
        <f t="shared" si="88"/>
        <v>152.46480920430594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90.631146553847017</v>
      </c>
      <c r="AA130" s="21">
        <f>EXP(-LN(2)/25)*AA129+(1-EXP(-LN(2)/25))/(LN(2)/25)*Calculateur!V130*Calculateur!X130*VLOOKUP('Données projet'!$B$9,Paramètres!$A$1:$I$89,3,0)*0.475*44/12</f>
        <v>22.323101331631992</v>
      </c>
      <c r="AB130" s="21">
        <f>EXP(-LN(2)/2)*AB129+(1-EXP(-LN(2)/2))/(LN(2)/2)*V130*Y130*VLOOKUP('Données projet'!$B$9,Paramètres!$A$1:$I$89,3,0)*0.475*44/12</f>
        <v>1.8216849348032675</v>
      </c>
      <c r="AC130" s="22">
        <f t="shared" si="57"/>
        <v>114.77593282028228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-2.0395418687257919E-13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237.03649693529445</v>
      </c>
      <c r="AO130" s="59">
        <f t="shared" si="90"/>
        <v>191.04289411674887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56.079566069423564</v>
      </c>
      <c r="AV130" s="21">
        <f>EXP(-LN(2)/25)*AV129+(1-EXP(-LN(2)/25))/(LN(2)/25)*Calculateur!AQ130*Calculateur!AS130*VLOOKUP('Données projet'!$B$10,Paramètres!$A$1:$I$89,3,0)*0.475*44/12</f>
        <v>9.2954825204684326</v>
      </c>
      <c r="AW130" s="21">
        <f>EXP(-LN(2)/2)*AW129+(1-EXP(-LN(2)/2))/(LN(2)/2)*AQ130*AT130*VLOOKUP('Données projet'!$B$10,Paramètres!$A$1:$I$89,3,0)*0.475*44/12</f>
        <v>3.048180039032983E-6</v>
      </c>
      <c r="AX130" s="21">
        <f t="shared" si="60"/>
        <v>65.375051638072037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4.9084615384615375</v>
      </c>
      <c r="N131" s="13">
        <f>IF('Données projet'!$A$36&gt;35,N130+M131-V130,IF(A131&lt;'Données projet'!$A$36,$K$205^A131,IF(A131='Données projet'!$A$36,'Données projet'!$B$36,N130+M131-V130)))</f>
        <v>244.89000000000107</v>
      </c>
      <c r="O131" s="13">
        <f>N131*VLOOKUP('Données projet'!$B$9,Paramètres!$A$1:$I$89,3,0)*VLOOKUP('Données projet'!$B$9,Paramètres!$A$1:$I$89,5,0)</f>
        <v>114.6085200000005</v>
      </c>
      <c r="P131" s="13">
        <f t="shared" si="87"/>
        <v>30.414180672775728</v>
      </c>
      <c r="Q131" s="20">
        <f t="shared" ref="Q131:Q153" si="108">(O131+P131)*0.475*44/12</f>
        <v>252.58120367175192</v>
      </c>
      <c r="R131" s="59">
        <f t="shared" ref="R131:R194" si="109">Q131+(I131+J131)*44/12</f>
        <v>545.91453700508521</v>
      </c>
      <c r="S131" s="59">
        <f ca="1">AVERAGE(OFFSET($R$3,0,0,'Données projet'!$E$9+1,1))-AVERAGE(OFFSET($H$3,0,0,'Données projet'!$E$9+1,1))</f>
        <v>204.77882499755987</v>
      </c>
      <c r="T131" s="59">
        <f t="shared" si="88"/>
        <v>152.46480920430594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88.85392504946708</v>
      </c>
      <c r="AA131" s="21">
        <f>EXP(-LN(2)/25)*AA130+(1-EXP(-LN(2)/25))/(LN(2)/25)*Calculateur!V131*Calculateur!X131*VLOOKUP('Données projet'!$B$9,Paramètres!$A$1:$I$89,3,0)*0.475*44/12</f>
        <v>21.712674951797638</v>
      </c>
      <c r="AB131" s="21">
        <f>EXP(-LN(2)/2)*AB130+(1-EXP(-LN(2)/2))/(LN(2)/2)*V131*Y131*VLOOKUP('Données projet'!$B$9,Paramètres!$A$1:$I$89,3,0)*0.475*44/12</f>
        <v>1.2881257705847642</v>
      </c>
      <c r="AC131" s="22">
        <f t="shared" si="57"/>
        <v>111.85472577184949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-2.0395418687257919E-13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237.03649693529445</v>
      </c>
      <c r="AO131" s="59">
        <f t="shared" si="90"/>
        <v>191.04289411674887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54.979879983959989</v>
      </c>
      <c r="AV131" s="21">
        <f>EXP(-LN(2)/25)*AV130+(1-EXP(-LN(2)/25))/(LN(2)/25)*Calculateur!AQ131*Calculateur!AS131*VLOOKUP('Données projet'!$B$10,Paramètres!$A$1:$I$89,3,0)*0.475*44/12</f>
        <v>9.0412970621180424</v>
      </c>
      <c r="AW131" s="21">
        <f>EXP(-LN(2)/2)*AW130+(1-EXP(-LN(2)/2))/(LN(2)/2)*AQ131*AT131*VLOOKUP('Données projet'!$B$10,Paramètres!$A$1:$I$89,3,0)*0.475*44/12</f>
        <v>2.1553887758776974E-6</v>
      </c>
      <c r="AX131" s="21">
        <f t="shared" si="60"/>
        <v>64.021179201466808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4.9084615384615375</v>
      </c>
      <c r="N132" s="13">
        <f>IF('Données projet'!$A$36&gt;35,N131+M132-V131,IF(A132&lt;'Données projet'!$A$36,$K$205^A132,IF(A132='Données projet'!$A$36,'Données projet'!$B$36,N131+M132-V131)))</f>
        <v>249.79846153846262</v>
      </c>
      <c r="O132" s="13">
        <f>N132*VLOOKUP('Données projet'!$B$9,Paramètres!$A$1:$I$89,3,0)*VLOOKUP('Données projet'!$B$9,Paramètres!$A$1:$I$89,5,0)</f>
        <v>116.90568000000052</v>
      </c>
      <c r="P132" s="13">
        <f t="shared" si="87"/>
        <v>30.952206344593481</v>
      </c>
      <c r="Q132" s="20">
        <f t="shared" si="108"/>
        <v>257.51915205016786</v>
      </c>
      <c r="R132" s="59">
        <f t="shared" si="109"/>
        <v>550.85248538350118</v>
      </c>
      <c r="S132" s="59">
        <f ca="1">AVERAGE(OFFSET($R$3,0,0,'Données projet'!$E$9+1,1))-AVERAGE(OFFSET($H$3,0,0,'Données projet'!$E$9+1,1))</f>
        <v>204.77882499755987</v>
      </c>
      <c r="T132" s="59">
        <f t="shared" si="88"/>
        <v>152.46480920430594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87.11155377478994</v>
      </c>
      <c r="AA132" s="21">
        <f>EXP(-LN(2)/25)*AA131+(1-EXP(-LN(2)/25))/(LN(2)/25)*Calculateur!V132*Calculateur!X132*VLOOKUP('Données projet'!$B$9,Paramètres!$A$1:$I$89,3,0)*0.475*44/12</f>
        <v>21.11894071342078</v>
      </c>
      <c r="AB132" s="21">
        <f>EXP(-LN(2)/2)*AB131+(1-EXP(-LN(2)/2))/(LN(2)/2)*V132*Y132*VLOOKUP('Données projet'!$B$9,Paramètres!$A$1:$I$89,3,0)*0.475*44/12</f>
        <v>0.91084246740163377</v>
      </c>
      <c r="AC132" s="22">
        <f t="shared" ref="AC132:AC153" si="111">SUM(Z132:AB132)</f>
        <v>109.14133695561236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-2.0395418687257919E-13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237.03649693529445</v>
      </c>
      <c r="AO132" s="59">
        <f t="shared" si="90"/>
        <v>191.04289411674887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53.901758071890079</v>
      </c>
      <c r="AV132" s="21">
        <f>EXP(-LN(2)/25)*AV131+(1-EXP(-LN(2)/25))/(LN(2)/25)*Calculateur!AQ132*Calculateur!AS132*VLOOKUP('Données projet'!$B$10,Paramètres!$A$1:$I$89,3,0)*0.475*44/12</f>
        <v>8.7940623184932765</v>
      </c>
      <c r="AW132" s="21">
        <f>EXP(-LN(2)/2)*AW131+(1-EXP(-LN(2)/2))/(LN(2)/2)*AQ132*AT132*VLOOKUP('Données projet'!$B$10,Paramètres!$A$1:$I$89,3,0)*0.475*44/12</f>
        <v>1.5240900195164915E-6</v>
      </c>
      <c r="AX132" s="21">
        <f t="shared" ref="AX132:AX153" si="114">SUM(AU132:AW132)</f>
        <v>62.69582191447337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4.9084615384615375</v>
      </c>
      <c r="N133" s="13">
        <f>IF('Données projet'!$A$36&gt;35,N132+M133-V132,IF(A133&lt;'Données projet'!$A$36,$K$205^A133,IF(A133='Données projet'!$A$36,'Données projet'!$B$36,N132+M133-V132)))</f>
        <v>254.70692307692417</v>
      </c>
      <c r="O133" s="13">
        <f>N133*VLOOKUP('Données projet'!$B$9,Paramètres!$A$1:$I$89,3,0)*VLOOKUP('Données projet'!$B$9,Paramètres!$A$1:$I$89,5,0)</f>
        <v>119.20284000000051</v>
      </c>
      <c r="P133" s="13">
        <f t="shared" ref="P133:P196" si="141">EXP(-1.0587+0.8836*LN(O133)+0.284)</f>
        <v>31.489002754044087</v>
      </c>
      <c r="Q133" s="20">
        <f t="shared" si="108"/>
        <v>262.4549594632943</v>
      </c>
      <c r="R133" s="59">
        <f t="shared" si="109"/>
        <v>555.78829279662762</v>
      </c>
      <c r="S133" s="59">
        <f ca="1">AVERAGE(OFFSET($R$3,0,0,'Données projet'!$E$9+1,1))-AVERAGE(OFFSET($H$3,0,0,'Données projet'!$E$9+1,1))</f>
        <v>204.77882499755987</v>
      </c>
      <c r="T133" s="59">
        <f t="shared" ref="T133:T196" si="142">$T$3</f>
        <v>152.46480920430594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85.403349338067684</v>
      </c>
      <c r="AA133" s="21">
        <f>EXP(-LN(2)/25)*AA132+(1-EXP(-LN(2)/25))/(LN(2)/25)*Calculateur!V133*Calculateur!X133*VLOOKUP('Données projet'!$B$9,Paramètres!$A$1:$I$89,3,0)*0.475*44/12</f>
        <v>20.541442169015465</v>
      </c>
      <c r="AB133" s="21">
        <f>EXP(-LN(2)/2)*AB132+(1-EXP(-LN(2)/2))/(LN(2)/2)*V133*Y133*VLOOKUP('Données projet'!$B$9,Paramètres!$A$1:$I$89,3,0)*0.475*44/12</f>
        <v>0.64406288529238209</v>
      </c>
      <c r="AC133" s="22">
        <f t="shared" si="111"/>
        <v>106.58885439237554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-2.0395418687257919E-13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237.03649693529445</v>
      </c>
      <c r="AO133" s="59">
        <f t="shared" ref="AO133:AO196" si="144">$AO$3</f>
        <v>191.04289411674887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52.844777472926424</v>
      </c>
      <c r="AV133" s="21">
        <f>EXP(-LN(2)/25)*AV132+(1-EXP(-LN(2)/25))/(LN(2)/25)*Calculateur!AQ133*Calculateur!AS133*VLOOKUP('Données projet'!$B$10,Paramètres!$A$1:$I$89,3,0)*0.475*44/12</f>
        <v>8.5535882219344401</v>
      </c>
      <c r="AW133" s="21">
        <f>EXP(-LN(2)/2)*AW132+(1-EXP(-LN(2)/2))/(LN(2)/2)*AQ133*AT133*VLOOKUP('Données projet'!$B$10,Paramètres!$A$1:$I$89,3,0)*0.475*44/12</f>
        <v>1.0776943879388487E-6</v>
      </c>
      <c r="AX133" s="21">
        <f t="shared" si="114"/>
        <v>61.398366772555249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259.61538461538458</v>
      </c>
      <c r="L134" s="12">
        <f>VLOOKUP(A134,'Données projet'!$A$35:$I$55,9,0)</f>
        <v>4.9084615384615375</v>
      </c>
      <c r="M134" s="12">
        <f t="array" ref="M134">INDEX(L:L,MIN(IF(ISNUMBER(L134:L330),ROW(L134:L330),"")))</f>
        <v>4.9084615384615375</v>
      </c>
      <c r="N134" s="13">
        <f>IF('Données projet'!$A$36&gt;35,N133+M134-V133,IF(A134&lt;'Données projet'!$A$36,$K$205^A134,IF(A134='Données projet'!$A$36,'Données projet'!$B$36,N133+M134-V133)))</f>
        <v>259.61538461538572</v>
      </c>
      <c r="O134" s="13">
        <f>N134*VLOOKUP('Données projet'!$B$9,Paramètres!$A$1:$I$89,3,0)*VLOOKUP('Données projet'!$B$9,Paramètres!$A$1:$I$89,5,0)</f>
        <v>121.50000000000051</v>
      </c>
      <c r="P134" s="13">
        <f t="shared" si="141"/>
        <v>32.024596321339168</v>
      </c>
      <c r="Q134" s="20">
        <f t="shared" si="108"/>
        <v>267.3886719263333</v>
      </c>
      <c r="R134" s="59">
        <f t="shared" si="109"/>
        <v>560.72200525966662</v>
      </c>
      <c r="S134" s="59">
        <f ca="1">AVERAGE(OFFSET($R$3,0,0,'Données projet'!$E$9+1,1))-AVERAGE(OFFSET($H$3,0,0,'Données projet'!$E$9+1,1))</f>
        <v>204.77882499755987</v>
      </c>
      <c r="T134" s="59">
        <f t="shared" si="142"/>
        <v>152.46480920430594</v>
      </c>
      <c r="U134" s="15">
        <f>IF(ISNA(VLOOKUP(A134,'Données projet'!$A$35:$I$55,3,0)),0,VLOOKUP(A134,'Données projet'!$A$35:$I$55,3,0))</f>
        <v>8</v>
      </c>
      <c r="V134" s="15">
        <f>IF(ISNA(VLOOKUP(A134,'Données projet'!$A$35:$I$55,4,0)),0,VLOOKUP(A134,'Données projet'!$A$35:$I$55,4,0))</f>
        <v>259.61538461538458</v>
      </c>
      <c r="W134" s="16">
        <f>IF(ISNA(VLOOKUP(A134,'Données projet'!$A$35:$I$55,5,0)),0%,VLOOKUP(A134,'Données projet'!$A$35:$I$55,5,0)*VLOOKUP('Données projet'!$B$9,Paramètres!$A$1:$I$89,7,0))</f>
        <v>0.38500000000000001</v>
      </c>
      <c r="X134" s="16">
        <f>IF(ISNA(VLOOKUP(A134,'Données projet'!$A$35:$I$55,6,0)),0%,VLOOKUP(A134,'Données projet'!$A$35:$I$55,6,0)*VLOOKUP('Données projet'!$B$9,Paramètres!$A$1:$I$89,7,0))</f>
        <v>9.240000000000001E-2</v>
      </c>
      <c r="Y134" s="16">
        <f>IF(ISNA(VLOOKUP(A134,'Données projet'!$A$35:$I$55,7,0)),0%,VLOOKUP(A134,'Données projet'!$A$35:$I$55,7,0))</f>
        <v>0.13200000000000001</v>
      </c>
      <c r="Z134" s="21">
        <f>EXP(-LN(2)/35)*Z133+(1-EXP(-LN(2)/35))/(LN(2)/35)*V134*W134*VLOOKUP('Données projet'!$B$9,Paramètres!$A$1:$I$89,3,0)*0.475*44/12</f>
        <v>145.78201056277081</v>
      </c>
      <c r="AA134" s="21">
        <f>EXP(-LN(2)/25)*AA133+(1-EXP(-LN(2)/25))/(LN(2)/25)*Calculateur!V134*Calculateur!X134*VLOOKUP('Données projet'!$B$9,Paramètres!$A$1:$I$89,3,0)*0.475*44/12</f>
        <v>34.813905206383581</v>
      </c>
      <c r="AB134" s="21">
        <f>EXP(-LN(2)/2)*AB133+(1-EXP(-LN(2)/2))/(LN(2)/2)*V134*Y134*VLOOKUP('Données projet'!$B$9,Paramètres!$A$1:$I$89,3,0)*0.475*44/12</f>
        <v>18.614162821430273</v>
      </c>
      <c r="AC134" s="22">
        <f t="shared" si="111"/>
        <v>199.21007859058466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-2.0395418687257919E-13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237.03649693529445</v>
      </c>
      <c r="AO134" s="59">
        <f t="shared" si="144"/>
        <v>191.04289411674887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51.808523618813936</v>
      </c>
      <c r="AV134" s="21">
        <f>EXP(-LN(2)/25)*AV133+(1-EXP(-LN(2)/25))/(LN(2)/25)*Calculateur!AQ134*Calculateur!AS134*VLOOKUP('Données projet'!$B$10,Paramètres!$A$1:$I$89,3,0)*0.475*44/12</f>
        <v>8.3196899021919872</v>
      </c>
      <c r="AW134" s="21">
        <f>EXP(-LN(2)/2)*AW133+(1-EXP(-LN(2)/2))/(LN(2)/2)*AQ134*AT134*VLOOKUP('Données projet'!$B$10,Paramètres!$A$1:$I$89,3,0)*0.475*44/12</f>
        <v>7.6204500975824576E-7</v>
      </c>
      <c r="AX134" s="21">
        <f t="shared" si="114"/>
        <v>60.128214283050937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1.1368683772161603E-12</v>
      </c>
      <c r="O135" s="13">
        <f>N135*VLOOKUP('Données projet'!$B$9,Paramètres!$A$1:$I$89,3,0)*VLOOKUP('Données projet'!$B$9,Paramètres!$A$1:$I$89,5,0)</f>
        <v>5.3205440053716299E-13</v>
      </c>
      <c r="P135" s="13">
        <f t="shared" si="141"/>
        <v>6.579711042921201E-12</v>
      </c>
      <c r="Q135" s="20">
        <f t="shared" si="108"/>
        <v>1.2386324814023317E-11</v>
      </c>
      <c r="R135" s="59">
        <f t="shared" si="109"/>
        <v>293.33333333334571</v>
      </c>
      <c r="S135" s="59">
        <f ca="1">AVERAGE(OFFSET($R$3,0,0,'Données projet'!$E$9+1,1))-AVERAGE(OFFSET($H$3,0,0,'Données projet'!$E$9+1,1))</f>
        <v>204.77882499755987</v>
      </c>
      <c r="T135" s="59">
        <f t="shared" si="142"/>
        <v>152.46480920430594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142.92331425388136</v>
      </c>
      <c r="AA135" s="21">
        <f>EXP(-LN(2)/25)*AA134+(1-EXP(-LN(2)/25))/(LN(2)/25)*Calculateur!V135*Calculateur!X135*VLOOKUP('Données projet'!$B$9,Paramètres!$A$1:$I$89,3,0)*0.475*44/12</f>
        <v>33.861917137731318</v>
      </c>
      <c r="AB135" s="21">
        <f>EXP(-LN(2)/2)*AB134+(1-EXP(-LN(2)/2))/(LN(2)/2)*V135*Y135*VLOOKUP('Données projet'!$B$9,Paramètres!$A$1:$I$89,3,0)*0.475*44/12</f>
        <v>13.162200757143866</v>
      </c>
      <c r="AC135" s="22">
        <f t="shared" si="111"/>
        <v>189.94743214875655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-2.0395418687257919E-13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237.03649693529445</v>
      </c>
      <c r="AO135" s="59">
        <f t="shared" si="144"/>
        <v>191.04289411674887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50.792590070728153</v>
      </c>
      <c r="AV135" s="21">
        <f>EXP(-LN(2)/25)*AV134+(1-EXP(-LN(2)/25))/(LN(2)/25)*Calculateur!AQ135*Calculateur!AS135*VLOOKUP('Données projet'!$B$10,Paramètres!$A$1:$I$89,3,0)*0.475*44/12</f>
        <v>8.0921875443030711</v>
      </c>
      <c r="AW135" s="21">
        <f>EXP(-LN(2)/2)*AW134+(1-EXP(-LN(2)/2))/(LN(2)/2)*AQ135*AT135*VLOOKUP('Données projet'!$B$10,Paramètres!$A$1:$I$89,3,0)*0.475*44/12</f>
        <v>5.3884719396942436E-7</v>
      </c>
      <c r="AX135" s="21">
        <f t="shared" si="114"/>
        <v>58.884778153878422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1.1368683772161603E-12</v>
      </c>
      <c r="O136" s="13">
        <f>N136*VLOOKUP('Données projet'!$B$9,Paramètres!$A$1:$I$89,3,0)*VLOOKUP('Données projet'!$B$9,Paramètres!$A$1:$I$89,5,0)</f>
        <v>5.3205440053716299E-13</v>
      </c>
      <c r="P136" s="13">
        <f t="shared" si="141"/>
        <v>6.579711042921201E-12</v>
      </c>
      <c r="Q136" s="20">
        <f t="shared" si="108"/>
        <v>1.2386324814023317E-11</v>
      </c>
      <c r="R136" s="59">
        <f t="shared" si="109"/>
        <v>293.33333333334571</v>
      </c>
      <c r="S136" s="59">
        <f ca="1">AVERAGE(OFFSET($R$3,0,0,'Données projet'!$E$9+1,1))-AVERAGE(OFFSET($H$3,0,0,'Données projet'!$E$9+1,1))</f>
        <v>204.77882499755987</v>
      </c>
      <c r="T136" s="59">
        <f t="shared" si="142"/>
        <v>152.46480920430594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140.12067523597665</v>
      </c>
      <c r="AA136" s="21">
        <f>EXP(-LN(2)/25)*AA135+(1-EXP(-LN(2)/25))/(LN(2)/25)*Calculateur!V136*Calculateur!X136*VLOOKUP('Données projet'!$B$9,Paramètres!$A$1:$I$89,3,0)*0.475*44/12</f>
        <v>32.935961232879222</v>
      </c>
      <c r="AB136" s="21">
        <f>EXP(-LN(2)/2)*AB135+(1-EXP(-LN(2)/2))/(LN(2)/2)*V136*Y136*VLOOKUP('Données projet'!$B$9,Paramètres!$A$1:$I$89,3,0)*0.475*44/12</f>
        <v>9.3070814107151385</v>
      </c>
      <c r="AC136" s="22">
        <f t="shared" si="111"/>
        <v>182.363717879571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-2.0395418687257919E-13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237.03649693529445</v>
      </c>
      <c r="AO136" s="59">
        <f t="shared" si="144"/>
        <v>191.04289411674887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49.796578359862053</v>
      </c>
      <c r="AV136" s="21">
        <f>EXP(-LN(2)/25)*AV135+(1-EXP(-LN(2)/25))/(LN(2)/25)*Calculateur!AQ136*Calculateur!AS136*VLOOKUP('Données projet'!$B$10,Paramètres!$A$1:$I$89,3,0)*0.475*44/12</f>
        <v>7.870906250354456</v>
      </c>
      <c r="AW136" s="21">
        <f>EXP(-LN(2)/2)*AW135+(1-EXP(-LN(2)/2))/(LN(2)/2)*AQ136*AT136*VLOOKUP('Données projet'!$B$10,Paramètres!$A$1:$I$89,3,0)*0.475*44/12</f>
        <v>3.8102250487912288E-7</v>
      </c>
      <c r="AX136" s="21">
        <f t="shared" si="114"/>
        <v>57.667484991239014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1.1368683772161603E-12</v>
      </c>
      <c r="O137" s="13">
        <f>N137*VLOOKUP('Données projet'!$B$9,Paramètres!$A$1:$I$89,3,0)*VLOOKUP('Données projet'!$B$9,Paramètres!$A$1:$I$89,5,0)</f>
        <v>5.3205440053716299E-13</v>
      </c>
      <c r="P137" s="13">
        <f t="shared" si="141"/>
        <v>6.579711042921201E-12</v>
      </c>
      <c r="Q137" s="20">
        <f t="shared" si="108"/>
        <v>1.2386324814023317E-11</v>
      </c>
      <c r="R137" s="59">
        <f t="shared" si="109"/>
        <v>293.33333333334571</v>
      </c>
      <c r="S137" s="59">
        <f ca="1">AVERAGE(OFFSET($R$3,0,0,'Données projet'!$E$9+1,1))-AVERAGE(OFFSET($H$3,0,0,'Données projet'!$E$9+1,1))</f>
        <v>204.77882499755987</v>
      </c>
      <c r="T137" s="59">
        <f t="shared" si="142"/>
        <v>152.46480920430594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137.37299425977204</v>
      </c>
      <c r="AA137" s="21">
        <f>EXP(-LN(2)/25)*AA136+(1-EXP(-LN(2)/25))/(LN(2)/25)*Calculateur!V137*Calculateur!X137*VLOOKUP('Données projet'!$B$9,Paramètres!$A$1:$I$89,3,0)*0.475*44/12</f>
        <v>32.035325640939213</v>
      </c>
      <c r="AB137" s="21">
        <f>EXP(-LN(2)/2)*AB136+(1-EXP(-LN(2)/2))/(LN(2)/2)*V137*Y137*VLOOKUP('Données projet'!$B$9,Paramètres!$A$1:$I$89,3,0)*0.475*44/12</f>
        <v>6.581100378571934</v>
      </c>
      <c r="AC137" s="22">
        <f t="shared" si="111"/>
        <v>175.98942027928319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-2.0395418687257919E-13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237.03649693529445</v>
      </c>
      <c r="AO137" s="59">
        <f t="shared" si="144"/>
        <v>191.04289411674887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48.820097831138881</v>
      </c>
      <c r="AV137" s="21">
        <f>EXP(-LN(2)/25)*AV136+(1-EXP(-LN(2)/25))/(LN(2)/25)*Calculateur!AQ137*Calculateur!AS137*VLOOKUP('Données projet'!$B$10,Paramètres!$A$1:$I$89,3,0)*0.475*44/12</f>
        <v>7.655675905025543</v>
      </c>
      <c r="AW137" s="21">
        <f>EXP(-LN(2)/2)*AW136+(1-EXP(-LN(2)/2))/(LN(2)/2)*AQ137*AT137*VLOOKUP('Données projet'!$B$10,Paramètres!$A$1:$I$89,3,0)*0.475*44/12</f>
        <v>2.6942359698471218E-7</v>
      </c>
      <c r="AX137" s="21">
        <f t="shared" si="114"/>
        <v>56.475774005588022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1.1368683772161603E-12</v>
      </c>
      <c r="O138" s="13">
        <f>N138*VLOOKUP('Données projet'!$B$9,Paramètres!$A$1:$I$89,3,0)*VLOOKUP('Données projet'!$B$9,Paramètres!$A$1:$I$89,5,0)</f>
        <v>5.3205440053716299E-13</v>
      </c>
      <c r="P138" s="13">
        <f t="shared" si="141"/>
        <v>6.579711042921201E-12</v>
      </c>
      <c r="Q138" s="20">
        <f t="shared" si="108"/>
        <v>1.2386324814023317E-11</v>
      </c>
      <c r="R138" s="59">
        <f t="shared" si="109"/>
        <v>293.33333333334571</v>
      </c>
      <c r="S138" s="59">
        <f ca="1">AVERAGE(OFFSET($R$3,0,0,'Données projet'!$E$9+1,1))-AVERAGE(OFFSET($H$3,0,0,'Données projet'!$E$9+1,1))</f>
        <v>204.77882499755987</v>
      </c>
      <c r="T138" s="59">
        <f t="shared" si="142"/>
        <v>152.46480920430594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134.67919363159092</v>
      </c>
      <c r="AA138" s="21">
        <f>EXP(-LN(2)/25)*AA137+(1-EXP(-LN(2)/25))/(LN(2)/25)*Calculateur!V138*Calculateur!X138*VLOOKUP('Données projet'!$B$9,Paramètres!$A$1:$I$89,3,0)*0.475*44/12</f>
        <v>31.159317976623171</v>
      </c>
      <c r="AB138" s="21">
        <f>EXP(-LN(2)/2)*AB137+(1-EXP(-LN(2)/2))/(LN(2)/2)*V138*Y138*VLOOKUP('Données projet'!$B$9,Paramètres!$A$1:$I$89,3,0)*0.475*44/12</f>
        <v>4.6535407053575701</v>
      </c>
      <c r="AC138" s="22">
        <f t="shared" si="111"/>
        <v>170.49205231357166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-2.0395418687257919E-13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237.03649693529445</v>
      </c>
      <c r="AO138" s="59">
        <f t="shared" si="144"/>
        <v>191.04289411674887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47.862765489989656</v>
      </c>
      <c r="AV138" s="21">
        <f>EXP(-LN(2)/25)*AV137+(1-EXP(-LN(2)/25))/(LN(2)/25)*Calculateur!AQ138*Calculateur!AS138*VLOOKUP('Données projet'!$B$10,Paramètres!$A$1:$I$89,3,0)*0.475*44/12</f>
        <v>7.4463310448081206</v>
      </c>
      <c r="AW138" s="21">
        <f>EXP(-LN(2)/2)*AW137+(1-EXP(-LN(2)/2))/(LN(2)/2)*AQ138*AT138*VLOOKUP('Données projet'!$B$10,Paramètres!$A$1:$I$89,3,0)*0.475*44/12</f>
        <v>1.9051125243956144E-7</v>
      </c>
      <c r="AX138" s="21">
        <f t="shared" si="114"/>
        <v>55.309096725309026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1.1368683772161603E-12</v>
      </c>
      <c r="O139" s="13">
        <f>N139*VLOOKUP('Données projet'!$B$9,Paramètres!$A$1:$I$89,3,0)*VLOOKUP('Données projet'!$B$9,Paramètres!$A$1:$I$89,5,0)</f>
        <v>5.3205440053716299E-13</v>
      </c>
      <c r="P139" s="13">
        <f t="shared" si="141"/>
        <v>6.579711042921201E-12</v>
      </c>
      <c r="Q139" s="20">
        <f t="shared" si="108"/>
        <v>1.2386324814023317E-11</v>
      </c>
      <c r="R139" s="59">
        <f t="shared" si="109"/>
        <v>293.33333333334571</v>
      </c>
      <c r="S139" s="59">
        <f ca="1">AVERAGE(OFFSET($R$3,0,0,'Données projet'!$E$9+1,1))-AVERAGE(OFFSET($H$3,0,0,'Données projet'!$E$9+1,1))</f>
        <v>204.77882499755987</v>
      </c>
      <c r="T139" s="59">
        <f t="shared" si="142"/>
        <v>152.46480920430594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132.03821679067227</v>
      </c>
      <c r="AA139" s="21">
        <f>EXP(-LN(2)/25)*AA138+(1-EXP(-LN(2)/25))/(LN(2)/25)*Calculateur!V139*Calculateur!X139*VLOOKUP('Données projet'!$B$9,Paramètres!$A$1:$I$89,3,0)*0.475*44/12</f>
        <v>30.307264787955095</v>
      </c>
      <c r="AB139" s="21">
        <f>EXP(-LN(2)/2)*AB138+(1-EXP(-LN(2)/2))/(LN(2)/2)*V139*Y139*VLOOKUP('Données projet'!$B$9,Paramètres!$A$1:$I$89,3,0)*0.475*44/12</f>
        <v>3.2905501892859674</v>
      </c>
      <c r="AC139" s="22">
        <f t="shared" si="111"/>
        <v>165.63603176791332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-2.0395418687257919E-13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237.03649693529445</v>
      </c>
      <c r="AO139" s="59">
        <f t="shared" si="144"/>
        <v>191.04289411674887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46.924205852135294</v>
      </c>
      <c r="AV139" s="21">
        <f>EXP(-LN(2)/25)*AV138+(1-EXP(-LN(2)/25))/(LN(2)/25)*Calculateur!AQ139*Calculateur!AS139*VLOOKUP('Données projet'!$B$10,Paramètres!$A$1:$I$89,3,0)*0.475*44/12</f>
        <v>7.2427107308023118</v>
      </c>
      <c r="AW139" s="21">
        <f>EXP(-LN(2)/2)*AW138+(1-EXP(-LN(2)/2))/(LN(2)/2)*AQ139*AT139*VLOOKUP('Données projet'!$B$10,Paramètres!$A$1:$I$89,3,0)*0.475*44/12</f>
        <v>1.3471179849235609E-7</v>
      </c>
      <c r="AX139" s="21">
        <f t="shared" si="114"/>
        <v>54.1669167176494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1.1368683772161603E-12</v>
      </c>
      <c r="O140" s="13">
        <f>N140*VLOOKUP('Données projet'!$B$9,Paramètres!$A$1:$I$89,3,0)*VLOOKUP('Données projet'!$B$9,Paramètres!$A$1:$I$89,5,0)</f>
        <v>5.3205440053716299E-13</v>
      </c>
      <c r="P140" s="13">
        <f t="shared" si="141"/>
        <v>6.579711042921201E-12</v>
      </c>
      <c r="Q140" s="20">
        <f t="shared" si="108"/>
        <v>1.2386324814023317E-11</v>
      </c>
      <c r="R140" s="59">
        <f t="shared" si="109"/>
        <v>293.33333333334571</v>
      </c>
      <c r="S140" s="59">
        <f ca="1">AVERAGE(OFFSET($R$3,0,0,'Données projet'!$E$9+1,1))-AVERAGE(OFFSET($H$3,0,0,'Données projet'!$E$9+1,1))</f>
        <v>204.77882499755987</v>
      </c>
      <c r="T140" s="59">
        <f t="shared" si="142"/>
        <v>152.46480920430594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129.44902789476723</v>
      </c>
      <c r="AA140" s="21">
        <f>EXP(-LN(2)/25)*AA139+(1-EXP(-LN(2)/25))/(LN(2)/25)*Calculateur!V140*Calculateur!X140*VLOOKUP('Données projet'!$B$9,Paramètres!$A$1:$I$89,3,0)*0.475*44/12</f>
        <v>29.478511038538677</v>
      </c>
      <c r="AB140" s="21">
        <f>EXP(-LN(2)/2)*AB139+(1-EXP(-LN(2)/2))/(LN(2)/2)*V140*Y140*VLOOKUP('Données projet'!$B$9,Paramètres!$A$1:$I$89,3,0)*0.475*44/12</f>
        <v>2.3267703526787851</v>
      </c>
      <c r="AC140" s="22">
        <f t="shared" si="111"/>
        <v>161.25430928598468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-2.0395418687257919E-13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237.03649693529445</v>
      </c>
      <c r="AO140" s="59">
        <f t="shared" si="144"/>
        <v>191.04289411674887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46.004050796314409</v>
      </c>
      <c r="AV140" s="21">
        <f>EXP(-LN(2)/25)*AV139+(1-EXP(-LN(2)/25))/(LN(2)/25)*Calculateur!AQ140*Calculateur!AS140*VLOOKUP('Données projet'!$B$10,Paramètres!$A$1:$I$89,3,0)*0.475*44/12</f>
        <v>7.044658424990919</v>
      </c>
      <c r="AW140" s="21">
        <f>EXP(-LN(2)/2)*AW139+(1-EXP(-LN(2)/2))/(LN(2)/2)*AQ140*AT140*VLOOKUP('Données projet'!$B$10,Paramètres!$A$1:$I$89,3,0)*0.475*44/12</f>
        <v>9.525562621978072E-8</v>
      </c>
      <c r="AX140" s="21">
        <f t="shared" si="114"/>
        <v>53.048709316560959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1.1368683772161603E-12</v>
      </c>
      <c r="O141" s="13">
        <f>N141*VLOOKUP('Données projet'!$B$9,Paramètres!$A$1:$I$89,3,0)*VLOOKUP('Données projet'!$B$9,Paramètres!$A$1:$I$89,5,0)</f>
        <v>5.3205440053716299E-13</v>
      </c>
      <c r="P141" s="13">
        <f t="shared" si="141"/>
        <v>6.579711042921201E-12</v>
      </c>
      <c r="Q141" s="20">
        <f t="shared" si="108"/>
        <v>1.2386324814023317E-11</v>
      </c>
      <c r="R141" s="59">
        <f t="shared" si="109"/>
        <v>293.33333333334571</v>
      </c>
      <c r="S141" s="59">
        <f ca="1">AVERAGE(OFFSET($R$3,0,0,'Données projet'!$E$9+1,1))-AVERAGE(OFFSET($H$3,0,0,'Données projet'!$E$9+1,1))</f>
        <v>204.77882499755987</v>
      </c>
      <c r="T141" s="59">
        <f t="shared" si="142"/>
        <v>152.46480920430594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126.91061141386159</v>
      </c>
      <c r="AA141" s="21">
        <f>EXP(-LN(2)/25)*AA140+(1-EXP(-LN(2)/25))/(LN(2)/25)*Calculateur!V141*Calculateur!X141*VLOOKUP('Données projet'!$B$9,Paramètres!$A$1:$I$89,3,0)*0.475*44/12</f>
        <v>28.672419603982316</v>
      </c>
      <c r="AB141" s="21">
        <f>EXP(-LN(2)/2)*AB140+(1-EXP(-LN(2)/2))/(LN(2)/2)*V141*Y141*VLOOKUP('Données projet'!$B$9,Paramètres!$A$1:$I$89,3,0)*0.475*44/12</f>
        <v>1.6452750946429837</v>
      </c>
      <c r="AC141" s="22">
        <f t="shared" si="111"/>
        <v>157.22830611248688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-2.0395418687257919E-13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237.03649693529445</v>
      </c>
      <c r="AO141" s="59">
        <f t="shared" si="144"/>
        <v>191.04289411674887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45.101939419899004</v>
      </c>
      <c r="AV141" s="21">
        <f>EXP(-LN(2)/25)*AV140+(1-EXP(-LN(2)/25))/(LN(2)/25)*Calculateur!AQ141*Calculateur!AS141*VLOOKUP('Données projet'!$B$10,Paramètres!$A$1:$I$89,3,0)*0.475*44/12</f>
        <v>6.8520218698970563</v>
      </c>
      <c r="AW141" s="21">
        <f>EXP(-LN(2)/2)*AW140+(1-EXP(-LN(2)/2))/(LN(2)/2)*AQ141*AT141*VLOOKUP('Données projet'!$B$10,Paramètres!$A$1:$I$89,3,0)*0.475*44/12</f>
        <v>6.7355899246178045E-8</v>
      </c>
      <c r="AX141" s="21">
        <f t="shared" si="114"/>
        <v>51.953961357151961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1.1368683772161603E-12</v>
      </c>
      <c r="O142" s="13">
        <f>N142*VLOOKUP('Données projet'!$B$9,Paramètres!$A$1:$I$89,3,0)*VLOOKUP('Données projet'!$B$9,Paramètres!$A$1:$I$89,5,0)</f>
        <v>5.3205440053716299E-13</v>
      </c>
      <c r="P142" s="13">
        <f t="shared" si="141"/>
        <v>6.579711042921201E-12</v>
      </c>
      <c r="Q142" s="20">
        <f t="shared" si="108"/>
        <v>1.2386324814023317E-11</v>
      </c>
      <c r="R142" s="59">
        <f t="shared" si="109"/>
        <v>293.33333333334571</v>
      </c>
      <c r="S142" s="59">
        <f ca="1">AVERAGE(OFFSET($R$3,0,0,'Données projet'!$E$9+1,1))-AVERAGE(OFFSET($H$3,0,0,'Données projet'!$E$9+1,1))</f>
        <v>204.77882499755987</v>
      </c>
      <c r="T142" s="59">
        <f t="shared" si="142"/>
        <v>152.46480920430594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124.42197173186534</v>
      </c>
      <c r="AA142" s="21">
        <f>EXP(-LN(2)/25)*AA141+(1-EXP(-LN(2)/25))/(LN(2)/25)*Calculateur!V142*Calculateur!X142*VLOOKUP('Données projet'!$B$9,Paramètres!$A$1:$I$89,3,0)*0.475*44/12</f>
        <v>27.888370782094405</v>
      </c>
      <c r="AB142" s="21">
        <f>EXP(-LN(2)/2)*AB141+(1-EXP(-LN(2)/2))/(LN(2)/2)*V142*Y142*VLOOKUP('Données projet'!$B$9,Paramètres!$A$1:$I$89,3,0)*0.475*44/12</f>
        <v>1.1633851763393925</v>
      </c>
      <c r="AC142" s="22">
        <f t="shared" si="111"/>
        <v>153.47372769029914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-2.0395418687257919E-13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237.03649693529445</v>
      </c>
      <c r="AO142" s="59">
        <f t="shared" si="144"/>
        <v>191.04289411674887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44.217517897341494</v>
      </c>
      <c r="AV142" s="21">
        <f>EXP(-LN(2)/25)*AV141+(1-EXP(-LN(2)/25))/(LN(2)/25)*Calculateur!AQ142*Calculateur!AS142*VLOOKUP('Données projet'!$B$10,Paramètres!$A$1:$I$89,3,0)*0.475*44/12</f>
        <v>6.6646529715325515</v>
      </c>
      <c r="AW142" s="21">
        <f>EXP(-LN(2)/2)*AW141+(1-EXP(-LN(2)/2))/(LN(2)/2)*AQ142*AT142*VLOOKUP('Données projet'!$B$10,Paramètres!$A$1:$I$89,3,0)*0.475*44/12</f>
        <v>4.762781310989036E-8</v>
      </c>
      <c r="AX142" s="21">
        <f t="shared" si="114"/>
        <v>50.882170916501863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1.1368683772161603E-12</v>
      </c>
      <c r="O143" s="13">
        <f>N143*VLOOKUP('Données projet'!$B$9,Paramètres!$A$1:$I$89,3,0)*VLOOKUP('Données projet'!$B$9,Paramètres!$A$1:$I$89,5,0)</f>
        <v>5.3205440053716299E-13</v>
      </c>
      <c r="P143" s="13">
        <f t="shared" si="141"/>
        <v>6.579711042921201E-12</v>
      </c>
      <c r="Q143" s="20">
        <f t="shared" si="108"/>
        <v>1.2386324814023317E-11</v>
      </c>
      <c r="R143" s="59">
        <f t="shared" si="109"/>
        <v>293.33333333334571</v>
      </c>
      <c r="S143" s="59">
        <f ca="1">AVERAGE(OFFSET($R$3,0,0,'Données projet'!$E$9+1,1))-AVERAGE(OFFSET($H$3,0,0,'Données projet'!$E$9+1,1))</f>
        <v>204.77882499755987</v>
      </c>
      <c r="T143" s="59">
        <f t="shared" si="142"/>
        <v>152.46480920430594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121.9821327561127</v>
      </c>
      <c r="AA143" s="21">
        <f>EXP(-LN(2)/25)*AA142+(1-EXP(-LN(2)/25))/(LN(2)/25)*Calculateur!V143*Calculateur!X143*VLOOKUP('Données projet'!$B$9,Paramètres!$A$1:$I$89,3,0)*0.475*44/12</f>
        <v>27.125761816472355</v>
      </c>
      <c r="AB143" s="21">
        <f>EXP(-LN(2)/2)*AB142+(1-EXP(-LN(2)/2))/(LN(2)/2)*V143*Y143*VLOOKUP('Données projet'!$B$9,Paramètres!$A$1:$I$89,3,0)*0.475*44/12</f>
        <v>0.82263754732149186</v>
      </c>
      <c r="AC143" s="22">
        <f t="shared" si="111"/>
        <v>149.93053211990656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-2.0395418687257919E-13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237.03649693529445</v>
      </c>
      <c r="AO143" s="59">
        <f t="shared" si="144"/>
        <v>191.04289411674887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43.350439341397475</v>
      </c>
      <c r="AV143" s="21">
        <f>EXP(-LN(2)/25)*AV142+(1-EXP(-LN(2)/25))/(LN(2)/25)*Calculateur!AQ143*Calculateur!AS143*VLOOKUP('Données projet'!$B$10,Paramètres!$A$1:$I$89,3,0)*0.475*44/12</f>
        <v>6.482407685547126</v>
      </c>
      <c r="AW143" s="21">
        <f>EXP(-LN(2)/2)*AW142+(1-EXP(-LN(2)/2))/(LN(2)/2)*AQ143*AT143*VLOOKUP('Données projet'!$B$10,Paramètres!$A$1:$I$89,3,0)*0.475*44/12</f>
        <v>3.3677949623089022E-8</v>
      </c>
      <c r="AX143" s="21">
        <f t="shared" si="114"/>
        <v>49.832847060622548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1.1368683772161603E-12</v>
      </c>
      <c r="O144" s="13">
        <f>N144*VLOOKUP('Données projet'!$B$9,Paramètres!$A$1:$I$89,3,0)*VLOOKUP('Données projet'!$B$9,Paramètres!$A$1:$I$89,5,0)</f>
        <v>5.3205440053716299E-13</v>
      </c>
      <c r="P144" s="13">
        <f t="shared" si="141"/>
        <v>6.579711042921201E-12</v>
      </c>
      <c r="Q144" s="20">
        <f t="shared" si="108"/>
        <v>1.2386324814023317E-11</v>
      </c>
      <c r="R144" s="59">
        <f t="shared" si="109"/>
        <v>293.33333333334571</v>
      </c>
      <c r="S144" s="59">
        <f ca="1">AVERAGE(OFFSET($R$3,0,0,'Données projet'!$E$9+1,1))-AVERAGE(OFFSET($H$3,0,0,'Données projet'!$E$9+1,1))</f>
        <v>204.77882499755987</v>
      </c>
      <c r="T144" s="59">
        <f t="shared" si="142"/>
        <v>152.46480920430594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119.59013753451976</v>
      </c>
      <c r="AA144" s="21">
        <f>EXP(-LN(2)/25)*AA143+(1-EXP(-LN(2)/25))/(LN(2)/25)*Calculateur!V144*Calculateur!X144*VLOOKUP('Données projet'!$B$9,Paramètres!$A$1:$I$89,3,0)*0.475*44/12</f>
        <v>26.384006433119101</v>
      </c>
      <c r="AB144" s="21">
        <f>EXP(-LN(2)/2)*AB143+(1-EXP(-LN(2)/2))/(LN(2)/2)*V144*Y144*VLOOKUP('Données projet'!$B$9,Paramètres!$A$1:$I$89,3,0)*0.475*44/12</f>
        <v>0.58169258816969627</v>
      </c>
      <c r="AC144" s="22">
        <f t="shared" si="111"/>
        <v>146.55583655580855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-2.0395418687257919E-13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237.03649693529445</v>
      </c>
      <c r="AO144" s="59">
        <f t="shared" si="144"/>
        <v>191.04289411674887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42.50036366706982</v>
      </c>
      <c r="AV144" s="21">
        <f>EXP(-LN(2)/25)*AV143+(1-EXP(-LN(2)/25))/(LN(2)/25)*Calculateur!AQ144*Calculateur!AS144*VLOOKUP('Données projet'!$B$10,Paramètres!$A$1:$I$89,3,0)*0.475*44/12</f>
        <v>6.3051459064908357</v>
      </c>
      <c r="AW144" s="21">
        <f>EXP(-LN(2)/2)*AW143+(1-EXP(-LN(2)/2))/(LN(2)/2)*AQ144*AT144*VLOOKUP('Données projet'!$B$10,Paramètres!$A$1:$I$89,3,0)*0.475*44/12</f>
        <v>2.381390655494518E-8</v>
      </c>
      <c r="AX144" s="21">
        <f t="shared" si="114"/>
        <v>48.805509597374559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1.1368683772161603E-12</v>
      </c>
      <c r="O145" s="13">
        <f>N145*VLOOKUP('Données projet'!$B$9,Paramètres!$A$1:$I$89,3,0)*VLOOKUP('Données projet'!$B$9,Paramètres!$A$1:$I$89,5,0)</f>
        <v>5.3205440053716299E-13</v>
      </c>
      <c r="P145" s="13">
        <f t="shared" si="141"/>
        <v>6.579711042921201E-12</v>
      </c>
      <c r="Q145" s="20">
        <f t="shared" si="108"/>
        <v>1.2386324814023317E-11</v>
      </c>
      <c r="R145" s="59">
        <f t="shared" si="109"/>
        <v>293.33333333334571</v>
      </c>
      <c r="S145" s="59">
        <f ca="1">AVERAGE(OFFSET($R$3,0,0,'Données projet'!$E$9+1,1))-AVERAGE(OFFSET($H$3,0,0,'Données projet'!$E$9+1,1))</f>
        <v>204.77882499755987</v>
      </c>
      <c r="T145" s="59">
        <f t="shared" si="142"/>
        <v>152.46480920430594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117.24504788024922</v>
      </c>
      <c r="AA145" s="21">
        <f>EXP(-LN(2)/25)*AA144+(1-EXP(-LN(2)/25))/(LN(2)/25)*Calculateur!V145*Calculateur!X145*VLOOKUP('Données projet'!$B$9,Paramètres!$A$1:$I$89,3,0)*0.475*44/12</f>
        <v>25.662534389730862</v>
      </c>
      <c r="AB145" s="21">
        <f>EXP(-LN(2)/2)*AB144+(1-EXP(-LN(2)/2))/(LN(2)/2)*V145*Y145*VLOOKUP('Données projet'!$B$9,Paramètres!$A$1:$I$89,3,0)*0.475*44/12</f>
        <v>0.41131877366074593</v>
      </c>
      <c r="AC145" s="22">
        <f t="shared" si="111"/>
        <v>143.31890104364084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-2.0395418687257919E-13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237.03649693529445</v>
      </c>
      <c r="AO145" s="59">
        <f t="shared" si="144"/>
        <v>191.04289411674887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41.666957458220764</v>
      </c>
      <c r="AV145" s="21">
        <f>EXP(-LN(2)/25)*AV144+(1-EXP(-LN(2)/25))/(LN(2)/25)*Calculateur!AQ145*Calculateur!AS145*VLOOKUP('Données projet'!$B$10,Paramètres!$A$1:$I$89,3,0)*0.475*44/12</f>
        <v>6.1327313601046312</v>
      </c>
      <c r="AW145" s="21">
        <f>EXP(-LN(2)/2)*AW144+(1-EXP(-LN(2)/2))/(LN(2)/2)*AQ145*AT145*VLOOKUP('Données projet'!$B$10,Paramètres!$A$1:$I$89,3,0)*0.475*44/12</f>
        <v>1.6838974811544511E-8</v>
      </c>
      <c r="AX145" s="21">
        <f t="shared" si="114"/>
        <v>47.799688835164368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1.1368683772161603E-12</v>
      </c>
      <c r="O146" s="13">
        <f>N146*VLOOKUP('Données projet'!$B$9,Paramètres!$A$1:$I$89,3,0)*VLOOKUP('Données projet'!$B$9,Paramètres!$A$1:$I$89,5,0)</f>
        <v>5.3205440053716299E-13</v>
      </c>
      <c r="P146" s="13">
        <f t="shared" si="141"/>
        <v>6.579711042921201E-12</v>
      </c>
      <c r="Q146" s="20">
        <f t="shared" si="108"/>
        <v>1.2386324814023317E-11</v>
      </c>
      <c r="R146" s="59">
        <f t="shared" si="109"/>
        <v>293.33333333334571</v>
      </c>
      <c r="S146" s="59">
        <f ca="1">AVERAGE(OFFSET($R$3,0,0,'Données projet'!$E$9+1,1))-AVERAGE(OFFSET($H$3,0,0,'Données projet'!$E$9+1,1))</f>
        <v>204.77882499755987</v>
      </c>
      <c r="T146" s="59">
        <f t="shared" si="142"/>
        <v>152.46480920430594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114.94594400373548</v>
      </c>
      <c r="AA146" s="21">
        <f>EXP(-LN(2)/25)*AA145+(1-EXP(-LN(2)/25))/(LN(2)/25)*Calculateur!V146*Calculateur!X146*VLOOKUP('Données projet'!$B$9,Paramètres!$A$1:$I$89,3,0)*0.475*44/12</f>
        <v>24.96079103730964</v>
      </c>
      <c r="AB146" s="21">
        <f>EXP(-LN(2)/2)*AB145+(1-EXP(-LN(2)/2))/(LN(2)/2)*V146*Y146*VLOOKUP('Données projet'!$B$9,Paramètres!$A$1:$I$89,3,0)*0.475*44/12</f>
        <v>0.29084629408484813</v>
      </c>
      <c r="AC146" s="22">
        <f t="shared" si="111"/>
        <v>140.19758133512997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-2.0395418687257919E-13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237.03649693529445</v>
      </c>
      <c r="AO146" s="59">
        <f t="shared" si="144"/>
        <v>191.04289411674887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40.849893836799644</v>
      </c>
      <c r="AV146" s="21">
        <f>EXP(-LN(2)/25)*AV145+(1-EXP(-LN(2)/25))/(LN(2)/25)*Calculateur!AQ146*Calculateur!AS146*VLOOKUP('Données projet'!$B$10,Paramètres!$A$1:$I$89,3,0)*0.475*44/12</f>
        <v>5.965031498556244</v>
      </c>
      <c r="AW146" s="21">
        <f>EXP(-LN(2)/2)*AW145+(1-EXP(-LN(2)/2))/(LN(2)/2)*AQ146*AT146*VLOOKUP('Données projet'!$B$10,Paramètres!$A$1:$I$89,3,0)*0.475*44/12</f>
        <v>1.190695327747259E-8</v>
      </c>
      <c r="AX146" s="21">
        <f t="shared" si="114"/>
        <v>46.814925347262843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1.1368683772161603E-12</v>
      </c>
      <c r="O147" s="13">
        <f>N147*VLOOKUP('Données projet'!$B$9,Paramètres!$A$1:$I$89,3,0)*VLOOKUP('Données projet'!$B$9,Paramètres!$A$1:$I$89,5,0)</f>
        <v>5.3205440053716299E-13</v>
      </c>
      <c r="P147" s="13">
        <f t="shared" si="141"/>
        <v>6.579711042921201E-12</v>
      </c>
      <c r="Q147" s="20">
        <f t="shared" si="108"/>
        <v>1.2386324814023317E-11</v>
      </c>
      <c r="R147" s="59">
        <f t="shared" si="109"/>
        <v>293.33333333334571</v>
      </c>
      <c r="S147" s="59">
        <f ca="1">AVERAGE(OFFSET($R$3,0,0,'Données projet'!$E$9+1,1))-AVERAGE(OFFSET($H$3,0,0,'Données projet'!$E$9+1,1))</f>
        <v>204.77882499755987</v>
      </c>
      <c r="T147" s="59">
        <f t="shared" si="142"/>
        <v>152.46480920430594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112.69192415192526</v>
      </c>
      <c r="AA147" s="21">
        <f>EXP(-LN(2)/25)*AA146+(1-EXP(-LN(2)/25))/(LN(2)/25)*Calculateur!V147*Calculateur!X147*VLOOKUP('Données projet'!$B$9,Paramètres!$A$1:$I$89,3,0)*0.475*44/12</f>
        <v>24.278236893763456</v>
      </c>
      <c r="AB147" s="21">
        <f>EXP(-LN(2)/2)*AB146+(1-EXP(-LN(2)/2))/(LN(2)/2)*V147*Y147*VLOOKUP('Données projet'!$B$9,Paramètres!$A$1:$I$89,3,0)*0.475*44/12</f>
        <v>0.20565938683037296</v>
      </c>
      <c r="AC147" s="22">
        <f t="shared" si="111"/>
        <v>137.17582043251909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-2.0395418687257919E-13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237.03649693529445</v>
      </c>
      <c r="AO147" s="59">
        <f t="shared" si="144"/>
        <v>191.04289411674887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40.048852334634994</v>
      </c>
      <c r="AV147" s="21">
        <f>EXP(-LN(2)/25)*AV146+(1-EXP(-LN(2)/25))/(LN(2)/25)*Calculateur!AQ147*Calculateur!AS147*VLOOKUP('Données projet'!$B$10,Paramètres!$A$1:$I$89,3,0)*0.475*44/12</f>
        <v>5.8019173985408505</v>
      </c>
      <c r="AW147" s="21">
        <f>EXP(-LN(2)/2)*AW146+(1-EXP(-LN(2)/2))/(LN(2)/2)*AQ147*AT147*VLOOKUP('Données projet'!$B$10,Paramètres!$A$1:$I$89,3,0)*0.475*44/12</f>
        <v>8.4194874057722556E-9</v>
      </c>
      <c r="AX147" s="21">
        <f t="shared" si="114"/>
        <v>45.850769741595336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1.1368683772161603E-12</v>
      </c>
      <c r="O148" s="13">
        <f>N148*VLOOKUP('Données projet'!$B$9,Paramètres!$A$1:$I$89,3,0)*VLOOKUP('Données projet'!$B$9,Paramètres!$A$1:$I$89,5,0)</f>
        <v>5.3205440053716299E-13</v>
      </c>
      <c r="P148" s="13">
        <f t="shared" si="141"/>
        <v>6.579711042921201E-12</v>
      </c>
      <c r="Q148" s="20">
        <f t="shared" si="108"/>
        <v>1.2386324814023317E-11</v>
      </c>
      <c r="R148" s="59">
        <f t="shared" si="109"/>
        <v>293.33333333334571</v>
      </c>
      <c r="S148" s="59">
        <f ca="1">AVERAGE(OFFSET($R$3,0,0,'Données projet'!$E$9+1,1))-AVERAGE(OFFSET($H$3,0,0,'Données projet'!$E$9+1,1))</f>
        <v>204.77882499755987</v>
      </c>
      <c r="T148" s="59">
        <f t="shared" si="142"/>
        <v>152.46480920430594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110.4821042545927</v>
      </c>
      <c r="AA148" s="21">
        <f>EXP(-LN(2)/25)*AA147+(1-EXP(-LN(2)/25))/(LN(2)/25)*Calculateur!V148*Calculateur!X148*VLOOKUP('Données projet'!$B$9,Paramètres!$A$1:$I$89,3,0)*0.475*44/12</f>
        <v>23.614347229166505</v>
      </c>
      <c r="AB148" s="21">
        <f>EXP(-LN(2)/2)*AB147+(1-EXP(-LN(2)/2))/(LN(2)/2)*V148*Y148*VLOOKUP('Données projet'!$B$9,Paramètres!$A$1:$I$89,3,0)*0.475*44/12</f>
        <v>0.14542314704242407</v>
      </c>
      <c r="AC148" s="22">
        <f t="shared" si="111"/>
        <v>134.24187463080165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-2.0395418687257919E-13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237.03649693529445</v>
      </c>
      <c r="AO148" s="59">
        <f t="shared" si="144"/>
        <v>191.04289411674887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39.26351876774072</v>
      </c>
      <c r="AV148" s="21">
        <f>EXP(-LN(2)/25)*AV147+(1-EXP(-LN(2)/25))/(LN(2)/25)*Calculateur!AQ148*Calculateur!AS148*VLOOKUP('Données projet'!$B$10,Paramètres!$A$1:$I$89,3,0)*0.475*44/12</f>
        <v>5.6432636621681755</v>
      </c>
      <c r="AW148" s="21">
        <f>EXP(-LN(2)/2)*AW147+(1-EXP(-LN(2)/2))/(LN(2)/2)*AQ148*AT148*VLOOKUP('Données projet'!$B$10,Paramètres!$A$1:$I$89,3,0)*0.475*44/12</f>
        <v>5.953476638736295E-9</v>
      </c>
      <c r="AX148" s="21">
        <f t="shared" si="114"/>
        <v>44.906782435862368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1.1368683772161603E-12</v>
      </c>
      <c r="O149" s="13">
        <f>N149*VLOOKUP('Données projet'!$B$9,Paramètres!$A$1:$I$89,3,0)*VLOOKUP('Données projet'!$B$9,Paramètres!$A$1:$I$89,5,0)</f>
        <v>5.3205440053716299E-13</v>
      </c>
      <c r="P149" s="13">
        <f t="shared" si="141"/>
        <v>6.579711042921201E-12</v>
      </c>
      <c r="Q149" s="20">
        <f t="shared" si="108"/>
        <v>1.2386324814023317E-11</v>
      </c>
      <c r="R149" s="59">
        <f t="shared" si="109"/>
        <v>293.33333333334571</v>
      </c>
      <c r="S149" s="59">
        <f ca="1">AVERAGE(OFFSET($R$3,0,0,'Données projet'!$E$9+1,1))-AVERAGE(OFFSET($H$3,0,0,'Données projet'!$E$9+1,1))</f>
        <v>204.77882499755987</v>
      </c>
      <c r="T149" s="59">
        <f t="shared" si="142"/>
        <v>152.46480920430594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108.31561757758978</v>
      </c>
      <c r="AA149" s="21">
        <f>EXP(-LN(2)/25)*AA148+(1-EXP(-LN(2)/25))/(LN(2)/25)*Calculateur!V149*Calculateur!X149*VLOOKUP('Données projet'!$B$9,Paramètres!$A$1:$I$89,3,0)*0.475*44/12</f>
        <v>22.968611662360399</v>
      </c>
      <c r="AB149" s="21">
        <f>EXP(-LN(2)/2)*AB148+(1-EXP(-LN(2)/2))/(LN(2)/2)*V149*Y149*VLOOKUP('Données projet'!$B$9,Paramètres!$A$1:$I$89,3,0)*0.475*44/12</f>
        <v>0.10282969341518648</v>
      </c>
      <c r="AC149" s="22">
        <f t="shared" si="111"/>
        <v>131.38705893336535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-2.0395418687257919E-13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237.03649693529445</v>
      </c>
      <c r="AO149" s="59">
        <f t="shared" si="144"/>
        <v>191.04289411674887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38.493585113087065</v>
      </c>
      <c r="AV149" s="21">
        <f>EXP(-LN(2)/25)*AV148+(1-EXP(-LN(2)/25))/(LN(2)/25)*Calculateur!AQ149*Calculateur!AS149*VLOOKUP('Données projet'!$B$10,Paramètres!$A$1:$I$89,3,0)*0.475*44/12</f>
        <v>5.4889483205598486</v>
      </c>
      <c r="AW149" s="21">
        <f>EXP(-LN(2)/2)*AW148+(1-EXP(-LN(2)/2))/(LN(2)/2)*AQ149*AT149*VLOOKUP('Données projet'!$B$10,Paramètres!$A$1:$I$89,3,0)*0.475*44/12</f>
        <v>4.2097437028861278E-9</v>
      </c>
      <c r="AX149" s="21">
        <f t="shared" si="114"/>
        <v>43.982533437856659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1.1368683772161603E-12</v>
      </c>
      <c r="O150" s="13">
        <f>N150*VLOOKUP('Données projet'!$B$9,Paramètres!$A$1:$I$89,3,0)*VLOOKUP('Données projet'!$B$9,Paramètres!$A$1:$I$89,5,0)</f>
        <v>5.3205440053716299E-13</v>
      </c>
      <c r="P150" s="13">
        <f t="shared" si="141"/>
        <v>6.579711042921201E-12</v>
      </c>
      <c r="Q150" s="20">
        <f t="shared" si="108"/>
        <v>1.2386324814023317E-11</v>
      </c>
      <c r="R150" s="59">
        <f t="shared" si="109"/>
        <v>293.33333333334571</v>
      </c>
      <c r="S150" s="59">
        <f ca="1">AVERAGE(OFFSET($R$3,0,0,'Données projet'!$E$9+1,1))-AVERAGE(OFFSET($H$3,0,0,'Données projet'!$E$9+1,1))</f>
        <v>204.77882499755987</v>
      </c>
      <c r="T150" s="59">
        <f t="shared" si="142"/>
        <v>152.46480920430594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106.19161438289649</v>
      </c>
      <c r="AA150" s="21">
        <f>EXP(-LN(2)/25)*AA149+(1-EXP(-LN(2)/25))/(LN(2)/25)*Calculateur!V150*Calculateur!X150*VLOOKUP('Données projet'!$B$9,Paramètres!$A$1:$I$89,3,0)*0.475*44/12</f>
        <v>22.340533768586361</v>
      </c>
      <c r="AB150" s="21">
        <f>EXP(-LN(2)/2)*AB149+(1-EXP(-LN(2)/2))/(LN(2)/2)*V150*Y150*VLOOKUP('Données projet'!$B$9,Paramètres!$A$1:$I$89,3,0)*0.475*44/12</f>
        <v>7.2711573521212033E-2</v>
      </c>
      <c r="AC150" s="22">
        <f t="shared" si="111"/>
        <v>128.60485972500408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-2.0395418687257919E-13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237.03649693529445</v>
      </c>
      <c r="AO150" s="59">
        <f t="shared" si="144"/>
        <v>191.04289411674887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37.738749387788012</v>
      </c>
      <c r="AV150" s="21">
        <f>EXP(-LN(2)/25)*AV149+(1-EXP(-LN(2)/25))/(LN(2)/25)*Calculateur!AQ150*Calculateur!AS150*VLOOKUP('Données projet'!$B$10,Paramètres!$A$1:$I$89,3,0)*0.475*44/12</f>
        <v>5.3388527400828929</v>
      </c>
      <c r="AW150" s="21">
        <f>EXP(-LN(2)/2)*AW149+(1-EXP(-LN(2)/2))/(LN(2)/2)*AQ150*AT150*VLOOKUP('Données projet'!$B$10,Paramètres!$A$1:$I$89,3,0)*0.475*44/12</f>
        <v>2.9767383193681475E-9</v>
      </c>
      <c r="AX150" s="21">
        <f t="shared" si="114"/>
        <v>43.077602130847644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1.1368683772161603E-12</v>
      </c>
      <c r="O151" s="13">
        <f>N151*VLOOKUP('Données projet'!$B$9,Paramètres!$A$1:$I$89,3,0)*VLOOKUP('Données projet'!$B$9,Paramètres!$A$1:$I$89,5,0)</f>
        <v>5.3205440053716299E-13</v>
      </c>
      <c r="P151" s="13">
        <f t="shared" si="141"/>
        <v>6.579711042921201E-12</v>
      </c>
      <c r="Q151" s="20">
        <f t="shared" si="108"/>
        <v>1.2386324814023317E-11</v>
      </c>
      <c r="R151" s="59">
        <f t="shared" si="109"/>
        <v>293.33333333334571</v>
      </c>
      <c r="S151" s="59">
        <f ca="1">AVERAGE(OFFSET($R$3,0,0,'Données projet'!$E$9+1,1))-AVERAGE(OFFSET($H$3,0,0,'Données projet'!$E$9+1,1))</f>
        <v>204.77882499755987</v>
      </c>
      <c r="T151" s="59">
        <f t="shared" si="142"/>
        <v>152.46480920430594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104.1092615953371</v>
      </c>
      <c r="AA151" s="21">
        <f>EXP(-LN(2)/25)*AA150+(1-EXP(-LN(2)/25))/(LN(2)/25)*Calculateur!V151*Calculateur!X151*VLOOKUP('Données projet'!$B$9,Paramètres!$A$1:$I$89,3,0)*0.475*44/12</f>
        <v>21.729630697846755</v>
      </c>
      <c r="AB151" s="21">
        <f>EXP(-LN(2)/2)*AB150+(1-EXP(-LN(2)/2))/(LN(2)/2)*V151*Y151*VLOOKUP('Données projet'!$B$9,Paramètres!$A$1:$I$89,3,0)*0.475*44/12</f>
        <v>5.1414846707593241E-2</v>
      </c>
      <c r="AC151" s="22">
        <f t="shared" si="111"/>
        <v>125.89030713989145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-2.0395418687257919E-13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237.03649693529445</v>
      </c>
      <c r="AO151" s="59">
        <f t="shared" si="144"/>
        <v>191.04289411674887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36.998715530657741</v>
      </c>
      <c r="AV151" s="21">
        <f>EXP(-LN(2)/25)*AV150+(1-EXP(-LN(2)/25))/(LN(2)/25)*Calculateur!AQ151*Calculateur!AS151*VLOOKUP('Données projet'!$B$10,Paramètres!$A$1:$I$89,3,0)*0.475*44/12</f>
        <v>5.1928615311472628</v>
      </c>
      <c r="AW151" s="21">
        <f>EXP(-LN(2)/2)*AW150+(1-EXP(-LN(2)/2))/(LN(2)/2)*AQ151*AT151*VLOOKUP('Données projet'!$B$10,Paramètres!$A$1:$I$89,3,0)*0.475*44/12</f>
        <v>2.1048718514430639E-9</v>
      </c>
      <c r="AX151" s="21">
        <f t="shared" si="114"/>
        <v>42.191577063909875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1.1368683772161603E-12</v>
      </c>
      <c r="O152" s="13">
        <f>N152*VLOOKUP('Données projet'!$B$9,Paramètres!$A$1:$I$89,3,0)*VLOOKUP('Données projet'!$B$9,Paramètres!$A$1:$I$89,5,0)</f>
        <v>5.3205440053716299E-13</v>
      </c>
      <c r="P152" s="13">
        <f t="shared" si="141"/>
        <v>6.579711042921201E-12</v>
      </c>
      <c r="Q152" s="20">
        <f t="shared" si="108"/>
        <v>1.2386324814023317E-11</v>
      </c>
      <c r="R152" s="59">
        <f t="shared" si="109"/>
        <v>293.33333333334571</v>
      </c>
      <c r="S152" s="59">
        <f ca="1">AVERAGE(OFFSET($R$3,0,0,'Données projet'!$E$9+1,1))-AVERAGE(OFFSET($H$3,0,0,'Données projet'!$E$9+1,1))</f>
        <v>204.77882499755987</v>
      </c>
      <c r="T152" s="59">
        <f t="shared" si="142"/>
        <v>152.46480920430594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102.06774247583198</v>
      </c>
      <c r="AA152" s="21">
        <f>EXP(-LN(2)/25)*AA151+(1-EXP(-LN(2)/25))/(LN(2)/25)*Calculateur!V152*Calculateur!X152*VLOOKUP('Données projet'!$B$9,Paramètres!$A$1:$I$89,3,0)*0.475*44/12</f>
        <v>21.135432803702521</v>
      </c>
      <c r="AB152" s="21">
        <f>EXP(-LN(2)/2)*AB151+(1-EXP(-LN(2)/2))/(LN(2)/2)*V152*Y152*VLOOKUP('Données projet'!$B$9,Paramètres!$A$1:$I$89,3,0)*0.475*44/12</f>
        <v>3.6355786760606017E-2</v>
      </c>
      <c r="AC152" s="22">
        <f t="shared" si="111"/>
        <v>123.2395310662951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-2.0395418687257919E-13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237.03649693529445</v>
      </c>
      <c r="AO152" s="59">
        <f t="shared" si="144"/>
        <v>191.04289411674887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36.273193286089715</v>
      </c>
      <c r="AV152" s="21">
        <f>EXP(-LN(2)/25)*AV151+(1-EXP(-LN(2)/25))/(LN(2)/25)*Calculateur!AQ152*Calculateur!AS152*VLOOKUP('Données projet'!$B$10,Paramètres!$A$1:$I$89,3,0)*0.475*44/12</f>
        <v>5.0508624594973215</v>
      </c>
      <c r="AW152" s="21">
        <f>EXP(-LN(2)/2)*AW151+(1-EXP(-LN(2)/2))/(LN(2)/2)*AQ152*AT152*VLOOKUP('Données projet'!$B$10,Paramètres!$A$1:$I$89,3,0)*0.475*44/12</f>
        <v>1.4883691596840738E-9</v>
      </c>
      <c r="AX152" s="21">
        <f t="shared" si="114"/>
        <v>41.324055747075406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1.1368683772161603E-12</v>
      </c>
      <c r="O153" s="13">
        <f>N153*VLOOKUP('Données projet'!$B$9,Paramètres!$A$1:$I$89,3,0)*VLOOKUP('Données projet'!$B$9,Paramètres!$A$1:$I$89,5,0)</f>
        <v>5.3205440053716299E-13</v>
      </c>
      <c r="P153" s="13">
        <f t="shared" si="141"/>
        <v>6.579711042921201E-12</v>
      </c>
      <c r="Q153" s="20">
        <f t="shared" si="108"/>
        <v>1.2386324814023317E-11</v>
      </c>
      <c r="R153" s="59">
        <f t="shared" si="109"/>
        <v>293.33333333334571</v>
      </c>
      <c r="S153" s="59">
        <f ca="1">AVERAGE(OFFSET($R$3,0,0,'Données projet'!$E$9+1,1))-AVERAGE(OFFSET($H$3,0,0,'Données projet'!$E$9+1,1))</f>
        <v>204.77882499755987</v>
      </c>
      <c r="T153" s="59">
        <f t="shared" si="142"/>
        <v>152.46480920430594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100.06625630105664</v>
      </c>
      <c r="AA153" s="21">
        <f>EXP(-LN(2)/25)*AA152+(1-EXP(-LN(2)/25))/(LN(2)/25)*Calculateur!V153*Calculateur!X153*VLOOKUP('Données projet'!$B$9,Paramètres!$A$1:$I$89,3,0)*0.475*44/12</f>
        <v>20.55748328222117</v>
      </c>
      <c r="AB153" s="21">
        <f>EXP(-LN(2)/2)*AB152+(1-EXP(-LN(2)/2))/(LN(2)/2)*V153*Y153*VLOOKUP('Données projet'!$B$9,Paramètres!$A$1:$I$89,3,0)*0.475*44/12</f>
        <v>2.5707423353796621E-2</v>
      </c>
      <c r="AC153" s="22">
        <f t="shared" si="111"/>
        <v>120.6494470066316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-2.0395418687257919E-13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237.03649693529445</v>
      </c>
      <c r="AO153" s="59">
        <f t="shared" si="144"/>
        <v>191.04289411674887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35.561898090212793</v>
      </c>
      <c r="AV153" s="21">
        <f>EXP(-LN(2)/25)*AV152+(1-EXP(-LN(2)/25))/(LN(2)/25)*Calculateur!AQ153*Calculateur!AS153*VLOOKUP('Données projet'!$B$10,Paramètres!$A$1:$I$89,3,0)*0.475*44/12</f>
        <v>4.912746359929054</v>
      </c>
      <c r="AW153" s="21">
        <f>EXP(-LN(2)/2)*AW152+(1-EXP(-LN(2)/2))/(LN(2)/2)*AQ153*AT153*VLOOKUP('Données projet'!$B$10,Paramètres!$A$1:$I$89,3,0)*0.475*44/12</f>
        <v>1.0524359257215319E-9</v>
      </c>
      <c r="AX153" s="21">
        <f t="shared" si="114"/>
        <v>40.47464445119428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1.1368683772161603E-12</v>
      </c>
      <c r="O154" s="13">
        <f>N154*VLOOKUP('Données projet'!$B$9,Paramètres!$A$1:$I$89,3,0)*VLOOKUP('Données projet'!$B$9,Paramètres!$A$1:$I$89,5,0)</f>
        <v>5.3205440053716299E-13</v>
      </c>
      <c r="P154" s="13">
        <f t="shared" si="141"/>
        <v>6.579711042921201E-12</v>
      </c>
      <c r="Q154" s="20">
        <f t="shared" ref="Q154:Q203" si="162">(O154+P154)*0.475*44/12</f>
        <v>1.2386324814023317E-11</v>
      </c>
      <c r="R154" s="59">
        <f t="shared" si="109"/>
        <v>293.33333333334571</v>
      </c>
      <c r="S154" s="59">
        <f ca="1">AVERAGE(OFFSET($R$3,0,0,'Données projet'!$E$9+1,1))-AVERAGE(OFFSET($H$3,0,0,'Données projet'!$E$9+1,1))</f>
        <v>204.77882499755987</v>
      </c>
      <c r="T154" s="59">
        <f t="shared" si="142"/>
        <v>152.46480920430594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98.104018049382617</v>
      </c>
      <c r="AA154" s="21">
        <f>EXP(-LN(2)/25)*AA153+(1-EXP(-LN(2)/25))/(LN(2)/25)*Calculateur!V154*Calculateur!X154*VLOOKUP('Données projet'!$B$9,Paramètres!$A$1:$I$89,3,0)*0.475*44/12</f>
        <v>19.995337820797772</v>
      </c>
      <c r="AB154" s="21">
        <f>EXP(-LN(2)/2)*AB153+(1-EXP(-LN(2)/2))/(LN(2)/2)*V154*Y154*VLOOKUP('Données projet'!$B$9,Paramètres!$A$1:$I$89,3,0)*0.475*44/12</f>
        <v>1.8177893380303008E-2</v>
      </c>
      <c r="AC154" s="22">
        <f t="shared" ref="AC154:AC203" si="163">SUM(Z154:AB154)</f>
        <v>118.11753376356069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-2.0395418687257919E-13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237.03649693529445</v>
      </c>
      <c r="AO154" s="59">
        <f t="shared" si="144"/>
        <v>191.04289411674887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34.864550959279782</v>
      </c>
      <c r="AV154" s="21">
        <f>EXP(-LN(2)/25)*AV153+(1-EXP(-LN(2)/25))/(LN(2)/25)*Calculateur!AQ154*Calculateur!AS154*VLOOKUP('Données projet'!$B$10,Paramètres!$A$1:$I$89,3,0)*0.475*44/12</f>
        <v>4.7784070523666911</v>
      </c>
      <c r="AW154" s="21">
        <f>EXP(-LN(2)/2)*AW153+(1-EXP(-LN(2)/2))/(LN(2)/2)*AQ154*AT154*VLOOKUP('Données projet'!$B$10,Paramètres!$A$1:$I$89,3,0)*0.475*44/12</f>
        <v>7.4418457984203688E-10</v>
      </c>
      <c r="AX154" s="21">
        <f t="shared" ref="AX154:AX203" si="166">SUM(AU154:AW154)</f>
        <v>39.642958012390658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1.1368683772161603E-12</v>
      </c>
      <c r="O155" s="13">
        <f>N155*VLOOKUP('Données projet'!$B$9,Paramètres!$A$1:$I$89,3,0)*VLOOKUP('Données projet'!$B$9,Paramètres!$A$1:$I$89,5,0)</f>
        <v>5.3205440053716299E-13</v>
      </c>
      <c r="P155" s="13">
        <f t="shared" si="141"/>
        <v>6.579711042921201E-12</v>
      </c>
      <c r="Q155" s="20">
        <f t="shared" si="162"/>
        <v>1.2386324814023317E-11</v>
      </c>
      <c r="R155" s="59">
        <f t="shared" si="109"/>
        <v>293.33333333334571</v>
      </c>
      <c r="S155" s="59">
        <f ca="1">AVERAGE(OFFSET($R$3,0,0,'Données projet'!$E$9+1,1))-AVERAGE(OFFSET($H$3,0,0,'Données projet'!$E$9+1,1))</f>
        <v>204.77882499755987</v>
      </c>
      <c r="T155" s="59">
        <f t="shared" si="142"/>
        <v>152.46480920430594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96.180258092976771</v>
      </c>
      <c r="AA155" s="21">
        <f>EXP(-LN(2)/25)*AA154+(1-EXP(-LN(2)/25))/(LN(2)/25)*Calculateur!V155*Calculateur!X155*VLOOKUP('Données projet'!$B$9,Paramètres!$A$1:$I$89,3,0)*0.475*44/12</f>
        <v>19.448564256578941</v>
      </c>
      <c r="AB155" s="21">
        <f>EXP(-LN(2)/2)*AB154+(1-EXP(-LN(2)/2))/(LN(2)/2)*V155*Y155*VLOOKUP('Données projet'!$B$9,Paramètres!$A$1:$I$89,3,0)*0.475*44/12</f>
        <v>1.285371167689831E-2</v>
      </c>
      <c r="AC155" s="22">
        <f t="shared" si="163"/>
        <v>115.64167606123262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-2.0395418687257919E-13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237.03649693529445</v>
      </c>
      <c r="AO155" s="59">
        <f t="shared" si="144"/>
        <v>191.04289411674887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34.180878380244621</v>
      </c>
      <c r="AV155" s="21">
        <f>EXP(-LN(2)/25)*AV154+(1-EXP(-LN(2)/25))/(LN(2)/25)*Calculateur!AQ155*Calculateur!AS155*VLOOKUP('Données projet'!$B$10,Paramètres!$A$1:$I$89,3,0)*0.475*44/12</f>
        <v>4.6477412602342181</v>
      </c>
      <c r="AW155" s="21">
        <f>EXP(-LN(2)/2)*AW154+(1-EXP(-LN(2)/2))/(LN(2)/2)*AQ155*AT155*VLOOKUP('Données projet'!$B$10,Paramètres!$A$1:$I$89,3,0)*0.475*44/12</f>
        <v>5.2621796286076597E-10</v>
      </c>
      <c r="AX155" s="21">
        <f t="shared" si="166"/>
        <v>38.828619641005062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1.1368683772161603E-12</v>
      </c>
      <c r="O156" s="13">
        <f>N156*VLOOKUP('Données projet'!$B$9,Paramètres!$A$1:$I$89,3,0)*VLOOKUP('Données projet'!$B$9,Paramètres!$A$1:$I$89,5,0)</f>
        <v>5.3205440053716299E-13</v>
      </c>
      <c r="P156" s="13">
        <f t="shared" si="141"/>
        <v>6.579711042921201E-12</v>
      </c>
      <c r="Q156" s="20">
        <f t="shared" si="162"/>
        <v>1.2386324814023317E-11</v>
      </c>
      <c r="R156" s="59">
        <f t="shared" si="109"/>
        <v>293.33333333334571</v>
      </c>
      <c r="S156" s="59">
        <f ca="1">AVERAGE(OFFSET($R$3,0,0,'Données projet'!$E$9+1,1))-AVERAGE(OFFSET($H$3,0,0,'Données projet'!$E$9+1,1))</f>
        <v>204.77882499755987</v>
      </c>
      <c r="T156" s="59">
        <f t="shared" si="142"/>
        <v>152.46480920430594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94.294221895938335</v>
      </c>
      <c r="AA156" s="21">
        <f>EXP(-LN(2)/25)*AA155+(1-EXP(-LN(2)/25))/(LN(2)/25)*Calculateur!V156*Calculateur!X156*VLOOKUP('Données projet'!$B$9,Paramètres!$A$1:$I$89,3,0)*0.475*44/12</f>
        <v>18.916742244227244</v>
      </c>
      <c r="AB156" s="21">
        <f>EXP(-LN(2)/2)*AB155+(1-EXP(-LN(2)/2))/(LN(2)/2)*V156*Y156*VLOOKUP('Données projet'!$B$9,Paramètres!$A$1:$I$89,3,0)*0.475*44/12</f>
        <v>9.0889466901515042E-3</v>
      </c>
      <c r="AC156" s="22">
        <f t="shared" si="163"/>
        <v>113.22005308685573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-2.0395418687257919E-13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237.03649693529445</v>
      </c>
      <c r="AO156" s="59">
        <f t="shared" si="144"/>
        <v>191.04289411674887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33.510612203485238</v>
      </c>
      <c r="AV156" s="21">
        <f>EXP(-LN(2)/25)*AV155+(1-EXP(-LN(2)/25))/(LN(2)/25)*Calculateur!AQ156*Calculateur!AS156*VLOOKUP('Données projet'!$B$10,Paramètres!$A$1:$I$89,3,0)*0.475*44/12</f>
        <v>4.520648531059023</v>
      </c>
      <c r="AW156" s="21">
        <f>EXP(-LN(2)/2)*AW155+(1-EXP(-LN(2)/2))/(LN(2)/2)*AQ156*AT156*VLOOKUP('Données projet'!$B$10,Paramètres!$A$1:$I$89,3,0)*0.475*44/12</f>
        <v>3.7209228992101844E-10</v>
      </c>
      <c r="AX156" s="21">
        <f t="shared" si="166"/>
        <v>38.031260734916351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1.1368683772161603E-12</v>
      </c>
      <c r="O157" s="13">
        <f>N157*VLOOKUP('Données projet'!$B$9,Paramètres!$A$1:$I$89,3,0)*VLOOKUP('Données projet'!$B$9,Paramètres!$A$1:$I$89,5,0)</f>
        <v>5.3205440053716299E-13</v>
      </c>
      <c r="P157" s="13">
        <f t="shared" si="141"/>
        <v>6.579711042921201E-12</v>
      </c>
      <c r="Q157" s="20">
        <f t="shared" si="162"/>
        <v>1.2386324814023317E-11</v>
      </c>
      <c r="R157" s="59">
        <f t="shared" si="109"/>
        <v>293.33333333334571</v>
      </c>
      <c r="S157" s="59">
        <f ca="1">AVERAGE(OFFSET($R$3,0,0,'Données projet'!$E$9+1,1))-AVERAGE(OFFSET($H$3,0,0,'Données projet'!$E$9+1,1))</f>
        <v>204.77882499755987</v>
      </c>
      <c r="T157" s="59">
        <f t="shared" si="142"/>
        <v>152.46480920430594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92.445169718355331</v>
      </c>
      <c r="AA157" s="21">
        <f>EXP(-LN(2)/25)*AA156+(1-EXP(-LN(2)/25))/(LN(2)/25)*Calculateur!V157*Calculateur!X157*VLOOKUP('Données projet'!$B$9,Paramètres!$A$1:$I$89,3,0)*0.475*44/12</f>
        <v>18.399462932770611</v>
      </c>
      <c r="AB157" s="21">
        <f>EXP(-LN(2)/2)*AB156+(1-EXP(-LN(2)/2))/(LN(2)/2)*V157*Y157*VLOOKUP('Données projet'!$B$9,Paramètres!$A$1:$I$89,3,0)*0.475*44/12</f>
        <v>6.4268558384491551E-3</v>
      </c>
      <c r="AC157" s="22">
        <f t="shared" si="163"/>
        <v>110.8510595069644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-2.0395418687257919E-13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237.03649693529445</v>
      </c>
      <c r="AO157" s="59">
        <f t="shared" si="144"/>
        <v>191.04289411674887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32.853489537630111</v>
      </c>
      <c r="AV157" s="21">
        <f>EXP(-LN(2)/25)*AV156+(1-EXP(-LN(2)/25))/(LN(2)/25)*Calculateur!AQ157*Calculateur!AS157*VLOOKUP('Données projet'!$B$10,Paramètres!$A$1:$I$89,3,0)*0.475*44/12</f>
        <v>4.39703115924664</v>
      </c>
      <c r="AW157" s="21">
        <f>EXP(-LN(2)/2)*AW156+(1-EXP(-LN(2)/2))/(LN(2)/2)*AQ157*AT157*VLOOKUP('Données projet'!$B$10,Paramètres!$A$1:$I$89,3,0)*0.475*44/12</f>
        <v>2.6310898143038299E-10</v>
      </c>
      <c r="AX157" s="21">
        <f t="shared" si="166"/>
        <v>37.250520697139855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1.1368683772161603E-12</v>
      </c>
      <c r="O158" s="13">
        <f>N158*VLOOKUP('Données projet'!$B$9,Paramètres!$A$1:$I$89,3,0)*VLOOKUP('Données projet'!$B$9,Paramètres!$A$1:$I$89,5,0)</f>
        <v>5.3205440053716299E-13</v>
      </c>
      <c r="P158" s="13">
        <f t="shared" si="141"/>
        <v>6.579711042921201E-12</v>
      </c>
      <c r="Q158" s="20">
        <f t="shared" si="162"/>
        <v>1.2386324814023317E-11</v>
      </c>
      <c r="R158" s="59">
        <f t="shared" si="109"/>
        <v>293.33333333334571</v>
      </c>
      <c r="S158" s="59">
        <f ca="1">AVERAGE(OFFSET($R$3,0,0,'Données projet'!$E$9+1,1))-AVERAGE(OFFSET($H$3,0,0,'Données projet'!$E$9+1,1))</f>
        <v>204.77882499755987</v>
      </c>
      <c r="T158" s="59">
        <f t="shared" si="142"/>
        <v>152.46480920430594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90.632376326164263</v>
      </c>
      <c r="AA158" s="21">
        <f>EXP(-LN(2)/25)*AA157+(1-EXP(-LN(2)/25))/(LN(2)/25)*Calculateur!V158*Calculateur!X158*VLOOKUP('Données projet'!$B$9,Paramètres!$A$1:$I$89,3,0)*0.475*44/12</f>
        <v>17.896328651288297</v>
      </c>
      <c r="AB158" s="21">
        <f>EXP(-LN(2)/2)*AB157+(1-EXP(-LN(2)/2))/(LN(2)/2)*V158*Y158*VLOOKUP('Données projet'!$B$9,Paramètres!$A$1:$I$89,3,0)*0.475*44/12</f>
        <v>4.5444733450757521E-3</v>
      </c>
      <c r="AC158" s="22">
        <f t="shared" si="163"/>
        <v>108.53324945079764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-2.0395418687257919E-13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237.03649693529445</v>
      </c>
      <c r="AO158" s="59">
        <f t="shared" si="144"/>
        <v>191.04289411674887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32.209252646447148</v>
      </c>
      <c r="AV158" s="21">
        <f>EXP(-LN(2)/25)*AV157+(1-EXP(-LN(2)/25))/(LN(2)/25)*Calculateur!AQ158*Calculateur!AS158*VLOOKUP('Données projet'!$B$10,Paramètres!$A$1:$I$89,3,0)*0.475*44/12</f>
        <v>4.2767941109672218</v>
      </c>
      <c r="AW158" s="21">
        <f>EXP(-LN(2)/2)*AW157+(1-EXP(-LN(2)/2))/(LN(2)/2)*AQ158*AT158*VLOOKUP('Données projet'!$B$10,Paramètres!$A$1:$I$89,3,0)*0.475*44/12</f>
        <v>1.8604614496050922E-10</v>
      </c>
      <c r="AX158" s="21">
        <f t="shared" si="166"/>
        <v>36.48604675760042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1.1368683772161603E-12</v>
      </c>
      <c r="O159" s="13">
        <f>N159*VLOOKUP('Données projet'!$B$9,Paramètres!$A$1:$I$89,3,0)*VLOOKUP('Données projet'!$B$9,Paramètres!$A$1:$I$89,5,0)</f>
        <v>5.3205440053716299E-13</v>
      </c>
      <c r="P159" s="13">
        <f t="shared" si="141"/>
        <v>6.579711042921201E-12</v>
      </c>
      <c r="Q159" s="20">
        <f t="shared" si="162"/>
        <v>1.2386324814023317E-11</v>
      </c>
      <c r="R159" s="59">
        <f t="shared" si="109"/>
        <v>293.33333333334571</v>
      </c>
      <c r="S159" s="59">
        <f ca="1">AVERAGE(OFFSET($R$3,0,0,'Données projet'!$E$9+1,1))-AVERAGE(OFFSET($H$3,0,0,'Données projet'!$E$9+1,1))</f>
        <v>204.77882499755987</v>
      </c>
      <c r="T159" s="59">
        <f t="shared" si="142"/>
        <v>152.46480920430594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88.855130706699271</v>
      </c>
      <c r="AA159" s="21">
        <f>EXP(-LN(2)/25)*AA158+(1-EXP(-LN(2)/25))/(LN(2)/25)*Calculateur!V159*Calculateur!X159*VLOOKUP('Données projet'!$B$9,Paramètres!$A$1:$I$89,3,0)*0.475*44/12</f>
        <v>17.406952603191797</v>
      </c>
      <c r="AB159" s="21">
        <f>EXP(-LN(2)/2)*AB158+(1-EXP(-LN(2)/2))/(LN(2)/2)*V159*Y159*VLOOKUP('Données projet'!$B$9,Paramètres!$A$1:$I$89,3,0)*0.475*44/12</f>
        <v>3.2134279192245776E-3</v>
      </c>
      <c r="AC159" s="22">
        <f t="shared" si="163"/>
        <v>106.26529673781029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-2.0395418687257919E-13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237.03649693529445</v>
      </c>
      <c r="AO159" s="59">
        <f t="shared" si="144"/>
        <v>191.04289411674887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31.577648847754581</v>
      </c>
      <c r="AV159" s="21">
        <f>EXP(-LN(2)/25)*AV158+(1-EXP(-LN(2)/25))/(LN(2)/25)*Calculateur!AQ159*Calculateur!AS159*VLOOKUP('Données projet'!$B$10,Paramètres!$A$1:$I$89,3,0)*0.475*44/12</f>
        <v>4.1598449510959954</v>
      </c>
      <c r="AW159" s="21">
        <f>EXP(-LN(2)/2)*AW158+(1-EXP(-LN(2)/2))/(LN(2)/2)*AQ159*AT159*VLOOKUP('Données projet'!$B$10,Paramètres!$A$1:$I$89,3,0)*0.475*44/12</f>
        <v>1.3155449071519149E-10</v>
      </c>
      <c r="AX159" s="21">
        <f t="shared" si="166"/>
        <v>35.737493798982136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1.1368683772161603E-12</v>
      </c>
      <c r="O160" s="13">
        <f>N160*VLOOKUP('Données projet'!$B$9,Paramètres!$A$1:$I$89,3,0)*VLOOKUP('Données projet'!$B$9,Paramètres!$A$1:$I$89,5,0)</f>
        <v>5.3205440053716299E-13</v>
      </c>
      <c r="P160" s="13">
        <f t="shared" si="141"/>
        <v>6.579711042921201E-12</v>
      </c>
      <c r="Q160" s="20">
        <f t="shared" si="162"/>
        <v>1.2386324814023317E-11</v>
      </c>
      <c r="R160" s="59">
        <f t="shared" si="109"/>
        <v>293.33333333334571</v>
      </c>
      <c r="S160" s="59">
        <f ca="1">AVERAGE(OFFSET($R$3,0,0,'Données projet'!$E$9+1,1))-AVERAGE(OFFSET($H$3,0,0,'Données projet'!$E$9+1,1))</f>
        <v>204.77882499755987</v>
      </c>
      <c r="T160" s="59">
        <f t="shared" si="142"/>
        <v>152.46480920430594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87.112735789819197</v>
      </c>
      <c r="AA160" s="21">
        <f>EXP(-LN(2)/25)*AA159+(1-EXP(-LN(2)/25))/(LN(2)/25)*Calculateur!V160*Calculateur!X160*VLOOKUP('Données projet'!$B$9,Paramètres!$A$1:$I$89,3,0)*0.475*44/12</f>
        <v>16.930958568865666</v>
      </c>
      <c r="AB160" s="21">
        <f>EXP(-LN(2)/2)*AB159+(1-EXP(-LN(2)/2))/(LN(2)/2)*V160*Y160*VLOOKUP('Données projet'!$B$9,Paramètres!$A$1:$I$89,3,0)*0.475*44/12</f>
        <v>2.272236672537876E-3</v>
      </c>
      <c r="AC160" s="22">
        <f t="shared" si="163"/>
        <v>104.0459665953574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-2.0395418687257919E-13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237.03649693529445</v>
      </c>
      <c r="AO160" s="59">
        <f t="shared" si="144"/>
        <v>191.04289411674887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30.958430414314098</v>
      </c>
      <c r="AV160" s="21">
        <f>EXP(-LN(2)/25)*AV159+(1-EXP(-LN(2)/25))/(LN(2)/25)*Calculateur!AQ160*Calculateur!AS160*VLOOKUP('Données projet'!$B$10,Paramètres!$A$1:$I$89,3,0)*0.475*44/12</f>
        <v>4.0460937721515373</v>
      </c>
      <c r="AW160" s="21">
        <f>EXP(-LN(2)/2)*AW159+(1-EXP(-LN(2)/2))/(LN(2)/2)*AQ160*AT160*VLOOKUP('Données projet'!$B$10,Paramètres!$A$1:$I$89,3,0)*0.475*44/12</f>
        <v>9.3023072480254609E-11</v>
      </c>
      <c r="AX160" s="21">
        <f t="shared" si="166"/>
        <v>35.004524186558662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1.1368683772161603E-12</v>
      </c>
      <c r="O161" s="13">
        <f>N161*VLOOKUP('Données projet'!$B$9,Paramètres!$A$1:$I$89,3,0)*VLOOKUP('Données projet'!$B$9,Paramètres!$A$1:$I$89,5,0)</f>
        <v>5.3205440053716299E-13</v>
      </c>
      <c r="P161" s="13">
        <f t="shared" si="141"/>
        <v>6.579711042921201E-12</v>
      </c>
      <c r="Q161" s="20">
        <f t="shared" si="162"/>
        <v>1.2386324814023317E-11</v>
      </c>
      <c r="R161" s="59">
        <f t="shared" si="109"/>
        <v>293.33333333334571</v>
      </c>
      <c r="S161" s="59">
        <f ca="1">AVERAGE(OFFSET($R$3,0,0,'Données projet'!$E$9+1,1))-AVERAGE(OFFSET($H$3,0,0,'Données projet'!$E$9+1,1))</f>
        <v>204.77882499755987</v>
      </c>
      <c r="T161" s="59">
        <f t="shared" si="142"/>
        <v>152.46480920430594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85.404508174503178</v>
      </c>
      <c r="AA161" s="21">
        <f>EXP(-LN(2)/25)*AA160+(1-EXP(-LN(2)/25))/(LN(2)/25)*Calculateur!V161*Calculateur!X161*VLOOKUP('Données projet'!$B$9,Paramètres!$A$1:$I$89,3,0)*0.475*44/12</f>
        <v>16.467980616439618</v>
      </c>
      <c r="AB161" s="21">
        <f>EXP(-LN(2)/2)*AB160+(1-EXP(-LN(2)/2))/(LN(2)/2)*V161*Y161*VLOOKUP('Données projet'!$B$9,Paramètres!$A$1:$I$89,3,0)*0.475*44/12</f>
        <v>1.6067139596122888E-3</v>
      </c>
      <c r="AC161" s="22">
        <f t="shared" si="163"/>
        <v>101.87409550490241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-2.0395418687257919E-13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237.03649693529445</v>
      </c>
      <c r="AO161" s="59">
        <f t="shared" si="144"/>
        <v>191.04289411674887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30.351354476667431</v>
      </c>
      <c r="AV161" s="21">
        <f>EXP(-LN(2)/25)*AV160+(1-EXP(-LN(2)/25))/(LN(2)/25)*Calculateur!AQ161*Calculateur!AS161*VLOOKUP('Données projet'!$B$10,Paramètres!$A$1:$I$89,3,0)*0.475*44/12</f>
        <v>3.9354531251772293</v>
      </c>
      <c r="AW161" s="21">
        <f>EXP(-LN(2)/2)*AW160+(1-EXP(-LN(2)/2))/(LN(2)/2)*AQ161*AT161*VLOOKUP('Données projet'!$B$10,Paramètres!$A$1:$I$89,3,0)*0.475*44/12</f>
        <v>6.5777245357595747E-11</v>
      </c>
      <c r="AX161" s="21">
        <f t="shared" si="166"/>
        <v>34.286807601910432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1.1368683772161603E-12</v>
      </c>
      <c r="O162" s="13">
        <f>N162*VLOOKUP('Données projet'!$B$9,Paramètres!$A$1:$I$89,3,0)*VLOOKUP('Données projet'!$B$9,Paramètres!$A$1:$I$89,5,0)</f>
        <v>5.3205440053716299E-13</v>
      </c>
      <c r="P162" s="13">
        <f t="shared" si="141"/>
        <v>6.579711042921201E-12</v>
      </c>
      <c r="Q162" s="20">
        <f t="shared" si="162"/>
        <v>1.2386324814023317E-11</v>
      </c>
      <c r="R162" s="59">
        <f t="shared" si="109"/>
        <v>293.33333333334571</v>
      </c>
      <c r="S162" s="59">
        <f ca="1">AVERAGE(OFFSET($R$3,0,0,'Données projet'!$E$9+1,1))-AVERAGE(OFFSET($H$3,0,0,'Données projet'!$E$9+1,1))</f>
        <v>204.77882499755987</v>
      </c>
      <c r="T162" s="59">
        <f t="shared" si="142"/>
        <v>152.46480920430594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83.729777860807545</v>
      </c>
      <c r="AA162" s="21">
        <f>EXP(-LN(2)/25)*AA161+(1-EXP(-LN(2)/25))/(LN(2)/25)*Calculateur!V162*Calculateur!X162*VLOOKUP('Données projet'!$B$9,Paramètres!$A$1:$I$89,3,0)*0.475*44/12</f>
        <v>16.017662820469614</v>
      </c>
      <c r="AB162" s="21">
        <f>EXP(-LN(2)/2)*AB161+(1-EXP(-LN(2)/2))/(LN(2)/2)*V162*Y162*VLOOKUP('Données projet'!$B$9,Paramètres!$A$1:$I$89,3,0)*0.475*44/12</f>
        <v>1.136118336268938E-3</v>
      </c>
      <c r="AC162" s="22">
        <f t="shared" si="163"/>
        <v>99.748576799613417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-2.0395418687257919E-13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237.03649693529445</v>
      </c>
      <c r="AO162" s="59">
        <f t="shared" si="144"/>
        <v>191.04289411674887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29.756182927878257</v>
      </c>
      <c r="AV162" s="21">
        <f>EXP(-LN(2)/25)*AV161+(1-EXP(-LN(2)/25))/(LN(2)/25)*Calculateur!AQ162*Calculateur!AS162*VLOOKUP('Données projet'!$B$10,Paramètres!$A$1:$I$89,3,0)*0.475*44/12</f>
        <v>3.8278379525127728</v>
      </c>
      <c r="AW162" s="21">
        <f>EXP(-LN(2)/2)*AW161+(1-EXP(-LN(2)/2))/(LN(2)/2)*AQ162*AT162*VLOOKUP('Données projet'!$B$10,Paramètres!$A$1:$I$89,3,0)*0.475*44/12</f>
        <v>4.6511536240127305E-11</v>
      </c>
      <c r="AX162" s="21">
        <f t="shared" si="166"/>
        <v>33.584020880437542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1.1368683772161603E-12</v>
      </c>
      <c r="O163" s="13">
        <f>N163*VLOOKUP('Données projet'!$B$9,Paramètres!$A$1:$I$89,3,0)*VLOOKUP('Données projet'!$B$9,Paramètres!$A$1:$I$89,5,0)</f>
        <v>5.3205440053716299E-13</v>
      </c>
      <c r="P163" s="13">
        <f t="shared" si="141"/>
        <v>6.579711042921201E-12</v>
      </c>
      <c r="Q163" s="20">
        <f t="shared" si="162"/>
        <v>1.2386324814023317E-11</v>
      </c>
      <c r="R163" s="59">
        <f t="shared" si="109"/>
        <v>293.33333333334571</v>
      </c>
      <c r="S163" s="59">
        <f ca="1">AVERAGE(OFFSET($R$3,0,0,'Données projet'!$E$9+1,1))-AVERAGE(OFFSET($H$3,0,0,'Données projet'!$E$9+1,1))</f>
        <v>204.77882499755987</v>
      </c>
      <c r="T163" s="59">
        <f t="shared" si="142"/>
        <v>152.46480920430594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82.087887987078844</v>
      </c>
      <c r="AA163" s="21">
        <f>EXP(-LN(2)/25)*AA162+(1-EXP(-LN(2)/25))/(LN(2)/25)*Calculateur!V163*Calculateur!X163*VLOOKUP('Données projet'!$B$9,Paramètres!$A$1:$I$89,3,0)*0.475*44/12</f>
        <v>15.579658988311593</v>
      </c>
      <c r="AB163" s="21">
        <f>EXP(-LN(2)/2)*AB162+(1-EXP(-LN(2)/2))/(LN(2)/2)*V163*Y163*VLOOKUP('Données projet'!$B$9,Paramètres!$A$1:$I$89,3,0)*0.475*44/12</f>
        <v>8.0335697980614439E-4</v>
      </c>
      <c r="AC163" s="22">
        <f t="shared" si="163"/>
        <v>97.668350332370238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-2.0395418687257919E-13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237.03649693529445</v>
      </c>
      <c r="AO163" s="59">
        <f t="shared" si="144"/>
        <v>191.04289411674887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29.172682330142038</v>
      </c>
      <c r="AV163" s="21">
        <f>EXP(-LN(2)/25)*AV162+(1-EXP(-LN(2)/25))/(LN(2)/25)*Calculateur!AQ163*Calculateur!AS163*VLOOKUP('Données projet'!$B$10,Paramètres!$A$1:$I$89,3,0)*0.475*44/12</f>
        <v>3.7231655224040616</v>
      </c>
      <c r="AW163" s="21">
        <f>EXP(-LN(2)/2)*AW162+(1-EXP(-LN(2)/2))/(LN(2)/2)*AQ163*AT163*VLOOKUP('Données projet'!$B$10,Paramètres!$A$1:$I$89,3,0)*0.475*44/12</f>
        <v>3.2888622678797873E-11</v>
      </c>
      <c r="AX163" s="21">
        <f t="shared" si="166"/>
        <v>32.895847852578989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1.1368683772161603E-12</v>
      </c>
      <c r="O164" s="13">
        <f>N164*VLOOKUP('Données projet'!$B$9,Paramètres!$A$1:$I$89,3,0)*VLOOKUP('Données projet'!$B$9,Paramètres!$A$1:$I$89,5,0)</f>
        <v>5.3205440053716299E-13</v>
      </c>
      <c r="P164" s="13">
        <f t="shared" si="141"/>
        <v>6.579711042921201E-12</v>
      </c>
      <c r="Q164" s="20">
        <f t="shared" si="162"/>
        <v>1.2386324814023317E-11</v>
      </c>
      <c r="R164" s="59">
        <f t="shared" si="109"/>
        <v>293.33333333334571</v>
      </c>
      <c r="S164" s="59">
        <f ca="1">AVERAGE(OFFSET($R$3,0,0,'Données projet'!$E$9+1,1))-AVERAGE(OFFSET($H$3,0,0,'Données projet'!$E$9+1,1))</f>
        <v>204.77882499755987</v>
      </c>
      <c r="T164" s="59">
        <f t="shared" si="142"/>
        <v>152.46480920430594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80.478194572320035</v>
      </c>
      <c r="AA164" s="21">
        <f>EXP(-LN(2)/25)*AA163+(1-EXP(-LN(2)/25))/(LN(2)/25)*Calculateur!V164*Calculateur!X164*VLOOKUP('Données projet'!$B$9,Paramètres!$A$1:$I$89,3,0)*0.475*44/12</f>
        <v>15.153632393977555</v>
      </c>
      <c r="AB164" s="21">
        <f>EXP(-LN(2)/2)*AB163+(1-EXP(-LN(2)/2))/(LN(2)/2)*V164*Y164*VLOOKUP('Données projet'!$B$9,Paramètres!$A$1:$I$89,3,0)*0.475*44/12</f>
        <v>5.6805916813446901E-4</v>
      </c>
      <c r="AC164" s="22">
        <f t="shared" si="163"/>
        <v>95.632395025465726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-2.0395418687257919E-13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237.03649693529445</v>
      </c>
      <c r="AO164" s="59">
        <f t="shared" si="144"/>
        <v>191.04289411674887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28.600623823227203</v>
      </c>
      <c r="AV164" s="21">
        <f>EXP(-LN(2)/25)*AV163+(1-EXP(-LN(2)/25))/(LN(2)/25)*Calculateur!AQ164*Calculateur!AS164*VLOOKUP('Données projet'!$B$10,Paramètres!$A$1:$I$89,3,0)*0.475*44/12</f>
        <v>3.6213553654011572</v>
      </c>
      <c r="AW164" s="21">
        <f>EXP(-LN(2)/2)*AW163+(1-EXP(-LN(2)/2))/(LN(2)/2)*AQ164*AT164*VLOOKUP('Données projet'!$B$10,Paramètres!$A$1:$I$89,3,0)*0.475*44/12</f>
        <v>2.3255768120063652E-11</v>
      </c>
      <c r="AX164" s="21">
        <f t="shared" si="166"/>
        <v>32.221979188651616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1.1368683772161603E-12</v>
      </c>
      <c r="O165" s="13">
        <f>N165*VLOOKUP('Données projet'!$B$9,Paramètres!$A$1:$I$89,3,0)*VLOOKUP('Données projet'!$B$9,Paramètres!$A$1:$I$89,5,0)</f>
        <v>5.3205440053716299E-13</v>
      </c>
      <c r="P165" s="13">
        <f t="shared" si="141"/>
        <v>6.579711042921201E-12</v>
      </c>
      <c r="Q165" s="20">
        <f t="shared" si="162"/>
        <v>1.2386324814023317E-11</v>
      </c>
      <c r="R165" s="59">
        <f t="shared" si="109"/>
        <v>293.33333333334571</v>
      </c>
      <c r="S165" s="59">
        <f ca="1">AVERAGE(OFFSET($R$3,0,0,'Données projet'!$E$9+1,1))-AVERAGE(OFFSET($H$3,0,0,'Données projet'!$E$9+1,1))</f>
        <v>204.77882499755987</v>
      </c>
      <c r="T165" s="59">
        <f t="shared" si="142"/>
        <v>152.46480920430594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78.900066263608608</v>
      </c>
      <c r="AA165" s="21">
        <f>EXP(-LN(2)/25)*AA164+(1-EXP(-LN(2)/25))/(LN(2)/25)*Calculateur!V165*Calculateur!X165*VLOOKUP('Données projet'!$B$9,Paramètres!$A$1:$I$89,3,0)*0.475*44/12</f>
        <v>14.739255519269344</v>
      </c>
      <c r="AB165" s="21">
        <f>EXP(-LN(2)/2)*AB164+(1-EXP(-LN(2)/2))/(LN(2)/2)*V165*Y165*VLOOKUP('Données projet'!$B$9,Paramètres!$A$1:$I$89,3,0)*0.475*44/12</f>
        <v>4.016784899030722E-4</v>
      </c>
      <c r="AC165" s="22">
        <f t="shared" si="163"/>
        <v>93.639723461367865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-2.0395418687257919E-13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237.03649693529445</v>
      </c>
      <c r="AO165" s="59">
        <f t="shared" si="144"/>
        <v>191.04289411674887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28.039783034711732</v>
      </c>
      <c r="AV165" s="21">
        <f>EXP(-LN(2)/25)*AV164+(1-EXP(-LN(2)/25))/(LN(2)/25)*Calculateur!AQ165*Calculateur!AS165*VLOOKUP('Données projet'!$B$10,Paramètres!$A$1:$I$89,3,0)*0.475*44/12</f>
        <v>3.5223292124954608</v>
      </c>
      <c r="AW165" s="21">
        <f>EXP(-LN(2)/2)*AW164+(1-EXP(-LN(2)/2))/(LN(2)/2)*AQ165*AT165*VLOOKUP('Données projet'!$B$10,Paramètres!$A$1:$I$89,3,0)*0.475*44/12</f>
        <v>1.6444311339398937E-11</v>
      </c>
      <c r="AX165" s="21">
        <f t="shared" si="166"/>
        <v>31.562112247223638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1.1368683772161603E-12</v>
      </c>
      <c r="O166" s="13">
        <f>N166*VLOOKUP('Données projet'!$B$9,Paramètres!$A$1:$I$89,3,0)*VLOOKUP('Données projet'!$B$9,Paramètres!$A$1:$I$89,5,0)</f>
        <v>5.3205440053716299E-13</v>
      </c>
      <c r="P166" s="13">
        <f t="shared" si="141"/>
        <v>6.579711042921201E-12</v>
      </c>
      <c r="Q166" s="20">
        <f t="shared" si="162"/>
        <v>1.2386324814023317E-11</v>
      </c>
      <c r="R166" s="59">
        <f t="shared" si="109"/>
        <v>293.33333333334571</v>
      </c>
      <c r="S166" s="59">
        <f ca="1">AVERAGE(OFFSET($R$3,0,0,'Données projet'!$E$9+1,1))-AVERAGE(OFFSET($H$3,0,0,'Données projet'!$E$9+1,1))</f>
        <v>204.77882499755987</v>
      </c>
      <c r="T166" s="59">
        <f t="shared" si="142"/>
        <v>152.46480920430594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77.352884088467789</v>
      </c>
      <c r="AA166" s="21">
        <f>EXP(-LN(2)/25)*AA165+(1-EXP(-LN(2)/25))/(LN(2)/25)*Calculateur!V166*Calculateur!X166*VLOOKUP('Données projet'!$B$9,Paramètres!$A$1:$I$89,3,0)*0.475*44/12</f>
        <v>14.336209801991163</v>
      </c>
      <c r="AB166" s="21">
        <f>EXP(-LN(2)/2)*AB165+(1-EXP(-LN(2)/2))/(LN(2)/2)*V166*Y166*VLOOKUP('Données projet'!$B$9,Paramètres!$A$1:$I$89,3,0)*0.475*44/12</f>
        <v>2.8402958406723451E-4</v>
      </c>
      <c r="AC166" s="22">
        <f t="shared" si="163"/>
        <v>91.689377920043015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-2.0395418687257919E-13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237.03649693529445</v>
      </c>
      <c r="AO166" s="59">
        <f t="shared" si="144"/>
        <v>191.04289411674887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27.489939991979949</v>
      </c>
      <c r="AV166" s="21">
        <f>EXP(-LN(2)/25)*AV165+(1-EXP(-LN(2)/25))/(LN(2)/25)*Calculateur!AQ166*Calculateur!AS166*VLOOKUP('Données projet'!$B$10,Paramètres!$A$1:$I$89,3,0)*0.475*44/12</f>
        <v>3.4260109349485295</v>
      </c>
      <c r="AW166" s="21">
        <f>EXP(-LN(2)/2)*AW165+(1-EXP(-LN(2)/2))/(LN(2)/2)*AQ166*AT166*VLOOKUP('Données projet'!$B$10,Paramètres!$A$1:$I$89,3,0)*0.475*44/12</f>
        <v>1.1627884060031826E-11</v>
      </c>
      <c r="AX166" s="21">
        <f t="shared" si="166"/>
        <v>30.915950926940106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1.1368683772161603E-12</v>
      </c>
      <c r="O167" s="13">
        <f>N167*VLOOKUP('Données projet'!$B$9,Paramètres!$A$1:$I$89,3,0)*VLOOKUP('Données projet'!$B$9,Paramètres!$A$1:$I$89,5,0)</f>
        <v>5.3205440053716299E-13</v>
      </c>
      <c r="P167" s="13">
        <f t="shared" si="141"/>
        <v>6.579711042921201E-12</v>
      </c>
      <c r="Q167" s="20">
        <f t="shared" si="162"/>
        <v>1.2386324814023317E-11</v>
      </c>
      <c r="R167" s="59">
        <f t="shared" si="109"/>
        <v>293.33333333334571</v>
      </c>
      <c r="S167" s="59">
        <f ca="1">AVERAGE(OFFSET($R$3,0,0,'Données projet'!$E$9+1,1))-AVERAGE(OFFSET($H$3,0,0,'Données projet'!$E$9+1,1))</f>
        <v>204.77882499755987</v>
      </c>
      <c r="T167" s="59">
        <f t="shared" si="142"/>
        <v>152.46480920430594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75.836041212093534</v>
      </c>
      <c r="AA167" s="21">
        <f>EXP(-LN(2)/25)*AA166+(1-EXP(-LN(2)/25))/(LN(2)/25)*Calculateur!V167*Calculateur!X167*VLOOKUP('Données projet'!$B$9,Paramètres!$A$1:$I$89,3,0)*0.475*44/12</f>
        <v>13.944185391047208</v>
      </c>
      <c r="AB167" s="21">
        <f>EXP(-LN(2)/2)*AB166+(1-EXP(-LN(2)/2))/(LN(2)/2)*V167*Y167*VLOOKUP('Données projet'!$B$9,Paramètres!$A$1:$I$89,3,0)*0.475*44/12</f>
        <v>2.008392449515361E-4</v>
      </c>
      <c r="AC167" s="22">
        <f t="shared" si="163"/>
        <v>89.780427442385701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-2.0395418687257919E-13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237.03649693529445</v>
      </c>
      <c r="AO167" s="59">
        <f t="shared" si="144"/>
        <v>191.04289411674887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26.950879035944993</v>
      </c>
      <c r="AV167" s="21">
        <f>EXP(-LN(2)/25)*AV166+(1-EXP(-LN(2)/25))/(LN(2)/25)*Calculateur!AQ167*Calculateur!AS167*VLOOKUP('Données projet'!$B$10,Paramètres!$A$1:$I$89,3,0)*0.475*44/12</f>
        <v>3.3323264857662771</v>
      </c>
      <c r="AW167" s="21">
        <f>EXP(-LN(2)/2)*AW166+(1-EXP(-LN(2)/2))/(LN(2)/2)*AQ167*AT167*VLOOKUP('Données projet'!$B$10,Paramètres!$A$1:$I$89,3,0)*0.475*44/12</f>
        <v>8.2221556696994683E-12</v>
      </c>
      <c r="AX167" s="21">
        <f t="shared" si="166"/>
        <v>30.283205521719491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1.1368683772161603E-12</v>
      </c>
      <c r="O168" s="13">
        <f>N168*VLOOKUP('Données projet'!$B$9,Paramètres!$A$1:$I$89,3,0)*VLOOKUP('Données projet'!$B$9,Paramètres!$A$1:$I$89,5,0)</f>
        <v>5.3205440053716299E-13</v>
      </c>
      <c r="P168" s="13">
        <f t="shared" si="141"/>
        <v>6.579711042921201E-12</v>
      </c>
      <c r="Q168" s="20">
        <f t="shared" si="162"/>
        <v>1.2386324814023317E-11</v>
      </c>
      <c r="R168" s="59">
        <f t="shared" si="109"/>
        <v>293.33333333334571</v>
      </c>
      <c r="S168" s="59">
        <f ca="1">AVERAGE(OFFSET($R$3,0,0,'Données projet'!$E$9+1,1))-AVERAGE(OFFSET($H$3,0,0,'Données projet'!$E$9+1,1))</f>
        <v>204.77882499755987</v>
      </c>
      <c r="T168" s="59">
        <f t="shared" si="142"/>
        <v>152.46480920430594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74.348942699342174</v>
      </c>
      <c r="AA168" s="21">
        <f>EXP(-LN(2)/25)*AA167+(1-EXP(-LN(2)/25))/(LN(2)/25)*Calculateur!V168*Calculateur!X168*VLOOKUP('Données projet'!$B$9,Paramètres!$A$1:$I$89,3,0)*0.475*44/12</f>
        <v>13.562880908236183</v>
      </c>
      <c r="AB168" s="21">
        <f>EXP(-LN(2)/2)*AB167+(1-EXP(-LN(2)/2))/(LN(2)/2)*V168*Y168*VLOOKUP('Données projet'!$B$9,Paramètres!$A$1:$I$89,3,0)*0.475*44/12</f>
        <v>1.4201479203361725E-4</v>
      </c>
      <c r="AC168" s="22">
        <f t="shared" si="163"/>
        <v>87.911965622370388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-2.0395418687257919E-13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237.03649693529445</v>
      </c>
      <c r="AO168" s="59">
        <f t="shared" si="144"/>
        <v>191.04289411674887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26.422388736463166</v>
      </c>
      <c r="AV168" s="21">
        <f>EXP(-LN(2)/25)*AV167+(1-EXP(-LN(2)/25))/(LN(2)/25)*Calculateur!AQ168*Calculateur!AS168*VLOOKUP('Données projet'!$B$10,Paramètres!$A$1:$I$89,3,0)*0.475*44/12</f>
        <v>3.2412038427735643</v>
      </c>
      <c r="AW168" s="21">
        <f>EXP(-LN(2)/2)*AW167+(1-EXP(-LN(2)/2))/(LN(2)/2)*AQ168*AT168*VLOOKUP('Données projet'!$B$10,Paramètres!$A$1:$I$89,3,0)*0.475*44/12</f>
        <v>5.8139420300159131E-12</v>
      </c>
      <c r="AX168" s="21">
        <f t="shared" si="166"/>
        <v>29.663592579242543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1.1368683772161603E-12</v>
      </c>
      <c r="O169" s="13">
        <f>N169*VLOOKUP('Données projet'!$B$9,Paramètres!$A$1:$I$89,3,0)*VLOOKUP('Données projet'!$B$9,Paramètres!$A$1:$I$89,5,0)</f>
        <v>5.3205440053716299E-13</v>
      </c>
      <c r="P169" s="13">
        <f t="shared" si="141"/>
        <v>6.579711042921201E-12</v>
      </c>
      <c r="Q169" s="20">
        <f t="shared" si="162"/>
        <v>1.2386324814023317E-11</v>
      </c>
      <c r="R169" s="59">
        <f t="shared" si="109"/>
        <v>293.33333333334571</v>
      </c>
      <c r="S169" s="59">
        <f ca="1">AVERAGE(OFFSET($R$3,0,0,'Données projet'!$E$9+1,1))-AVERAGE(OFFSET($H$3,0,0,'Données projet'!$E$9+1,1))</f>
        <v>204.77882499755987</v>
      </c>
      <c r="T169" s="59">
        <f t="shared" si="142"/>
        <v>152.46480920430594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72.891005281385347</v>
      </c>
      <c r="AA169" s="21">
        <f>EXP(-LN(2)/25)*AA168+(1-EXP(-LN(2)/25))/(LN(2)/25)*Calculateur!V169*Calculateur!X169*VLOOKUP('Données projet'!$B$9,Paramètres!$A$1:$I$89,3,0)*0.475*44/12</f>
        <v>13.192003216559556</v>
      </c>
      <c r="AB169" s="21">
        <f>EXP(-LN(2)/2)*AB168+(1-EXP(-LN(2)/2))/(LN(2)/2)*V169*Y169*VLOOKUP('Données projet'!$B$9,Paramètres!$A$1:$I$89,3,0)*0.475*44/12</f>
        <v>1.0041962247576805E-4</v>
      </c>
      <c r="AC169" s="22">
        <f t="shared" si="163"/>
        <v>86.083108917567372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-2.0395418687257919E-13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237.03649693529445</v>
      </c>
      <c r="AO169" s="59">
        <f t="shared" si="144"/>
        <v>191.04289411674887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25.904261809406922</v>
      </c>
      <c r="AV169" s="21">
        <f>EXP(-LN(2)/25)*AV168+(1-EXP(-LN(2)/25))/(LN(2)/25)*Calculateur!AQ169*Calculateur!AS169*VLOOKUP('Données projet'!$B$10,Paramètres!$A$1:$I$89,3,0)*0.475*44/12</f>
        <v>3.1525729532454192</v>
      </c>
      <c r="AW169" s="21">
        <f>EXP(-LN(2)/2)*AW168+(1-EXP(-LN(2)/2))/(LN(2)/2)*AQ169*AT169*VLOOKUP('Données projet'!$B$10,Paramètres!$A$1:$I$89,3,0)*0.475*44/12</f>
        <v>4.1110778348497342E-12</v>
      </c>
      <c r="AX169" s="21">
        <f t="shared" si="166"/>
        <v>29.05683476265645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1.1368683772161603E-12</v>
      </c>
      <c r="O170" s="13">
        <f>N170*VLOOKUP('Données projet'!$B$9,Paramètres!$A$1:$I$89,3,0)*VLOOKUP('Données projet'!$B$9,Paramètres!$A$1:$I$89,5,0)</f>
        <v>5.3205440053716299E-13</v>
      </c>
      <c r="P170" s="13">
        <f t="shared" si="141"/>
        <v>6.579711042921201E-12</v>
      </c>
      <c r="Q170" s="20">
        <f t="shared" si="162"/>
        <v>1.2386324814023317E-11</v>
      </c>
      <c r="R170" s="59">
        <f t="shared" si="109"/>
        <v>293.33333333334571</v>
      </c>
      <c r="S170" s="59">
        <f ca="1">AVERAGE(OFFSET($R$3,0,0,'Données projet'!$E$9+1,1))-AVERAGE(OFFSET($H$3,0,0,'Données projet'!$E$9+1,1))</f>
        <v>204.77882499755987</v>
      </c>
      <c r="T170" s="59">
        <f t="shared" si="142"/>
        <v>152.46480920430594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71.461657126940622</v>
      </c>
      <c r="AA170" s="21">
        <f>EXP(-LN(2)/25)*AA169+(1-EXP(-LN(2)/25))/(LN(2)/25)*Calculateur!V170*Calculateur!X170*VLOOKUP('Données projet'!$B$9,Paramètres!$A$1:$I$89,3,0)*0.475*44/12</f>
        <v>12.831267194865436</v>
      </c>
      <c r="AB170" s="21">
        <f>EXP(-LN(2)/2)*AB169+(1-EXP(-LN(2)/2))/(LN(2)/2)*V170*Y170*VLOOKUP('Données projet'!$B$9,Paramètres!$A$1:$I$89,3,0)*0.475*44/12</f>
        <v>7.1007396016808626E-5</v>
      </c>
      <c r="AC170" s="22">
        <f t="shared" si="163"/>
        <v>84.292995329202071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-2.0395418687257919E-13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237.03649693529445</v>
      </c>
      <c r="AO170" s="59">
        <f t="shared" si="144"/>
        <v>191.04289411674887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25.39629503536403</v>
      </c>
      <c r="AV170" s="21">
        <f>EXP(-LN(2)/25)*AV169+(1-EXP(-LN(2)/25))/(LN(2)/25)*Calculateur!AQ170*Calculateur!AS170*VLOOKUP('Données projet'!$B$10,Paramètres!$A$1:$I$89,3,0)*0.475*44/12</f>
        <v>3.0663656800523169</v>
      </c>
      <c r="AW170" s="21">
        <f>EXP(-LN(2)/2)*AW169+(1-EXP(-LN(2)/2))/(LN(2)/2)*AQ170*AT170*VLOOKUP('Données projet'!$B$10,Paramètres!$A$1:$I$89,3,0)*0.475*44/12</f>
        <v>2.9069710150079565E-12</v>
      </c>
      <c r="AX170" s="21">
        <f t="shared" si="166"/>
        <v>28.462660715419254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1.1368683772161603E-12</v>
      </c>
      <c r="O171" s="13">
        <f>N171*VLOOKUP('Données projet'!$B$9,Paramètres!$A$1:$I$89,3,0)*VLOOKUP('Données projet'!$B$9,Paramètres!$A$1:$I$89,5,0)</f>
        <v>5.3205440053716299E-13</v>
      </c>
      <c r="P171" s="13">
        <f t="shared" si="141"/>
        <v>6.579711042921201E-12</v>
      </c>
      <c r="Q171" s="20">
        <f t="shared" si="162"/>
        <v>1.2386324814023317E-11</v>
      </c>
      <c r="R171" s="59">
        <f t="shared" si="109"/>
        <v>293.33333333334571</v>
      </c>
      <c r="S171" s="59">
        <f ca="1">AVERAGE(OFFSET($R$3,0,0,'Données projet'!$E$9+1,1))-AVERAGE(OFFSET($H$3,0,0,'Données projet'!$E$9+1,1))</f>
        <v>204.77882499755987</v>
      </c>
      <c r="T171" s="59">
        <f t="shared" si="142"/>
        <v>152.46480920430594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70.060337617988282</v>
      </c>
      <c r="AA171" s="21">
        <f>EXP(-LN(2)/25)*AA170+(1-EXP(-LN(2)/25))/(LN(2)/25)*Calculateur!V171*Calculateur!X171*VLOOKUP('Données projet'!$B$9,Paramètres!$A$1:$I$89,3,0)*0.475*44/12</f>
        <v>12.480395518654825</v>
      </c>
      <c r="AB171" s="21">
        <f>EXP(-LN(2)/2)*AB170+(1-EXP(-LN(2)/2))/(LN(2)/2)*V171*Y171*VLOOKUP('Données projet'!$B$9,Paramètres!$A$1:$I$89,3,0)*0.475*44/12</f>
        <v>5.0209811237884025E-5</v>
      </c>
      <c r="AC171" s="22">
        <f t="shared" si="163"/>
        <v>82.540783346454347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-2.0395418687257919E-13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237.03649693529445</v>
      </c>
      <c r="AO171" s="59">
        <f t="shared" si="144"/>
        <v>191.04289411674887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24.89828917993098</v>
      </c>
      <c r="AV171" s="21">
        <f>EXP(-LN(2)/25)*AV170+(1-EXP(-LN(2)/25))/(LN(2)/25)*Calculateur!AQ171*Calculateur!AS171*VLOOKUP('Données projet'!$B$10,Paramètres!$A$1:$I$89,3,0)*0.475*44/12</f>
        <v>2.9825157492781234</v>
      </c>
      <c r="AW171" s="21">
        <f>EXP(-LN(2)/2)*AW170+(1-EXP(-LN(2)/2))/(LN(2)/2)*AQ171*AT171*VLOOKUP('Données projet'!$B$10,Paramètres!$A$1:$I$89,3,0)*0.475*44/12</f>
        <v>2.0555389174248671E-12</v>
      </c>
      <c r="AX171" s="21">
        <f t="shared" si="166"/>
        <v>27.880804929211163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1.1368683772161603E-12</v>
      </c>
      <c r="O172" s="13">
        <f>N172*VLOOKUP('Données projet'!$B$9,Paramètres!$A$1:$I$89,3,0)*VLOOKUP('Données projet'!$B$9,Paramètres!$A$1:$I$89,5,0)</f>
        <v>5.3205440053716299E-13</v>
      </c>
      <c r="P172" s="13">
        <f t="shared" si="141"/>
        <v>6.579711042921201E-12</v>
      </c>
      <c r="Q172" s="20">
        <f t="shared" si="162"/>
        <v>1.2386324814023317E-11</v>
      </c>
      <c r="R172" s="59">
        <f t="shared" si="109"/>
        <v>293.33333333334571</v>
      </c>
      <c r="S172" s="59">
        <f ca="1">AVERAGE(OFFSET($R$3,0,0,'Données projet'!$E$9+1,1))-AVERAGE(OFFSET($H$3,0,0,'Données projet'!$E$9+1,1))</f>
        <v>204.77882499755987</v>
      </c>
      <c r="T172" s="59">
        <f t="shared" si="142"/>
        <v>152.46480920430594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68.686497129885993</v>
      </c>
      <c r="AA172" s="21">
        <f>EXP(-LN(2)/25)*AA171+(1-EXP(-LN(2)/25))/(LN(2)/25)*Calculateur!V172*Calculateur!X172*VLOOKUP('Données projet'!$B$9,Paramètres!$A$1:$I$89,3,0)*0.475*44/12</f>
        <v>12.139118446881733</v>
      </c>
      <c r="AB172" s="21">
        <f>EXP(-LN(2)/2)*AB171+(1-EXP(-LN(2)/2))/(LN(2)/2)*V172*Y172*VLOOKUP('Données projet'!$B$9,Paramètres!$A$1:$I$89,3,0)*0.475*44/12</f>
        <v>3.5503698008404313E-5</v>
      </c>
      <c r="AC172" s="22">
        <f t="shared" si="163"/>
        <v>80.825651080465747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-2.0395418687257919E-13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237.03649693529445</v>
      </c>
      <c r="AO172" s="59">
        <f t="shared" si="144"/>
        <v>191.04289411674887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24.410048915569394</v>
      </c>
      <c r="AV172" s="21">
        <f>EXP(-LN(2)/25)*AV171+(1-EXP(-LN(2)/25))/(LN(2)/25)*Calculateur!AQ172*Calculateur!AS172*VLOOKUP('Données projet'!$B$10,Paramètres!$A$1:$I$89,3,0)*0.475*44/12</f>
        <v>2.9009586992704266</v>
      </c>
      <c r="AW172" s="21">
        <f>EXP(-LN(2)/2)*AW171+(1-EXP(-LN(2)/2))/(LN(2)/2)*AQ172*AT172*VLOOKUP('Données projet'!$B$10,Paramètres!$A$1:$I$89,3,0)*0.475*44/12</f>
        <v>1.4534855075039783E-12</v>
      </c>
      <c r="AX172" s="21">
        <f t="shared" si="166"/>
        <v>27.311007614841273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1.1368683772161603E-12</v>
      </c>
      <c r="O173" s="13">
        <f>N173*VLOOKUP('Données projet'!$B$9,Paramètres!$A$1:$I$89,3,0)*VLOOKUP('Données projet'!$B$9,Paramètres!$A$1:$I$89,5,0)</f>
        <v>5.3205440053716299E-13</v>
      </c>
      <c r="P173" s="13">
        <f t="shared" si="141"/>
        <v>6.579711042921201E-12</v>
      </c>
      <c r="Q173" s="20">
        <f t="shared" si="162"/>
        <v>1.2386324814023317E-11</v>
      </c>
      <c r="R173" s="59">
        <f t="shared" si="109"/>
        <v>293.33333333334571</v>
      </c>
      <c r="S173" s="59">
        <f ca="1">AVERAGE(OFFSET($R$3,0,0,'Données projet'!$E$9+1,1))-AVERAGE(OFFSET($H$3,0,0,'Données projet'!$E$9+1,1))</f>
        <v>204.77882499755987</v>
      </c>
      <c r="T173" s="59">
        <f t="shared" si="142"/>
        <v>152.46480920430594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67.339596815795431</v>
      </c>
      <c r="AA173" s="21">
        <f>EXP(-LN(2)/25)*AA172+(1-EXP(-LN(2)/25))/(LN(2)/25)*Calculateur!V173*Calculateur!X173*VLOOKUP('Données projet'!$B$9,Paramètres!$A$1:$I$89,3,0)*0.475*44/12</f>
        <v>11.807173614583258</v>
      </c>
      <c r="AB173" s="21">
        <f>EXP(-LN(2)/2)*AB172+(1-EXP(-LN(2)/2))/(LN(2)/2)*V173*Y173*VLOOKUP('Données projet'!$B$9,Paramètres!$A$1:$I$89,3,0)*0.475*44/12</f>
        <v>2.5104905618942012E-5</v>
      </c>
      <c r="AC173" s="22">
        <f t="shared" si="163"/>
        <v>79.146795535284312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-2.0395418687257919E-13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237.03649693529445</v>
      </c>
      <c r="AO173" s="59">
        <f t="shared" si="144"/>
        <v>191.04289411674887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23.931382744994785</v>
      </c>
      <c r="AV173" s="21">
        <f>EXP(-LN(2)/25)*AV172+(1-EXP(-LN(2)/25))/(LN(2)/25)*Calculateur!AQ173*Calculateur!AS173*VLOOKUP('Données projet'!$B$10,Paramètres!$A$1:$I$89,3,0)*0.475*44/12</f>
        <v>2.8216318310840891</v>
      </c>
      <c r="AW173" s="21">
        <f>EXP(-LN(2)/2)*AW172+(1-EXP(-LN(2)/2))/(LN(2)/2)*AQ173*AT173*VLOOKUP('Données projet'!$B$10,Paramètres!$A$1:$I$89,3,0)*0.475*44/12</f>
        <v>1.0277694587124335E-12</v>
      </c>
      <c r="AX173" s="21">
        <f t="shared" si="166"/>
        <v>26.753014576079902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1.1368683772161603E-12</v>
      </c>
      <c r="O174" s="13">
        <f>N174*VLOOKUP('Données projet'!$B$9,Paramètres!$A$1:$I$89,3,0)*VLOOKUP('Données projet'!$B$9,Paramètres!$A$1:$I$89,5,0)</f>
        <v>5.3205440053716299E-13</v>
      </c>
      <c r="P174" s="13">
        <f t="shared" si="141"/>
        <v>6.579711042921201E-12</v>
      </c>
      <c r="Q174" s="20">
        <f t="shared" si="162"/>
        <v>1.2386324814023317E-11</v>
      </c>
      <c r="R174" s="59">
        <f t="shared" si="109"/>
        <v>293.33333333334571</v>
      </c>
      <c r="S174" s="59">
        <f ca="1">AVERAGE(OFFSET($R$3,0,0,'Données projet'!$E$9+1,1))-AVERAGE(OFFSET($H$3,0,0,'Données projet'!$E$9+1,1))</f>
        <v>204.77882499755987</v>
      </c>
      <c r="T174" s="59">
        <f t="shared" si="142"/>
        <v>152.46480920430594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66.019108395336104</v>
      </c>
      <c r="AA174" s="21">
        <f>EXP(-LN(2)/25)*AA173+(1-EXP(-LN(2)/25))/(LN(2)/25)*Calculateur!V174*Calculateur!X174*VLOOKUP('Données projet'!$B$9,Paramètres!$A$1:$I$89,3,0)*0.475*44/12</f>
        <v>11.484305831180205</v>
      </c>
      <c r="AB174" s="21">
        <f>EXP(-LN(2)/2)*AB173+(1-EXP(-LN(2)/2))/(LN(2)/2)*V174*Y174*VLOOKUP('Données projet'!$B$9,Paramètres!$A$1:$I$89,3,0)*0.475*44/12</f>
        <v>1.7751849004202157E-5</v>
      </c>
      <c r="AC174" s="22">
        <f t="shared" si="163"/>
        <v>77.503431978365313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-2.0395418687257919E-13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237.03649693529445</v>
      </c>
      <c r="AO174" s="59">
        <f t="shared" si="144"/>
        <v>191.04289411674887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23.462102926067608</v>
      </c>
      <c r="AV174" s="21">
        <f>EXP(-LN(2)/25)*AV173+(1-EXP(-LN(2)/25))/(LN(2)/25)*Calculateur!AQ174*Calculateur!AS174*VLOOKUP('Données projet'!$B$10,Paramètres!$A$1:$I$89,3,0)*0.475*44/12</f>
        <v>2.7444741602799256</v>
      </c>
      <c r="AW174" s="21">
        <f>EXP(-LN(2)/2)*AW173+(1-EXP(-LN(2)/2))/(LN(2)/2)*AQ174*AT174*VLOOKUP('Données projet'!$B$10,Paramètres!$A$1:$I$89,3,0)*0.475*44/12</f>
        <v>7.2674275375198914E-13</v>
      </c>
      <c r="AX174" s="21">
        <f t="shared" si="166"/>
        <v>26.206577086348261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1.1368683772161603E-12</v>
      </c>
      <c r="O175" s="13">
        <f>N175*VLOOKUP('Données projet'!$B$9,Paramètres!$A$1:$I$89,3,0)*VLOOKUP('Données projet'!$B$9,Paramètres!$A$1:$I$89,5,0)</f>
        <v>5.3205440053716299E-13</v>
      </c>
      <c r="P175" s="13">
        <f t="shared" si="141"/>
        <v>6.579711042921201E-12</v>
      </c>
      <c r="Q175" s="20">
        <f t="shared" si="162"/>
        <v>1.2386324814023317E-11</v>
      </c>
      <c r="R175" s="59">
        <f t="shared" si="109"/>
        <v>293.33333333334571</v>
      </c>
      <c r="S175" s="59">
        <f ca="1">AVERAGE(OFFSET($R$3,0,0,'Données projet'!$E$9+1,1))-AVERAGE(OFFSET($H$3,0,0,'Données projet'!$E$9+1,1))</f>
        <v>204.77882499755987</v>
      </c>
      <c r="T175" s="59">
        <f t="shared" si="142"/>
        <v>152.46480920430594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64.724513947383585</v>
      </c>
      <c r="AA175" s="21">
        <f>EXP(-LN(2)/25)*AA174+(1-EXP(-LN(2)/25))/(LN(2)/25)*Calculateur!V175*Calculateur!X175*VLOOKUP('Données projet'!$B$9,Paramètres!$A$1:$I$89,3,0)*0.475*44/12</f>
        <v>11.170266884293186</v>
      </c>
      <c r="AB175" s="21">
        <f>EXP(-LN(2)/2)*AB174+(1-EXP(-LN(2)/2))/(LN(2)/2)*V175*Y175*VLOOKUP('Données projet'!$B$9,Paramètres!$A$1:$I$89,3,0)*0.475*44/12</f>
        <v>1.2552452809471006E-5</v>
      </c>
      <c r="AC175" s="22">
        <f t="shared" si="163"/>
        <v>75.894793384129585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-2.0395418687257919E-13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237.03649693529445</v>
      </c>
      <c r="AO175" s="59">
        <f t="shared" si="144"/>
        <v>191.04289411674887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23.002025398157166</v>
      </c>
      <c r="AV175" s="21">
        <f>EXP(-LN(2)/25)*AV174+(1-EXP(-LN(2)/25))/(LN(2)/25)*Calculateur!AQ175*Calculateur!AS175*VLOOKUP('Données projet'!$B$10,Paramètres!$A$1:$I$89,3,0)*0.475*44/12</f>
        <v>2.6694263700414473</v>
      </c>
      <c r="AW175" s="21">
        <f>EXP(-LN(2)/2)*AW174+(1-EXP(-LN(2)/2))/(LN(2)/2)*AQ175*AT175*VLOOKUP('Données projet'!$B$10,Paramètres!$A$1:$I$89,3,0)*0.475*44/12</f>
        <v>5.1388472935621677E-13</v>
      </c>
      <c r="AX175" s="21">
        <f t="shared" si="166"/>
        <v>25.671451768199127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1.1368683772161603E-12</v>
      </c>
      <c r="O176" s="13">
        <f>N176*VLOOKUP('Données projet'!$B$9,Paramètres!$A$1:$I$89,3,0)*VLOOKUP('Données projet'!$B$9,Paramètres!$A$1:$I$89,5,0)</f>
        <v>5.3205440053716299E-13</v>
      </c>
      <c r="P176" s="13">
        <f t="shared" si="141"/>
        <v>6.579711042921201E-12</v>
      </c>
      <c r="Q176" s="20">
        <f t="shared" si="162"/>
        <v>1.2386324814023317E-11</v>
      </c>
      <c r="R176" s="59">
        <f t="shared" si="109"/>
        <v>293.33333333334571</v>
      </c>
      <c r="S176" s="59">
        <f ca="1">AVERAGE(OFFSET($R$3,0,0,'Données projet'!$E$9+1,1))-AVERAGE(OFFSET($H$3,0,0,'Données projet'!$E$9+1,1))</f>
        <v>204.77882499755987</v>
      </c>
      <c r="T176" s="59">
        <f t="shared" si="142"/>
        <v>152.46480920430594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63.455305706930766</v>
      </c>
      <c r="AA176" s="21">
        <f>EXP(-LN(2)/25)*AA175+(1-EXP(-LN(2)/25))/(LN(2)/25)*Calculateur!V176*Calculateur!X176*VLOOKUP('Données projet'!$B$9,Paramètres!$A$1:$I$89,3,0)*0.475*44/12</f>
        <v>10.864815348923383</v>
      </c>
      <c r="AB176" s="21">
        <f>EXP(-LN(2)/2)*AB175+(1-EXP(-LN(2)/2))/(LN(2)/2)*V176*Y176*VLOOKUP('Données projet'!$B$9,Paramètres!$A$1:$I$89,3,0)*0.475*44/12</f>
        <v>8.8759245021010783E-6</v>
      </c>
      <c r="AC176" s="22">
        <f t="shared" si="163"/>
        <v>74.320129931778652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-2.0395418687257919E-13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237.03649693529445</v>
      </c>
      <c r="AO176" s="59">
        <f t="shared" si="144"/>
        <v>191.04289411674887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22.550969709949463</v>
      </c>
      <c r="AV176" s="21">
        <f>EXP(-LN(2)/25)*AV175+(1-EXP(-LN(2)/25))/(LN(2)/25)*Calculateur!AQ176*Calculateur!AS176*VLOOKUP('Données projet'!$B$10,Paramètres!$A$1:$I$89,3,0)*0.475*44/12</f>
        <v>2.5964307655736323</v>
      </c>
      <c r="AW176" s="21">
        <f>EXP(-LN(2)/2)*AW175+(1-EXP(-LN(2)/2))/(LN(2)/2)*AQ176*AT176*VLOOKUP('Données projet'!$B$10,Paramètres!$A$1:$I$89,3,0)*0.475*44/12</f>
        <v>3.6337137687599457E-13</v>
      </c>
      <c r="AX176" s="21">
        <f t="shared" si="166"/>
        <v>25.147400475523458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1.1368683772161603E-12</v>
      </c>
      <c r="O177" s="13">
        <f>N177*VLOOKUP('Données projet'!$B$9,Paramètres!$A$1:$I$89,3,0)*VLOOKUP('Données projet'!$B$9,Paramètres!$A$1:$I$89,5,0)</f>
        <v>5.3205440053716299E-13</v>
      </c>
      <c r="P177" s="13">
        <f t="shared" si="141"/>
        <v>6.579711042921201E-12</v>
      </c>
      <c r="Q177" s="20">
        <f t="shared" si="162"/>
        <v>1.2386324814023317E-11</v>
      </c>
      <c r="R177" s="59">
        <f t="shared" si="109"/>
        <v>293.33333333334571</v>
      </c>
      <c r="S177" s="59">
        <f ca="1">AVERAGE(OFFSET($R$3,0,0,'Données projet'!$E$9+1,1))-AVERAGE(OFFSET($H$3,0,0,'Données projet'!$E$9+1,1))</f>
        <v>204.77882499755987</v>
      </c>
      <c r="T177" s="59">
        <f t="shared" si="142"/>
        <v>152.46480920430594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62.210985865932642</v>
      </c>
      <c r="AA177" s="21">
        <f>EXP(-LN(2)/25)*AA176+(1-EXP(-LN(2)/25))/(LN(2)/25)*Calculateur!V177*Calculateur!X177*VLOOKUP('Données projet'!$B$9,Paramètres!$A$1:$I$89,3,0)*0.475*44/12</f>
        <v>10.567716401851266</v>
      </c>
      <c r="AB177" s="21">
        <f>EXP(-LN(2)/2)*AB176+(1-EXP(-LN(2)/2))/(LN(2)/2)*V177*Y177*VLOOKUP('Données projet'!$B$9,Paramètres!$A$1:$I$89,3,0)*0.475*44/12</f>
        <v>6.2762264047355031E-6</v>
      </c>
      <c r="AC177" s="22">
        <f t="shared" si="163"/>
        <v>72.778708544010314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-2.0395418687257919E-13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237.03649693529445</v>
      </c>
      <c r="AO177" s="59">
        <f t="shared" si="144"/>
        <v>191.04289411674887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22.108758948670712</v>
      </c>
      <c r="AV177" s="21">
        <f>EXP(-LN(2)/25)*AV176+(1-EXP(-LN(2)/25))/(LN(2)/25)*Calculateur!AQ177*Calculateur!AS177*VLOOKUP('Données projet'!$B$10,Paramètres!$A$1:$I$89,3,0)*0.475*44/12</f>
        <v>2.5254312297486616</v>
      </c>
      <c r="AW177" s="21">
        <f>EXP(-LN(2)/2)*AW176+(1-EXP(-LN(2)/2))/(LN(2)/2)*AQ177*AT177*VLOOKUP('Données projet'!$B$10,Paramètres!$A$1:$I$89,3,0)*0.475*44/12</f>
        <v>2.5694236467810839E-13</v>
      </c>
      <c r="AX177" s="21">
        <f t="shared" si="166"/>
        <v>24.63419017841963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1.1368683772161603E-12</v>
      </c>
      <c r="O178" s="13">
        <f>N178*VLOOKUP('Données projet'!$B$9,Paramètres!$A$1:$I$89,3,0)*VLOOKUP('Données projet'!$B$9,Paramètres!$A$1:$I$89,5,0)</f>
        <v>5.3205440053716299E-13</v>
      </c>
      <c r="P178" s="13">
        <f t="shared" si="141"/>
        <v>6.579711042921201E-12</v>
      </c>
      <c r="Q178" s="20">
        <f t="shared" si="162"/>
        <v>1.2386324814023317E-11</v>
      </c>
      <c r="R178" s="59">
        <f t="shared" si="109"/>
        <v>293.33333333334571</v>
      </c>
      <c r="S178" s="59">
        <f ca="1">AVERAGE(OFFSET($R$3,0,0,'Données projet'!$E$9+1,1))-AVERAGE(OFFSET($H$3,0,0,'Données projet'!$E$9+1,1))</f>
        <v>204.77882499755987</v>
      </c>
      <c r="T178" s="59">
        <f t="shared" si="142"/>
        <v>152.46480920430594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60.991066378056331</v>
      </c>
      <c r="AA178" s="21">
        <f>EXP(-LN(2)/25)*AA177+(1-EXP(-LN(2)/25))/(LN(2)/25)*Calculateur!V178*Calculateur!X178*VLOOKUP('Données projet'!$B$9,Paramètres!$A$1:$I$89,3,0)*0.475*44/12</f>
        <v>10.278741641110591</v>
      </c>
      <c r="AB178" s="21">
        <f>EXP(-LN(2)/2)*AB177+(1-EXP(-LN(2)/2))/(LN(2)/2)*V178*Y178*VLOOKUP('Données projet'!$B$9,Paramètres!$A$1:$I$89,3,0)*0.475*44/12</f>
        <v>4.4379622510505391E-6</v>
      </c>
      <c r="AC178" s="22">
        <f t="shared" si="163"/>
        <v>71.269812457129163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-2.0395418687257919E-13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237.03649693529445</v>
      </c>
      <c r="AO178" s="59">
        <f t="shared" si="144"/>
        <v>191.04289411674887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21.675219670698702</v>
      </c>
      <c r="AV178" s="21">
        <f>EXP(-LN(2)/25)*AV177+(1-EXP(-LN(2)/25))/(LN(2)/25)*Calculateur!AQ178*Calculateur!AS178*VLOOKUP('Données projet'!$B$10,Paramètres!$A$1:$I$89,3,0)*0.475*44/12</f>
        <v>2.4563731799645279</v>
      </c>
      <c r="AW178" s="21">
        <f>EXP(-LN(2)/2)*AW177+(1-EXP(-LN(2)/2))/(LN(2)/2)*AQ178*AT178*VLOOKUP('Données projet'!$B$10,Paramètres!$A$1:$I$89,3,0)*0.475*44/12</f>
        <v>1.8168568843799728E-13</v>
      </c>
      <c r="AX178" s="21">
        <f t="shared" si="166"/>
        <v>24.131592850663413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1.1368683772161603E-12</v>
      </c>
      <c r="O179" s="13">
        <f>N179*VLOOKUP('Données projet'!$B$9,Paramètres!$A$1:$I$89,3,0)*VLOOKUP('Données projet'!$B$9,Paramètres!$A$1:$I$89,5,0)</f>
        <v>5.3205440053716299E-13</v>
      </c>
      <c r="P179" s="13">
        <f t="shared" si="141"/>
        <v>6.579711042921201E-12</v>
      </c>
      <c r="Q179" s="20">
        <f t="shared" si="162"/>
        <v>1.2386324814023317E-11</v>
      </c>
      <c r="R179" s="59">
        <f t="shared" si="109"/>
        <v>293.33333333334571</v>
      </c>
      <c r="S179" s="59">
        <f ca="1">AVERAGE(OFFSET($R$3,0,0,'Données projet'!$E$9+1,1))-AVERAGE(OFFSET($H$3,0,0,'Données projet'!$E$9+1,1))</f>
        <v>204.77882499755987</v>
      </c>
      <c r="T179" s="59">
        <f t="shared" si="142"/>
        <v>152.46480920430594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59.795068767259856</v>
      </c>
      <c r="AA179" s="21">
        <f>EXP(-LN(2)/25)*AA178+(1-EXP(-LN(2)/25))/(LN(2)/25)*Calculateur!V179*Calculateur!X179*VLOOKUP('Données projet'!$B$9,Paramètres!$A$1:$I$89,3,0)*0.475*44/12</f>
        <v>9.9976689103988914</v>
      </c>
      <c r="AB179" s="21">
        <f>EXP(-LN(2)/2)*AB178+(1-EXP(-LN(2)/2))/(LN(2)/2)*V179*Y179*VLOOKUP('Données projet'!$B$9,Paramètres!$A$1:$I$89,3,0)*0.475*44/12</f>
        <v>3.1381132023677515E-6</v>
      </c>
      <c r="AC179" s="22">
        <f t="shared" si="163"/>
        <v>69.79274081577195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-2.0395418687257919E-13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237.03649693529445</v>
      </c>
      <c r="AO179" s="59">
        <f t="shared" si="144"/>
        <v>191.04289411674887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21.250181833534874</v>
      </c>
      <c r="AV179" s="21">
        <f>EXP(-LN(2)/25)*AV178+(1-EXP(-LN(2)/25))/(LN(2)/25)*Calculateur!AQ179*Calculateur!AS179*VLOOKUP('Données projet'!$B$10,Paramètres!$A$1:$I$89,3,0)*0.475*44/12</f>
        <v>2.3892035261833464</v>
      </c>
      <c r="AW179" s="21">
        <f>EXP(-LN(2)/2)*AW178+(1-EXP(-LN(2)/2))/(LN(2)/2)*AQ179*AT179*VLOOKUP('Données projet'!$B$10,Paramètres!$A$1:$I$89,3,0)*0.475*44/12</f>
        <v>1.2847118233905419E-13</v>
      </c>
      <c r="AX179" s="21">
        <f t="shared" si="166"/>
        <v>23.63938535971835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1.1368683772161603E-12</v>
      </c>
      <c r="O180" s="13">
        <f>N180*VLOOKUP('Données projet'!$B$9,Paramètres!$A$1:$I$89,3,0)*VLOOKUP('Données projet'!$B$9,Paramètres!$A$1:$I$89,5,0)</f>
        <v>5.3205440053716299E-13</v>
      </c>
      <c r="P180" s="13">
        <f t="shared" si="141"/>
        <v>6.579711042921201E-12</v>
      </c>
      <c r="Q180" s="20">
        <f t="shared" si="162"/>
        <v>1.2386324814023317E-11</v>
      </c>
      <c r="R180" s="59">
        <f t="shared" si="109"/>
        <v>293.33333333334571</v>
      </c>
      <c r="S180" s="59">
        <f ca="1">AVERAGE(OFFSET($R$3,0,0,'Données projet'!$E$9+1,1))-AVERAGE(OFFSET($H$3,0,0,'Données projet'!$E$9+1,1))</f>
        <v>204.77882499755987</v>
      </c>
      <c r="T180" s="59">
        <f t="shared" si="142"/>
        <v>152.46480920430594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58.622523940124587</v>
      </c>
      <c r="AA180" s="21">
        <f>EXP(-LN(2)/25)*AA179+(1-EXP(-LN(2)/25))/(LN(2)/25)*Calculateur!V180*Calculateur!X180*VLOOKUP('Données projet'!$B$9,Paramètres!$A$1:$I$89,3,0)*0.475*44/12</f>
        <v>9.7242821282894756</v>
      </c>
      <c r="AB180" s="21">
        <f>EXP(-LN(2)/2)*AB179+(1-EXP(-LN(2)/2))/(LN(2)/2)*V180*Y180*VLOOKUP('Données projet'!$B$9,Paramètres!$A$1:$I$89,3,0)*0.475*44/12</f>
        <v>2.2189811255252696E-6</v>
      </c>
      <c r="AC180" s="22">
        <f t="shared" si="163"/>
        <v>68.346808287395191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-2.0395418687257919E-13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237.03649693529445</v>
      </c>
      <c r="AO180" s="59">
        <f t="shared" si="144"/>
        <v>191.04289411674887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20.83347872911035</v>
      </c>
      <c r="AV180" s="21">
        <f>EXP(-LN(2)/25)*AV179+(1-EXP(-LN(2)/25))/(LN(2)/25)*Calculateur!AQ180*Calculateur!AS180*VLOOKUP('Données projet'!$B$10,Paramètres!$A$1:$I$89,3,0)*0.475*44/12</f>
        <v>2.3238706301171099</v>
      </c>
      <c r="AW180" s="21">
        <f>EXP(-LN(2)/2)*AW179+(1-EXP(-LN(2)/2))/(LN(2)/2)*AQ180*AT180*VLOOKUP('Données projet'!$B$10,Paramètres!$A$1:$I$89,3,0)*0.475*44/12</f>
        <v>9.0842844218998642E-14</v>
      </c>
      <c r="AX180" s="21">
        <f t="shared" si="166"/>
        <v>23.157349359227553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1.1368683772161603E-12</v>
      </c>
      <c r="O181" s="13">
        <f>N181*VLOOKUP('Données projet'!$B$9,Paramètres!$A$1:$I$89,3,0)*VLOOKUP('Données projet'!$B$9,Paramètres!$A$1:$I$89,5,0)</f>
        <v>5.3205440053716299E-13</v>
      </c>
      <c r="P181" s="13">
        <f t="shared" si="141"/>
        <v>6.579711042921201E-12</v>
      </c>
      <c r="Q181" s="20">
        <f t="shared" si="162"/>
        <v>1.2386324814023317E-11</v>
      </c>
      <c r="R181" s="59">
        <f t="shared" si="109"/>
        <v>293.33333333334571</v>
      </c>
      <c r="S181" s="59">
        <f ca="1">AVERAGE(OFFSET($R$3,0,0,'Données projet'!$E$9+1,1))-AVERAGE(OFFSET($H$3,0,0,'Données projet'!$E$9+1,1))</f>
        <v>204.77882499755987</v>
      </c>
      <c r="T181" s="59">
        <f t="shared" si="142"/>
        <v>152.46480920430594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57.472972001867717</v>
      </c>
      <c r="AA181" s="21">
        <f>EXP(-LN(2)/25)*AA180+(1-EXP(-LN(2)/25))/(LN(2)/25)*Calculateur!V181*Calculateur!X181*VLOOKUP('Données projet'!$B$9,Paramètres!$A$1:$I$89,3,0)*0.475*44/12</f>
        <v>9.4583711221136273</v>
      </c>
      <c r="AB181" s="21">
        <f>EXP(-LN(2)/2)*AB180+(1-EXP(-LN(2)/2))/(LN(2)/2)*V181*Y181*VLOOKUP('Données projet'!$B$9,Paramètres!$A$1:$I$89,3,0)*0.475*44/12</f>
        <v>1.5690566011838758E-6</v>
      </c>
      <c r="AC181" s="22">
        <f t="shared" si="163"/>
        <v>66.931344693037957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-2.0395418687257919E-13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237.03649693529445</v>
      </c>
      <c r="AO181" s="59">
        <f t="shared" si="144"/>
        <v>191.04289411674887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20.424946918399794</v>
      </c>
      <c r="AV181" s="21">
        <f>EXP(-LN(2)/25)*AV180+(1-EXP(-LN(2)/25))/(LN(2)/25)*Calculateur!AQ181*Calculateur!AS181*VLOOKUP('Données projet'!$B$10,Paramètres!$A$1:$I$89,3,0)*0.475*44/12</f>
        <v>2.2603242655295124</v>
      </c>
      <c r="AW181" s="21">
        <f>EXP(-LN(2)/2)*AW180+(1-EXP(-LN(2)/2))/(LN(2)/2)*AQ181*AT181*VLOOKUP('Données projet'!$B$10,Paramètres!$A$1:$I$89,3,0)*0.475*44/12</f>
        <v>6.4235591169527096E-14</v>
      </c>
      <c r="AX181" s="21">
        <f t="shared" si="166"/>
        <v>22.68527118392937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1.1368683772161603E-12</v>
      </c>
      <c r="O182" s="13">
        <f>N182*VLOOKUP('Données projet'!$B$9,Paramètres!$A$1:$I$89,3,0)*VLOOKUP('Données projet'!$B$9,Paramètres!$A$1:$I$89,5,0)</f>
        <v>5.3205440053716299E-13</v>
      </c>
      <c r="P182" s="13">
        <f t="shared" si="141"/>
        <v>6.579711042921201E-12</v>
      </c>
      <c r="Q182" s="20">
        <f t="shared" si="162"/>
        <v>1.2386324814023317E-11</v>
      </c>
      <c r="R182" s="59">
        <f t="shared" si="109"/>
        <v>293.33333333334571</v>
      </c>
      <c r="S182" s="59">
        <f ca="1">AVERAGE(OFFSET($R$3,0,0,'Données projet'!$E$9+1,1))-AVERAGE(OFFSET($H$3,0,0,'Données projet'!$E$9+1,1))</f>
        <v>204.77882499755987</v>
      </c>
      <c r="T182" s="59">
        <f t="shared" si="142"/>
        <v>152.46480920430594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56.345962075962611</v>
      </c>
      <c r="AA182" s="21">
        <f>EXP(-LN(2)/25)*AA181+(1-EXP(-LN(2)/25))/(LN(2)/25)*Calculateur!V182*Calculateur!X182*VLOOKUP('Données projet'!$B$9,Paramètres!$A$1:$I$89,3,0)*0.475*44/12</f>
        <v>9.1997314663853107</v>
      </c>
      <c r="AB182" s="21">
        <f>EXP(-LN(2)/2)*AB181+(1-EXP(-LN(2)/2))/(LN(2)/2)*V182*Y182*VLOOKUP('Données projet'!$B$9,Paramètres!$A$1:$I$89,3,0)*0.475*44/12</f>
        <v>1.1094905627626348E-6</v>
      </c>
      <c r="AC182" s="22">
        <f t="shared" si="163"/>
        <v>65.545694651838488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-2.0395418687257919E-13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237.03649693529445</v>
      </c>
      <c r="AO182" s="59">
        <f t="shared" si="144"/>
        <v>191.04289411674887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20.024426167317468</v>
      </c>
      <c r="AV182" s="21">
        <f>EXP(-LN(2)/25)*AV181+(1-EXP(-LN(2)/25))/(LN(2)/25)*Calculateur!AQ182*Calculateur!AS182*VLOOKUP('Données projet'!$B$10,Paramètres!$A$1:$I$89,3,0)*0.475*44/12</f>
        <v>2.1985155796233209</v>
      </c>
      <c r="AW182" s="21">
        <f>EXP(-LN(2)/2)*AW181+(1-EXP(-LN(2)/2))/(LN(2)/2)*AQ182*AT182*VLOOKUP('Données projet'!$B$10,Paramètres!$A$1:$I$89,3,0)*0.475*44/12</f>
        <v>4.5421422109499321E-14</v>
      </c>
      <c r="AX182" s="21">
        <f t="shared" si="166"/>
        <v>22.222941746940837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1.1368683772161603E-12</v>
      </c>
      <c r="O183" s="13">
        <f>N183*VLOOKUP('Données projet'!$B$9,Paramètres!$A$1:$I$89,3,0)*VLOOKUP('Données projet'!$B$9,Paramètres!$A$1:$I$89,5,0)</f>
        <v>5.3205440053716299E-13</v>
      </c>
      <c r="P183" s="13">
        <f t="shared" si="141"/>
        <v>6.579711042921201E-12</v>
      </c>
      <c r="Q183" s="20">
        <f t="shared" si="162"/>
        <v>1.2386324814023317E-11</v>
      </c>
      <c r="R183" s="59">
        <f t="shared" si="109"/>
        <v>293.33333333334571</v>
      </c>
      <c r="S183" s="59">
        <f ca="1">AVERAGE(OFFSET($R$3,0,0,'Données projet'!$E$9+1,1))-AVERAGE(OFFSET($H$3,0,0,'Données projet'!$E$9+1,1))</f>
        <v>204.77882499755987</v>
      </c>
      <c r="T183" s="59">
        <f t="shared" si="142"/>
        <v>152.46480920430594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55.241052127296328</v>
      </c>
      <c r="AA183" s="21">
        <f>EXP(-LN(2)/25)*AA182+(1-EXP(-LN(2)/25))/(LN(2)/25)*Calculateur!V183*Calculateur!X183*VLOOKUP('Données projet'!$B$9,Paramètres!$A$1:$I$89,3,0)*0.475*44/12</f>
        <v>8.9481643256441536</v>
      </c>
      <c r="AB183" s="21">
        <f>EXP(-LN(2)/2)*AB182+(1-EXP(-LN(2)/2))/(LN(2)/2)*V183*Y183*VLOOKUP('Données projet'!$B$9,Paramètres!$A$1:$I$89,3,0)*0.475*44/12</f>
        <v>7.8452830059193788E-7</v>
      </c>
      <c r="AC183" s="22">
        <f t="shared" si="163"/>
        <v>64.189217237468782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-2.0395418687257919E-13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237.03649693529445</v>
      </c>
      <c r="AO183" s="59">
        <f t="shared" si="144"/>
        <v>191.04289411674887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19.631759383870332</v>
      </c>
      <c r="AV183" s="21">
        <f>EXP(-LN(2)/25)*AV182+(1-EXP(-LN(2)/25))/(LN(2)/25)*Calculateur!AQ183*Calculateur!AS183*VLOOKUP('Données projet'!$B$10,Paramètres!$A$1:$I$89,3,0)*0.475*44/12</f>
        <v>2.1383970554836118</v>
      </c>
      <c r="AW183" s="21">
        <f>EXP(-LN(2)/2)*AW182+(1-EXP(-LN(2)/2))/(LN(2)/2)*AQ183*AT183*VLOOKUP('Données projet'!$B$10,Paramètres!$A$1:$I$89,3,0)*0.475*44/12</f>
        <v>3.2117795584763548E-14</v>
      </c>
      <c r="AX183" s="21">
        <f t="shared" si="166"/>
        <v>21.770156439353975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1.1368683772161603E-12</v>
      </c>
      <c r="O184" s="13">
        <f>N184*VLOOKUP('Données projet'!$B$9,Paramètres!$A$1:$I$89,3,0)*VLOOKUP('Données projet'!$B$9,Paramètres!$A$1:$I$89,5,0)</f>
        <v>5.3205440053716299E-13</v>
      </c>
      <c r="P184" s="13">
        <f t="shared" si="141"/>
        <v>6.579711042921201E-12</v>
      </c>
      <c r="Q184" s="20">
        <f t="shared" si="162"/>
        <v>1.2386324814023317E-11</v>
      </c>
      <c r="R184" s="59">
        <f t="shared" si="109"/>
        <v>293.33333333334571</v>
      </c>
      <c r="S184" s="59">
        <f ca="1">AVERAGE(OFFSET($R$3,0,0,'Données projet'!$E$9+1,1))-AVERAGE(OFFSET($H$3,0,0,'Données projet'!$E$9+1,1))</f>
        <v>204.77882499755987</v>
      </c>
      <c r="T184" s="59">
        <f t="shared" si="142"/>
        <v>152.46480920430594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54.157808788794867</v>
      </c>
      <c r="AA184" s="21">
        <f>EXP(-LN(2)/25)*AA183+(1-EXP(-LN(2)/25))/(LN(2)/25)*Calculateur!V184*Calculateur!X184*VLOOKUP('Données projet'!$B$9,Paramètres!$A$1:$I$89,3,0)*0.475*44/12</f>
        <v>8.703476301595904</v>
      </c>
      <c r="AB184" s="21">
        <f>EXP(-LN(2)/2)*AB183+(1-EXP(-LN(2)/2))/(LN(2)/2)*V184*Y184*VLOOKUP('Données projet'!$B$9,Paramètres!$A$1:$I$89,3,0)*0.475*44/12</f>
        <v>5.5474528138131739E-7</v>
      </c>
      <c r="AC184" s="22">
        <f t="shared" si="163"/>
        <v>62.861285645136057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-2.0395418687257919E-13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237.03649693529445</v>
      </c>
      <c r="AO184" s="59">
        <f t="shared" si="144"/>
        <v>191.04289411674887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19.246792556543504</v>
      </c>
      <c r="AV184" s="21">
        <f>EXP(-LN(2)/25)*AV183+(1-EXP(-LN(2)/25))/(LN(2)/25)*Calculateur!AQ184*Calculateur!AS184*VLOOKUP('Données projet'!$B$10,Paramètres!$A$1:$I$89,3,0)*0.475*44/12</f>
        <v>2.0799224755479986</v>
      </c>
      <c r="AW184" s="21">
        <f>EXP(-LN(2)/2)*AW183+(1-EXP(-LN(2)/2))/(LN(2)/2)*AQ184*AT184*VLOOKUP('Données projet'!$B$10,Paramètres!$A$1:$I$89,3,0)*0.475*44/12</f>
        <v>2.2710711054749661E-14</v>
      </c>
      <c r="AX184" s="21">
        <f t="shared" si="166"/>
        <v>21.326715032091524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1.1368683772161603E-12</v>
      </c>
      <c r="O185" s="13">
        <f>N185*VLOOKUP('Données projet'!$B$9,Paramètres!$A$1:$I$89,3,0)*VLOOKUP('Données projet'!$B$9,Paramètres!$A$1:$I$89,5,0)</f>
        <v>5.3205440053716299E-13</v>
      </c>
      <c r="P185" s="13">
        <f t="shared" si="141"/>
        <v>6.579711042921201E-12</v>
      </c>
      <c r="Q185" s="20">
        <f t="shared" si="162"/>
        <v>1.2386324814023317E-11</v>
      </c>
      <c r="R185" s="59">
        <f t="shared" si="109"/>
        <v>293.33333333334571</v>
      </c>
      <c r="S185" s="59">
        <f ca="1">AVERAGE(OFFSET($R$3,0,0,'Données projet'!$E$9+1,1))-AVERAGE(OFFSET($H$3,0,0,'Données projet'!$E$9+1,1))</f>
        <v>204.77882499755987</v>
      </c>
      <c r="T185" s="59">
        <f t="shared" si="142"/>
        <v>152.46480920430594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53.095807191448223</v>
      </c>
      <c r="AA185" s="21">
        <f>EXP(-LN(2)/25)*AA184+(1-EXP(-LN(2)/25))/(LN(2)/25)*Calculateur!V185*Calculateur!X185*VLOOKUP('Données projet'!$B$9,Paramètres!$A$1:$I$89,3,0)*0.475*44/12</f>
        <v>8.4654792844328366</v>
      </c>
      <c r="AB185" s="21">
        <f>EXP(-LN(2)/2)*AB184+(1-EXP(-LN(2)/2))/(LN(2)/2)*V185*Y185*VLOOKUP('Données projet'!$B$9,Paramètres!$A$1:$I$89,3,0)*0.475*44/12</f>
        <v>3.9226415029596894E-7</v>
      </c>
      <c r="AC185" s="22">
        <f t="shared" si="163"/>
        <v>61.56128686814521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-2.0395418687257919E-13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237.03649693529445</v>
      </c>
      <c r="AO185" s="59">
        <f t="shared" si="144"/>
        <v>191.04289411674887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18.869374693893977</v>
      </c>
      <c r="AV185" s="21">
        <f>EXP(-LN(2)/25)*AV184+(1-EXP(-LN(2)/25))/(LN(2)/25)*Calculateur!AQ185*Calculateur!AS185*VLOOKUP('Données projet'!$B$10,Paramètres!$A$1:$I$89,3,0)*0.475*44/12</f>
        <v>2.0230468860757691</v>
      </c>
      <c r="AW185" s="21">
        <f>EXP(-LN(2)/2)*AW184+(1-EXP(-LN(2)/2))/(LN(2)/2)*AQ185*AT185*VLOOKUP('Données projet'!$B$10,Paramètres!$A$1:$I$89,3,0)*0.475*44/12</f>
        <v>1.6058897792381774E-14</v>
      </c>
      <c r="AX185" s="21">
        <f t="shared" si="166"/>
        <v>20.892421579969763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1.1368683772161603E-12</v>
      </c>
      <c r="O186" s="13">
        <f>N186*VLOOKUP('Données projet'!$B$9,Paramètres!$A$1:$I$89,3,0)*VLOOKUP('Données projet'!$B$9,Paramètres!$A$1:$I$89,5,0)</f>
        <v>5.3205440053716299E-13</v>
      </c>
      <c r="P186" s="13">
        <f t="shared" si="141"/>
        <v>6.579711042921201E-12</v>
      </c>
      <c r="Q186" s="20">
        <f t="shared" si="162"/>
        <v>1.2386324814023317E-11</v>
      </c>
      <c r="R186" s="59">
        <f t="shared" si="109"/>
        <v>293.33333333334571</v>
      </c>
      <c r="S186" s="59">
        <f ca="1">AVERAGE(OFFSET($R$3,0,0,'Données projet'!$E$9+1,1))-AVERAGE(OFFSET($H$3,0,0,'Données projet'!$E$9+1,1))</f>
        <v>204.77882499755987</v>
      </c>
      <c r="T186" s="59">
        <f t="shared" si="142"/>
        <v>152.46480920430594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52.05463079766853</v>
      </c>
      <c r="AA186" s="21">
        <f>EXP(-LN(2)/25)*AA185+(1-EXP(-LN(2)/25))/(LN(2)/25)*Calculateur!V186*Calculateur!X186*VLOOKUP('Données projet'!$B$9,Paramètres!$A$1:$I$89,3,0)*0.475*44/12</f>
        <v>8.2339903082198127</v>
      </c>
      <c r="AB186" s="21">
        <f>EXP(-LN(2)/2)*AB185+(1-EXP(-LN(2)/2))/(LN(2)/2)*V186*Y186*VLOOKUP('Données projet'!$B$9,Paramètres!$A$1:$I$89,3,0)*0.475*44/12</f>
        <v>2.773726406906587E-7</v>
      </c>
      <c r="AC186" s="22">
        <f t="shared" si="163"/>
        <v>60.288621383260981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-2.0395418687257919E-13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237.03649693529445</v>
      </c>
      <c r="AO186" s="59">
        <f t="shared" si="144"/>
        <v>191.04289411674887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18.499357765328842</v>
      </c>
      <c r="AV186" s="21">
        <f>EXP(-LN(2)/25)*AV185+(1-EXP(-LN(2)/25))/(LN(2)/25)*Calculateur!AQ186*Calculateur!AS186*VLOOKUP('Données projet'!$B$10,Paramètres!$A$1:$I$89,3,0)*0.475*44/12</f>
        <v>1.9677265625886151</v>
      </c>
      <c r="AW186" s="21">
        <f>EXP(-LN(2)/2)*AW185+(1-EXP(-LN(2)/2))/(LN(2)/2)*AQ186*AT186*VLOOKUP('Données projet'!$B$10,Paramètres!$A$1:$I$89,3,0)*0.475*44/12</f>
        <v>1.135535552737483E-14</v>
      </c>
      <c r="AX186" s="21">
        <f t="shared" si="166"/>
        <v>20.467084327917469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1.1368683772161603E-12</v>
      </c>
      <c r="O187" s="13">
        <f>N187*VLOOKUP('Données projet'!$B$9,Paramètres!$A$1:$I$89,3,0)*VLOOKUP('Données projet'!$B$9,Paramètres!$A$1:$I$89,5,0)</f>
        <v>5.3205440053716299E-13</v>
      </c>
      <c r="P187" s="13">
        <f t="shared" si="141"/>
        <v>6.579711042921201E-12</v>
      </c>
      <c r="Q187" s="20">
        <f t="shared" si="162"/>
        <v>1.2386324814023317E-11</v>
      </c>
      <c r="R187" s="59">
        <f t="shared" si="109"/>
        <v>293.33333333334571</v>
      </c>
      <c r="S187" s="59">
        <f ca="1">AVERAGE(OFFSET($R$3,0,0,'Données projet'!$E$9+1,1))-AVERAGE(OFFSET($H$3,0,0,'Données projet'!$E$9+1,1))</f>
        <v>204.77882499755987</v>
      </c>
      <c r="T187" s="59">
        <f t="shared" si="142"/>
        <v>152.46480920430594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51.033871237915967</v>
      </c>
      <c r="AA187" s="21">
        <f>EXP(-LN(2)/25)*AA186+(1-EXP(-LN(2)/25))/(LN(2)/25)*Calculateur!V187*Calculateur!X187*VLOOKUP('Données projet'!$B$9,Paramètres!$A$1:$I$89,3,0)*0.475*44/12</f>
        <v>8.0088314102348104</v>
      </c>
      <c r="AB187" s="21">
        <f>EXP(-LN(2)/2)*AB186+(1-EXP(-LN(2)/2))/(LN(2)/2)*V187*Y187*VLOOKUP('Données projet'!$B$9,Paramètres!$A$1:$I$89,3,0)*0.475*44/12</f>
        <v>1.9613207514798447E-7</v>
      </c>
      <c r="AC187" s="22">
        <f t="shared" si="163"/>
        <v>59.042702844282857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-2.0395418687257919E-13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237.03649693529445</v>
      </c>
      <c r="AO187" s="59">
        <f t="shared" si="144"/>
        <v>191.04289411674887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18.136596643044829</v>
      </c>
      <c r="AV187" s="21">
        <f>EXP(-LN(2)/25)*AV186+(1-EXP(-LN(2)/25))/(LN(2)/25)*Calculateur!AQ187*Calculateur!AS187*VLOOKUP('Données projet'!$B$10,Paramètres!$A$1:$I$89,3,0)*0.475*44/12</f>
        <v>1.9139189762563869</v>
      </c>
      <c r="AW187" s="21">
        <f>EXP(-LN(2)/2)*AW186+(1-EXP(-LN(2)/2))/(LN(2)/2)*AQ187*AT187*VLOOKUP('Données projet'!$B$10,Paramètres!$A$1:$I$89,3,0)*0.475*44/12</f>
        <v>8.0294488961908871E-15</v>
      </c>
      <c r="AX187" s="21">
        <f t="shared" si="166"/>
        <v>20.050515619301223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1.1368683772161603E-12</v>
      </c>
      <c r="O188" s="13">
        <f>N188*VLOOKUP('Données projet'!$B$9,Paramètres!$A$1:$I$89,3,0)*VLOOKUP('Données projet'!$B$9,Paramètres!$A$1:$I$89,5,0)</f>
        <v>5.3205440053716299E-13</v>
      </c>
      <c r="P188" s="13">
        <f t="shared" si="141"/>
        <v>6.579711042921201E-12</v>
      </c>
      <c r="Q188" s="20">
        <f t="shared" si="162"/>
        <v>1.2386324814023317E-11</v>
      </c>
      <c r="R188" s="59">
        <f t="shared" si="109"/>
        <v>293.33333333334571</v>
      </c>
      <c r="S188" s="59">
        <f ca="1">AVERAGE(OFFSET($R$3,0,0,'Données projet'!$E$9+1,1))-AVERAGE(OFFSET($H$3,0,0,'Données projet'!$E$9+1,1))</f>
        <v>204.77882499755987</v>
      </c>
      <c r="T188" s="59">
        <f t="shared" si="142"/>
        <v>152.46480920430594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50.033128150528299</v>
      </c>
      <c r="AA188" s="21">
        <f>EXP(-LN(2)/25)*AA187+(1-EXP(-LN(2)/25))/(LN(2)/25)*Calculateur!V188*Calculateur!X188*VLOOKUP('Données projet'!$B$9,Paramètres!$A$1:$I$89,3,0)*0.475*44/12</f>
        <v>7.7898294941557999</v>
      </c>
      <c r="AB188" s="21">
        <f>EXP(-LN(2)/2)*AB187+(1-EXP(-LN(2)/2))/(LN(2)/2)*V188*Y188*VLOOKUP('Données projet'!$B$9,Paramètres!$A$1:$I$89,3,0)*0.475*44/12</f>
        <v>1.3868632034532935E-7</v>
      </c>
      <c r="AC188" s="22">
        <f t="shared" si="163"/>
        <v>57.822957783370413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-2.0395418687257919E-13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237.03649693529445</v>
      </c>
      <c r="AO188" s="59">
        <f t="shared" si="144"/>
        <v>191.04289411674887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17.780949045106368</v>
      </c>
      <c r="AV188" s="21">
        <f>EXP(-LN(2)/25)*AV187+(1-EXP(-LN(2)/25))/(LN(2)/25)*Calculateur!AQ188*Calculateur!AS188*VLOOKUP('Données projet'!$B$10,Paramètres!$A$1:$I$89,3,0)*0.475*44/12</f>
        <v>1.8615827612020313</v>
      </c>
      <c r="AW188" s="21">
        <f>EXP(-LN(2)/2)*AW187+(1-EXP(-LN(2)/2))/(LN(2)/2)*AQ188*AT188*VLOOKUP('Données projet'!$B$10,Paramètres!$A$1:$I$89,3,0)*0.475*44/12</f>
        <v>5.6776777636874151E-15</v>
      </c>
      <c r="AX188" s="21">
        <f t="shared" si="166"/>
        <v>19.642531806308405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1.1368683772161603E-12</v>
      </c>
      <c r="O189" s="13">
        <f>N189*VLOOKUP('Données projet'!$B$9,Paramètres!$A$1:$I$89,3,0)*VLOOKUP('Données projet'!$B$9,Paramètres!$A$1:$I$89,5,0)</f>
        <v>5.3205440053716299E-13</v>
      </c>
      <c r="P189" s="13">
        <f t="shared" si="141"/>
        <v>6.579711042921201E-12</v>
      </c>
      <c r="Q189" s="20">
        <f t="shared" si="162"/>
        <v>1.2386324814023317E-11</v>
      </c>
      <c r="R189" s="59">
        <f t="shared" si="109"/>
        <v>293.33333333334571</v>
      </c>
      <c r="S189" s="59">
        <f ca="1">AVERAGE(OFFSET($R$3,0,0,'Données projet'!$E$9+1,1))-AVERAGE(OFFSET($H$3,0,0,'Données projet'!$E$9+1,1))</f>
        <v>204.77882499755987</v>
      </c>
      <c r="T189" s="59">
        <f t="shared" si="142"/>
        <v>152.46480920430594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49.052009024691287</v>
      </c>
      <c r="AA189" s="21">
        <f>EXP(-LN(2)/25)*AA188+(1-EXP(-LN(2)/25))/(LN(2)/25)*Calculateur!V189*Calculateur!X189*VLOOKUP('Données projet'!$B$9,Paramètres!$A$1:$I$89,3,0)*0.475*44/12</f>
        <v>7.5768161969887808</v>
      </c>
      <c r="AB189" s="21">
        <f>EXP(-LN(2)/2)*AB188+(1-EXP(-LN(2)/2))/(LN(2)/2)*V189*Y189*VLOOKUP('Données projet'!$B$9,Paramètres!$A$1:$I$89,3,0)*0.475*44/12</f>
        <v>9.8066037573992235E-8</v>
      </c>
      <c r="AC189" s="22">
        <f t="shared" si="163"/>
        <v>56.628825319746106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-2.0395418687257919E-13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237.03649693529445</v>
      </c>
      <c r="AO189" s="59">
        <f t="shared" si="144"/>
        <v>191.04289411674887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17.432275479639866</v>
      </c>
      <c r="AV189" s="21">
        <f>EXP(-LN(2)/25)*AV188+(1-EXP(-LN(2)/25))/(LN(2)/25)*Calculateur!AQ189*Calculateur!AS189*VLOOKUP('Données projet'!$B$10,Paramètres!$A$1:$I$89,3,0)*0.475*44/12</f>
        <v>1.810677682700579</v>
      </c>
      <c r="AW189" s="21">
        <f>EXP(-LN(2)/2)*AW188+(1-EXP(-LN(2)/2))/(LN(2)/2)*AQ189*AT189*VLOOKUP('Données projet'!$B$10,Paramètres!$A$1:$I$89,3,0)*0.475*44/12</f>
        <v>4.0147244480954435E-15</v>
      </c>
      <c r="AX189" s="21">
        <f t="shared" si="166"/>
        <v>19.242953162340449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1.1368683772161603E-12</v>
      </c>
      <c r="O190" s="13">
        <f>N190*VLOOKUP('Données projet'!$B$9,Paramètres!$A$1:$I$89,3,0)*VLOOKUP('Données projet'!$B$9,Paramètres!$A$1:$I$89,5,0)</f>
        <v>5.3205440053716299E-13</v>
      </c>
      <c r="P190" s="13">
        <f t="shared" si="141"/>
        <v>6.579711042921201E-12</v>
      </c>
      <c r="Q190" s="20">
        <f t="shared" si="162"/>
        <v>1.2386324814023317E-11</v>
      </c>
      <c r="R190" s="59">
        <f t="shared" si="109"/>
        <v>293.33333333334571</v>
      </c>
      <c r="S190" s="59">
        <f ca="1">AVERAGE(OFFSET($R$3,0,0,'Données projet'!$E$9+1,1))-AVERAGE(OFFSET($H$3,0,0,'Données projet'!$E$9+1,1))</f>
        <v>204.77882499755987</v>
      </c>
      <c r="T190" s="59">
        <f t="shared" si="142"/>
        <v>152.46480920430594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48.090129046488364</v>
      </c>
      <c r="AA190" s="21">
        <f>EXP(-LN(2)/25)*AA189+(1-EXP(-LN(2)/25))/(LN(2)/25)*Calculateur!V190*Calculateur!X190*VLOOKUP('Données projet'!$B$9,Paramètres!$A$1:$I$89,3,0)*0.475*44/12</f>
        <v>7.3696277596346755</v>
      </c>
      <c r="AB190" s="21">
        <f>EXP(-LN(2)/2)*AB189+(1-EXP(-LN(2)/2))/(LN(2)/2)*V190*Y190*VLOOKUP('Données projet'!$B$9,Paramètres!$A$1:$I$89,3,0)*0.475*44/12</f>
        <v>6.9343160172664674E-8</v>
      </c>
      <c r="AC190" s="22">
        <f t="shared" si="163"/>
        <v>55.459756875466198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-2.0395418687257919E-13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237.03649693529445</v>
      </c>
      <c r="AO190" s="59">
        <f t="shared" si="144"/>
        <v>191.04289411674887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17.090439190122286</v>
      </c>
      <c r="AV190" s="21">
        <f>EXP(-LN(2)/25)*AV189+(1-EXP(-LN(2)/25))/(LN(2)/25)*Calculateur!AQ190*Calculateur!AS190*VLOOKUP('Données projet'!$B$10,Paramètres!$A$1:$I$89,3,0)*0.475*44/12</f>
        <v>1.7611646062477306</v>
      </c>
      <c r="AW190" s="21">
        <f>EXP(-LN(2)/2)*AW189+(1-EXP(-LN(2)/2))/(LN(2)/2)*AQ190*AT190*VLOOKUP('Données projet'!$B$10,Paramètres!$A$1:$I$89,3,0)*0.475*44/12</f>
        <v>2.8388388818437076E-15</v>
      </c>
      <c r="AX190" s="21">
        <f t="shared" si="166"/>
        <v>18.851603796370021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1.1368683772161603E-12</v>
      </c>
      <c r="O191" s="13">
        <f>N191*VLOOKUP('Données projet'!$B$9,Paramètres!$A$1:$I$89,3,0)*VLOOKUP('Données projet'!$B$9,Paramètres!$A$1:$I$89,5,0)</f>
        <v>5.3205440053716299E-13</v>
      </c>
      <c r="P191" s="13">
        <f t="shared" si="141"/>
        <v>6.579711042921201E-12</v>
      </c>
      <c r="Q191" s="20">
        <f t="shared" si="162"/>
        <v>1.2386324814023317E-11</v>
      </c>
      <c r="R191" s="59">
        <f t="shared" si="109"/>
        <v>293.33333333334571</v>
      </c>
      <c r="S191" s="59">
        <f ca="1">AVERAGE(OFFSET($R$3,0,0,'Données projet'!$E$9+1,1))-AVERAGE(OFFSET($H$3,0,0,'Données projet'!$E$9+1,1))</f>
        <v>204.77882499755987</v>
      </c>
      <c r="T191" s="59">
        <f t="shared" si="142"/>
        <v>152.46480920430594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47.147110947969146</v>
      </c>
      <c r="AA191" s="21">
        <f>EXP(-LN(2)/25)*AA190+(1-EXP(-LN(2)/25))/(LN(2)/25)*Calculateur!V191*Calculateur!X191*VLOOKUP('Données projet'!$B$9,Paramètres!$A$1:$I$89,3,0)*0.475*44/12</f>
        <v>7.1681049009955853</v>
      </c>
      <c r="AB191" s="21">
        <f>EXP(-LN(2)/2)*AB190+(1-EXP(-LN(2)/2))/(LN(2)/2)*V191*Y191*VLOOKUP('Données projet'!$B$9,Paramètres!$A$1:$I$89,3,0)*0.475*44/12</f>
        <v>4.9033018786996118E-8</v>
      </c>
      <c r="AC191" s="22">
        <f t="shared" si="163"/>
        <v>54.315215897997753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-2.0395418687257919E-13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237.03649693529445</v>
      </c>
      <c r="AO191" s="59">
        <f t="shared" si="144"/>
        <v>191.04289411674887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16.755306101742594</v>
      </c>
      <c r="AV191" s="21">
        <f>EXP(-LN(2)/25)*AV190+(1-EXP(-LN(2)/25))/(LN(2)/25)*Calculateur!AQ191*Calculateur!AS191*VLOOKUP('Données projet'!$B$10,Paramètres!$A$1:$I$89,3,0)*0.475*44/12</f>
        <v>1.713005467474265</v>
      </c>
      <c r="AW191" s="21">
        <f>EXP(-LN(2)/2)*AW190+(1-EXP(-LN(2)/2))/(LN(2)/2)*AQ191*AT191*VLOOKUP('Données projet'!$B$10,Paramètres!$A$1:$I$89,3,0)*0.475*44/12</f>
        <v>2.0073622240477218E-15</v>
      </c>
      <c r="AX191" s="21">
        <f t="shared" si="166"/>
        <v>18.468311569216862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1.1368683772161603E-12</v>
      </c>
      <c r="O192" s="13">
        <f>N192*VLOOKUP('Données projet'!$B$9,Paramètres!$A$1:$I$89,3,0)*VLOOKUP('Données projet'!$B$9,Paramètres!$A$1:$I$89,5,0)</f>
        <v>5.3205440053716299E-13</v>
      </c>
      <c r="P192" s="13">
        <f t="shared" si="141"/>
        <v>6.579711042921201E-12</v>
      </c>
      <c r="Q192" s="20">
        <f t="shared" si="162"/>
        <v>1.2386324814023317E-11</v>
      </c>
      <c r="R192" s="59">
        <f t="shared" si="109"/>
        <v>293.33333333334571</v>
      </c>
      <c r="S192" s="59">
        <f ca="1">AVERAGE(OFFSET($R$3,0,0,'Données projet'!$E$9+1,1))-AVERAGE(OFFSET($H$3,0,0,'Données projet'!$E$9+1,1))</f>
        <v>204.77882499755987</v>
      </c>
      <c r="T192" s="59">
        <f t="shared" si="142"/>
        <v>152.46480920430594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46.222584859177644</v>
      </c>
      <c r="AA192" s="21">
        <f>EXP(-LN(2)/25)*AA191+(1-EXP(-LN(2)/25))/(LN(2)/25)*Calculateur!V192*Calculateur!X192*VLOOKUP('Données projet'!$B$9,Paramètres!$A$1:$I$89,3,0)*0.475*44/12</f>
        <v>6.9720926955236076</v>
      </c>
      <c r="AB192" s="21">
        <f>EXP(-LN(2)/2)*AB191+(1-EXP(-LN(2)/2))/(LN(2)/2)*V192*Y192*VLOOKUP('Données projet'!$B$9,Paramètres!$A$1:$I$89,3,0)*0.475*44/12</f>
        <v>3.4671580086332337E-8</v>
      </c>
      <c r="AC192" s="22">
        <f t="shared" si="163"/>
        <v>53.19467758937283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-2.0395418687257919E-13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237.03649693529445</v>
      </c>
      <c r="AO192" s="59">
        <f t="shared" si="144"/>
        <v>191.04289411674887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16.426744768815031</v>
      </c>
      <c r="AV192" s="21">
        <f>EXP(-LN(2)/25)*AV191+(1-EXP(-LN(2)/25))/(LN(2)/25)*Calculateur!AQ192*Calculateur!AS192*VLOOKUP('Données projet'!$B$10,Paramètres!$A$1:$I$89,3,0)*0.475*44/12</f>
        <v>1.6661632428831388</v>
      </c>
      <c r="AW192" s="21">
        <f>EXP(-LN(2)/2)*AW191+(1-EXP(-LN(2)/2))/(LN(2)/2)*AQ192*AT192*VLOOKUP('Données projet'!$B$10,Paramètres!$A$1:$I$89,3,0)*0.475*44/12</f>
        <v>1.4194194409218538E-15</v>
      </c>
      <c r="AX192" s="21">
        <f t="shared" si="166"/>
        <v>18.092908011698171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1.1368683772161603E-12</v>
      </c>
      <c r="O193" s="13">
        <f>N193*VLOOKUP('Données projet'!$B$9,Paramètres!$A$1:$I$89,3,0)*VLOOKUP('Données projet'!$B$9,Paramètres!$A$1:$I$89,5,0)</f>
        <v>5.3205440053716299E-13</v>
      </c>
      <c r="P193" s="13">
        <f t="shared" si="141"/>
        <v>6.579711042921201E-12</v>
      </c>
      <c r="Q193" s="20">
        <f t="shared" si="162"/>
        <v>1.2386324814023317E-11</v>
      </c>
      <c r="R193" s="59">
        <f t="shared" si="109"/>
        <v>293.33333333334571</v>
      </c>
      <c r="S193" s="59">
        <f ca="1">AVERAGE(OFFSET($R$3,0,0,'Données projet'!$E$9+1,1))-AVERAGE(OFFSET($H$3,0,0,'Données projet'!$E$9+1,1))</f>
        <v>204.77882499755987</v>
      </c>
      <c r="T193" s="59">
        <f t="shared" si="142"/>
        <v>152.46480920430594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45.31618816308211</v>
      </c>
      <c r="AA193" s="21">
        <f>EXP(-LN(2)/25)*AA192+(1-EXP(-LN(2)/25))/(LN(2)/25)*Calculateur!V193*Calculateur!X193*VLOOKUP('Données projet'!$B$9,Paramètres!$A$1:$I$89,3,0)*0.475*44/12</f>
        <v>6.7814404541180942</v>
      </c>
      <c r="AB193" s="21">
        <f>EXP(-LN(2)/2)*AB192+(1-EXP(-LN(2)/2))/(LN(2)/2)*V193*Y193*VLOOKUP('Données projet'!$B$9,Paramètres!$A$1:$I$89,3,0)*0.475*44/12</f>
        <v>2.4516509393498059E-8</v>
      </c>
      <c r="AC193" s="22">
        <f t="shared" si="163"/>
        <v>52.09762864171671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-2.0395418687257919E-13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237.03649693529445</v>
      </c>
      <c r="AO193" s="59">
        <f t="shared" si="144"/>
        <v>191.04289411674887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16.104626323223549</v>
      </c>
      <c r="AV193" s="21">
        <f>EXP(-LN(2)/25)*AV192+(1-EXP(-LN(2)/25))/(LN(2)/25)*Calculateur!AQ193*Calculateur!AS193*VLOOKUP('Données projet'!$B$10,Paramètres!$A$1:$I$89,3,0)*0.475*44/12</f>
        <v>1.6206019213867824</v>
      </c>
      <c r="AW193" s="21">
        <f>EXP(-LN(2)/2)*AW192+(1-EXP(-LN(2)/2))/(LN(2)/2)*AQ193*AT193*VLOOKUP('Données projet'!$B$10,Paramètres!$A$1:$I$89,3,0)*0.475*44/12</f>
        <v>1.0036811120238609E-15</v>
      </c>
      <c r="AX193" s="21">
        <f t="shared" si="166"/>
        <v>17.725228244610332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1.1368683772161603E-12</v>
      </c>
      <c r="O194" s="13">
        <f>N194*VLOOKUP('Données projet'!$B$9,Paramètres!$A$1:$I$89,3,0)*VLOOKUP('Données projet'!$B$9,Paramètres!$A$1:$I$89,5,0)</f>
        <v>5.3205440053716299E-13</v>
      </c>
      <c r="P194" s="13">
        <f t="shared" si="141"/>
        <v>6.579711042921201E-12</v>
      </c>
      <c r="Q194" s="20">
        <f t="shared" si="162"/>
        <v>1.2386324814023317E-11</v>
      </c>
      <c r="R194" s="59">
        <f t="shared" si="109"/>
        <v>293.33333333334571</v>
      </c>
      <c r="S194" s="59">
        <f ca="1">AVERAGE(OFFSET($R$3,0,0,'Données projet'!$E$9+1,1))-AVERAGE(OFFSET($H$3,0,0,'Données projet'!$E$9+1,1))</f>
        <v>204.77882499755987</v>
      </c>
      <c r="T194" s="59">
        <f t="shared" si="142"/>
        <v>152.46480920430594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44.427565353349614</v>
      </c>
      <c r="AA194" s="21">
        <f>EXP(-LN(2)/25)*AA193+(1-EXP(-LN(2)/25))/(LN(2)/25)*Calculateur!V194*Calculateur!X194*VLOOKUP('Données projet'!$B$9,Paramètres!$A$1:$I$89,3,0)*0.475*44/12</f>
        <v>6.5960016082797805</v>
      </c>
      <c r="AB194" s="21">
        <f>EXP(-LN(2)/2)*AB193+(1-EXP(-LN(2)/2))/(LN(2)/2)*V194*Y194*VLOOKUP('Données projet'!$B$9,Paramètres!$A$1:$I$89,3,0)*0.475*44/12</f>
        <v>1.7335790043166169E-8</v>
      </c>
      <c r="AC194" s="22">
        <f t="shared" si="163"/>
        <v>51.023566978965185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-2.0395418687257919E-13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237.03649693529445</v>
      </c>
      <c r="AO194" s="59">
        <f t="shared" si="144"/>
        <v>191.04289411674887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15.788824423877266</v>
      </c>
      <c r="AV194" s="21">
        <f>EXP(-LN(2)/25)*AV193+(1-EXP(-LN(2)/25))/(LN(2)/25)*Calculateur!AQ194*Calculateur!AS194*VLOOKUP('Données projet'!$B$10,Paramètres!$A$1:$I$89,3,0)*0.475*44/12</f>
        <v>1.5762864766227098</v>
      </c>
      <c r="AW194" s="21">
        <f>EXP(-LN(2)/2)*AW193+(1-EXP(-LN(2)/2))/(LN(2)/2)*AQ194*AT194*VLOOKUP('Données projet'!$B$10,Paramètres!$A$1:$I$89,3,0)*0.475*44/12</f>
        <v>7.0970972046092689E-16</v>
      </c>
      <c r="AX194" s="21">
        <f t="shared" si="166"/>
        <v>17.365110900499975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1.1368683772161603E-12</v>
      </c>
      <c r="O195" s="13">
        <f>N195*VLOOKUP('Données projet'!$B$9,Paramètres!$A$1:$I$89,3,0)*VLOOKUP('Données projet'!$B$9,Paramètres!$A$1:$I$89,5,0)</f>
        <v>5.3205440053716299E-13</v>
      </c>
      <c r="P195" s="13">
        <f t="shared" si="141"/>
        <v>6.579711042921201E-12</v>
      </c>
      <c r="Q195" s="20">
        <f t="shared" si="162"/>
        <v>1.2386324814023317E-11</v>
      </c>
      <c r="R195" s="59">
        <f t="shared" ref="R195:R203" si="191">Q195+(I195+J195)*44/12</f>
        <v>293.33333333334571</v>
      </c>
      <c r="S195" s="59">
        <f ca="1">AVERAGE(OFFSET($R$3,0,0,'Données projet'!$E$9+1,1))-AVERAGE(OFFSET($H$3,0,0,'Données projet'!$E$9+1,1))</f>
        <v>204.77882499755987</v>
      </c>
      <c r="T195" s="59">
        <f t="shared" si="142"/>
        <v>152.46480920430594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43.556367894909577</v>
      </c>
      <c r="AA195" s="21">
        <f>EXP(-LN(2)/25)*AA194+(1-EXP(-LN(2)/25))/(LN(2)/25)*Calculateur!V195*Calculateur!X195*VLOOKUP('Données projet'!$B$9,Paramètres!$A$1:$I$89,3,0)*0.475*44/12</f>
        <v>6.4156335974327208</v>
      </c>
      <c r="AB195" s="21">
        <f>EXP(-LN(2)/2)*AB194+(1-EXP(-LN(2)/2))/(LN(2)/2)*V195*Y195*VLOOKUP('Données projet'!$B$9,Paramètres!$A$1:$I$89,3,0)*0.475*44/12</f>
        <v>1.2258254696749029E-8</v>
      </c>
      <c r="AC195" s="22">
        <f t="shared" si="163"/>
        <v>49.972001504600556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-2.0395418687257919E-13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237.03649693529445</v>
      </c>
      <c r="AO195" s="59">
        <f t="shared" si="144"/>
        <v>191.04289411674887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15.479215207157024</v>
      </c>
      <c r="AV195" s="21">
        <f>EXP(-LN(2)/25)*AV194+(1-EXP(-LN(2)/25))/(LN(2)/25)*Calculateur!AQ195*Calculateur!AS195*VLOOKUP('Données projet'!$B$10,Paramètres!$A$1:$I$89,3,0)*0.475*44/12</f>
        <v>1.5331828400261587</v>
      </c>
      <c r="AW195" s="21">
        <f>EXP(-LN(2)/2)*AW194+(1-EXP(-LN(2)/2))/(LN(2)/2)*AQ195*AT195*VLOOKUP('Données projet'!$B$10,Paramètres!$A$1:$I$89,3,0)*0.475*44/12</f>
        <v>5.0184055601193044E-16</v>
      </c>
      <c r="AX195" s="21">
        <f t="shared" si="166"/>
        <v>17.012398047183183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1.1368683772161603E-12</v>
      </c>
      <c r="O196" s="13">
        <f>N196*VLOOKUP('Données projet'!$B$9,Paramètres!$A$1:$I$89,3,0)*VLOOKUP('Données projet'!$B$9,Paramètres!$A$1:$I$89,5,0)</f>
        <v>5.3205440053716299E-13</v>
      </c>
      <c r="P196" s="13">
        <f t="shared" si="141"/>
        <v>6.579711042921201E-12</v>
      </c>
      <c r="Q196" s="20">
        <f t="shared" si="162"/>
        <v>1.2386324814023317E-11</v>
      </c>
      <c r="R196" s="59">
        <f t="shared" si="191"/>
        <v>293.33333333334571</v>
      </c>
      <c r="S196" s="59">
        <f ca="1">AVERAGE(OFFSET($R$3,0,0,'Données projet'!$E$9+1,1))-AVERAGE(OFFSET($H$3,0,0,'Données projet'!$E$9+1,1))</f>
        <v>204.77882499755987</v>
      </c>
      <c r="T196" s="59">
        <f t="shared" si="142"/>
        <v>152.46480920430594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42.702254087251568</v>
      </c>
      <c r="AA196" s="21">
        <f>EXP(-LN(2)/25)*AA195+(1-EXP(-LN(2)/25))/(LN(2)/25)*Calculateur!V196*Calculateur!X196*VLOOKUP('Données projet'!$B$9,Paramètres!$A$1:$I$89,3,0)*0.475*44/12</f>
        <v>6.2401977593274154</v>
      </c>
      <c r="AB196" s="21">
        <f>EXP(-LN(2)/2)*AB195+(1-EXP(-LN(2)/2))/(LN(2)/2)*V196*Y196*VLOOKUP('Données projet'!$B$9,Paramètres!$A$1:$I$89,3,0)*0.475*44/12</f>
        <v>8.6678950215830843E-9</v>
      </c>
      <c r="AC196" s="22">
        <f t="shared" si="163"/>
        <v>48.94245185524688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-2.0395418687257919E-13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237.03649693529445</v>
      </c>
      <c r="AO196" s="59">
        <f t="shared" si="144"/>
        <v>191.04289411674887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15.175677238333691</v>
      </c>
      <c r="AV196" s="21">
        <f>EXP(-LN(2)/25)*AV195+(1-EXP(-LN(2)/25))/(LN(2)/25)*Calculateur!AQ196*Calculateur!AS196*VLOOKUP('Données projet'!$B$10,Paramètres!$A$1:$I$89,3,0)*0.475*44/12</f>
        <v>1.4912578746390619</v>
      </c>
      <c r="AW196" s="21">
        <f>EXP(-LN(2)/2)*AW195+(1-EXP(-LN(2)/2))/(LN(2)/2)*AQ196*AT196*VLOOKUP('Données projet'!$B$10,Paramètres!$A$1:$I$89,3,0)*0.475*44/12</f>
        <v>3.5485486023046345E-16</v>
      </c>
      <c r="AX196" s="21">
        <f t="shared" si="166"/>
        <v>16.666935112972752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1.1368683772161603E-12</v>
      </c>
      <c r="O197" s="13">
        <f>N197*VLOOKUP('Données projet'!$B$9,Paramètres!$A$1:$I$89,3,0)*VLOOKUP('Données projet'!$B$9,Paramètres!$A$1:$I$89,5,0)</f>
        <v>5.3205440053716299E-13</v>
      </c>
      <c r="P197" s="13">
        <f t="shared" ref="P197:P203" si="203">EXP(-1.0587+0.8836*LN(O197)+0.284)</f>
        <v>6.579711042921201E-12</v>
      </c>
      <c r="Q197" s="20">
        <f t="shared" si="162"/>
        <v>1.2386324814023317E-11</v>
      </c>
      <c r="R197" s="59">
        <f t="shared" si="191"/>
        <v>293.33333333334571</v>
      </c>
      <c r="S197" s="59">
        <f ca="1">AVERAGE(OFFSET($R$3,0,0,'Données projet'!$E$9+1,1))-AVERAGE(OFFSET($H$3,0,0,'Données projet'!$E$9+1,1))</f>
        <v>204.77882499755987</v>
      </c>
      <c r="T197" s="59">
        <f t="shared" ref="T197:T203" si="204">$T$3</f>
        <v>152.46480920430594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41.864888930403751</v>
      </c>
      <c r="AA197" s="21">
        <f>EXP(-LN(2)/25)*AA196+(1-EXP(-LN(2)/25))/(LN(2)/25)*Calculateur!V197*Calculateur!X197*VLOOKUP('Données projet'!$B$9,Paramètres!$A$1:$I$89,3,0)*0.475*44/12</f>
        <v>6.0695592234408693</v>
      </c>
      <c r="AB197" s="21">
        <f>EXP(-LN(2)/2)*AB196+(1-EXP(-LN(2)/2))/(LN(2)/2)*V197*Y197*VLOOKUP('Données projet'!$B$9,Paramètres!$A$1:$I$89,3,0)*0.475*44/12</f>
        <v>6.1291273483745147E-9</v>
      </c>
      <c r="AC197" s="22">
        <f t="shared" si="163"/>
        <v>47.934448159973748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-2.0395418687257919E-13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237.03649693529445</v>
      </c>
      <c r="AO197" s="59">
        <f t="shared" ref="AO197:AO203" si="205">$AO$3</f>
        <v>191.04289411674887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14.878091463939104</v>
      </c>
      <c r="AV197" s="21">
        <f>EXP(-LN(2)/25)*AV196+(1-EXP(-LN(2)/25))/(LN(2)/25)*Calculateur!AQ197*Calculateur!AS197*VLOOKUP('Données projet'!$B$10,Paramètres!$A$1:$I$89,3,0)*0.475*44/12</f>
        <v>1.4504793496352135</v>
      </c>
      <c r="AW197" s="21">
        <f>EXP(-LN(2)/2)*AW196+(1-EXP(-LN(2)/2))/(LN(2)/2)*AQ197*AT197*VLOOKUP('Données projet'!$B$10,Paramètres!$A$1:$I$89,3,0)*0.475*44/12</f>
        <v>2.5092027800596522E-16</v>
      </c>
      <c r="AX197" s="21">
        <f t="shared" si="166"/>
        <v>16.328570813574316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1.1368683772161603E-12</v>
      </c>
      <c r="O198" s="13">
        <f>N198*VLOOKUP('Données projet'!$B$9,Paramètres!$A$1:$I$89,3,0)*VLOOKUP('Données projet'!$B$9,Paramètres!$A$1:$I$89,5,0)</f>
        <v>5.3205440053716299E-13</v>
      </c>
      <c r="P198" s="13">
        <f t="shared" si="203"/>
        <v>6.579711042921201E-12</v>
      </c>
      <c r="Q198" s="20">
        <f t="shared" si="162"/>
        <v>1.2386324814023317E-11</v>
      </c>
      <c r="R198" s="59">
        <f t="shared" si="191"/>
        <v>293.33333333334571</v>
      </c>
      <c r="S198" s="59">
        <f ca="1">AVERAGE(OFFSET($R$3,0,0,'Données projet'!$E$9+1,1))-AVERAGE(OFFSET($H$3,0,0,'Données projet'!$E$9+1,1))</f>
        <v>204.77882499755987</v>
      </c>
      <c r="T198" s="59">
        <f t="shared" si="204"/>
        <v>152.46480920430594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41.043943993539401</v>
      </c>
      <c r="AA198" s="21">
        <f>EXP(-LN(2)/25)*AA197+(1-EXP(-LN(2)/25))/(LN(2)/25)*Calculateur!V198*Calculateur!X198*VLOOKUP('Données projet'!$B$9,Paramètres!$A$1:$I$89,3,0)*0.475*44/12</f>
        <v>5.9035868072916315</v>
      </c>
      <c r="AB198" s="21">
        <f>EXP(-LN(2)/2)*AB197+(1-EXP(-LN(2)/2))/(LN(2)/2)*V198*Y198*VLOOKUP('Données projet'!$B$9,Paramètres!$A$1:$I$89,3,0)*0.475*44/12</f>
        <v>4.3339475107915421E-9</v>
      </c>
      <c r="AC198" s="22">
        <f t="shared" si="163"/>
        <v>46.94753080516498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-2.0395418687257919E-13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237.03649693529445</v>
      </c>
      <c r="AO198" s="59">
        <f t="shared" si="205"/>
        <v>191.04289411674887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14.586341165070994</v>
      </c>
      <c r="AV198" s="21">
        <f>EXP(-LN(2)/25)*AV197+(1-EXP(-LN(2)/25))/(LN(2)/25)*Calculateur!AQ198*Calculateur!AS198*VLOOKUP('Données projet'!$B$10,Paramètres!$A$1:$I$89,3,0)*0.475*44/12</f>
        <v>1.4108159155420448</v>
      </c>
      <c r="AW198" s="21">
        <f>EXP(-LN(2)/2)*AW197+(1-EXP(-LN(2)/2))/(LN(2)/2)*AQ198*AT198*VLOOKUP('Données projet'!$B$10,Paramètres!$A$1:$I$89,3,0)*0.475*44/12</f>
        <v>1.7742743011523172E-16</v>
      </c>
      <c r="AX198" s="21">
        <f t="shared" si="166"/>
        <v>15.997157080613039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1.1368683772161603E-12</v>
      </c>
      <c r="O199" s="13">
        <f>N199*VLOOKUP('Données projet'!$B$9,Paramètres!$A$1:$I$89,3,0)*VLOOKUP('Données projet'!$B$9,Paramètres!$A$1:$I$89,5,0)</f>
        <v>5.3205440053716299E-13</v>
      </c>
      <c r="P199" s="13">
        <f t="shared" si="203"/>
        <v>6.579711042921201E-12</v>
      </c>
      <c r="Q199" s="20">
        <f t="shared" si="162"/>
        <v>1.2386324814023317E-11</v>
      </c>
      <c r="R199" s="59">
        <f t="shared" si="191"/>
        <v>293.33333333334571</v>
      </c>
      <c r="S199" s="59">
        <f ca="1">AVERAGE(OFFSET($R$3,0,0,'Données projet'!$E$9+1,1))-AVERAGE(OFFSET($H$3,0,0,'Données projet'!$E$9+1,1))</f>
        <v>204.77882499755987</v>
      </c>
      <c r="T199" s="59">
        <f t="shared" si="204"/>
        <v>152.46480920430594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40.239097286159996</v>
      </c>
      <c r="AA199" s="21">
        <f>EXP(-LN(2)/25)*AA198+(1-EXP(-LN(2)/25))/(LN(2)/25)*Calculateur!V199*Calculateur!X199*VLOOKUP('Données projet'!$B$9,Paramètres!$A$1:$I$89,3,0)*0.475*44/12</f>
        <v>5.7421529155901041</v>
      </c>
      <c r="AB199" s="21">
        <f>EXP(-LN(2)/2)*AB198+(1-EXP(-LN(2)/2))/(LN(2)/2)*V199*Y199*VLOOKUP('Données projet'!$B$9,Paramètres!$A$1:$I$89,3,0)*0.475*44/12</f>
        <v>3.0645636741872574E-9</v>
      </c>
      <c r="AC199" s="22">
        <f t="shared" si="163"/>
        <v>45.981250204814664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-2.0395418687257919E-13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237.03649693529445</v>
      </c>
      <c r="AO199" s="59">
        <f t="shared" si="205"/>
        <v>191.04289411674887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14.300311911613578</v>
      </c>
      <c r="AV199" s="21">
        <f>EXP(-LN(2)/25)*AV198+(1-EXP(-LN(2)/25))/(LN(2)/25)*Calculateur!AQ199*Calculateur!AS199*VLOOKUP('Données projet'!$B$10,Paramètres!$A$1:$I$89,3,0)*0.475*44/12</f>
        <v>1.372237080139963</v>
      </c>
      <c r="AW199" s="21">
        <f>EXP(-LN(2)/2)*AW198+(1-EXP(-LN(2)/2))/(LN(2)/2)*AQ199*AT199*VLOOKUP('Données projet'!$B$10,Paramètres!$A$1:$I$89,3,0)*0.475*44/12</f>
        <v>1.2546013900298261E-16</v>
      </c>
      <c r="AX199" s="21">
        <f t="shared" si="166"/>
        <v>15.672548991753541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1.1368683772161603E-12</v>
      </c>
      <c r="O200" s="13">
        <f>N200*VLOOKUP('Données projet'!$B$9,Paramètres!$A$1:$I$89,3,0)*VLOOKUP('Données projet'!$B$9,Paramètres!$A$1:$I$89,5,0)</f>
        <v>5.3205440053716299E-13</v>
      </c>
      <c r="P200" s="13">
        <f t="shared" si="203"/>
        <v>6.579711042921201E-12</v>
      </c>
      <c r="Q200" s="20">
        <f t="shared" si="162"/>
        <v>1.2386324814023317E-11</v>
      </c>
      <c r="R200" s="59">
        <f t="shared" si="191"/>
        <v>293.33333333334571</v>
      </c>
      <c r="S200" s="59">
        <f ca="1">AVERAGE(OFFSET($R$3,0,0,'Données projet'!$E$9+1,1))-AVERAGE(OFFSET($H$3,0,0,'Données projet'!$E$9+1,1))</f>
        <v>204.77882499755987</v>
      </c>
      <c r="T200" s="59">
        <f t="shared" si="204"/>
        <v>152.46480920430594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39.450033131804283</v>
      </c>
      <c r="AA200" s="21">
        <f>EXP(-LN(2)/25)*AA199+(1-EXP(-LN(2)/25))/(LN(2)/25)*Calculateur!V200*Calculateur!X200*VLOOKUP('Données projet'!$B$9,Paramètres!$A$1:$I$89,3,0)*0.475*44/12</f>
        <v>5.5851334421465948</v>
      </c>
      <c r="AB200" s="21">
        <f>EXP(-LN(2)/2)*AB199+(1-EXP(-LN(2)/2))/(LN(2)/2)*V200*Y200*VLOOKUP('Données projet'!$B$9,Paramètres!$A$1:$I$89,3,0)*0.475*44/12</f>
        <v>2.1669737553957711E-9</v>
      </c>
      <c r="AC200" s="22">
        <f t="shared" si="163"/>
        <v>45.035166576117845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-2.0395418687257919E-13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237.03649693529445</v>
      </c>
      <c r="AO200" s="59">
        <f t="shared" si="205"/>
        <v>191.04289411674887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14.019891517355843</v>
      </c>
      <c r="AV200" s="21">
        <f>EXP(-LN(2)/25)*AV199+(1-EXP(-LN(2)/25))/(LN(2)/25)*Calculateur!AQ200*Calculateur!AS200*VLOOKUP('Données projet'!$B$10,Paramètres!$A$1:$I$89,3,0)*0.475*44/12</f>
        <v>1.3347131850207239</v>
      </c>
      <c r="AW200" s="21">
        <f>EXP(-LN(2)/2)*AW199+(1-EXP(-LN(2)/2))/(LN(2)/2)*AQ200*AT200*VLOOKUP('Données projet'!$B$10,Paramètres!$A$1:$I$89,3,0)*0.475*44/12</f>
        <v>8.8713715057615861E-17</v>
      </c>
      <c r="AX200" s="21">
        <f t="shared" si="166"/>
        <v>15.354604702376566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1.1368683772161603E-12</v>
      </c>
      <c r="O201" s="13">
        <f>N201*VLOOKUP('Données projet'!$B$9,Paramètres!$A$1:$I$89,3,0)*VLOOKUP('Données projet'!$B$9,Paramètres!$A$1:$I$89,5,0)</f>
        <v>5.3205440053716299E-13</v>
      </c>
      <c r="P201" s="13">
        <f t="shared" si="203"/>
        <v>6.579711042921201E-12</v>
      </c>
      <c r="Q201" s="20">
        <f t="shared" si="162"/>
        <v>1.2386324814023317E-11</v>
      </c>
      <c r="R201" s="59">
        <f t="shared" si="191"/>
        <v>293.33333333334571</v>
      </c>
      <c r="S201" s="59">
        <f ca="1">AVERAGE(OFFSET($R$3,0,0,'Données projet'!$E$9+1,1))-AVERAGE(OFFSET($H$3,0,0,'Données projet'!$E$9+1,1))</f>
        <v>204.77882499755987</v>
      </c>
      <c r="T201" s="59">
        <f t="shared" si="204"/>
        <v>152.46480920430594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38.676442044233873</v>
      </c>
      <c r="AA201" s="21">
        <f>EXP(-LN(2)/25)*AA200+(1-EXP(-LN(2)/25))/(LN(2)/25)*Calculateur!V201*Calculateur!X201*VLOOKUP('Données projet'!$B$9,Paramètres!$A$1:$I$89,3,0)*0.475*44/12</f>
        <v>5.4324076744616931</v>
      </c>
      <c r="AB201" s="21">
        <f>EXP(-LN(2)/2)*AB200+(1-EXP(-LN(2)/2))/(LN(2)/2)*V201*Y201*VLOOKUP('Données projet'!$B$9,Paramètres!$A$1:$I$89,3,0)*0.475*44/12</f>
        <v>1.5322818370936287E-9</v>
      </c>
      <c r="AC201" s="22">
        <f t="shared" si="163"/>
        <v>44.108849720227845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-2.0395418687257919E-13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237.03649693529445</v>
      </c>
      <c r="AO201" s="59">
        <f t="shared" si="205"/>
        <v>191.04289411674887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13.744969995989951</v>
      </c>
      <c r="AV201" s="21">
        <f>EXP(-LN(2)/25)*AV200+(1-EXP(-LN(2)/25))/(LN(2)/25)*Calculateur!AQ201*Calculateur!AS201*VLOOKUP('Données projet'!$B$10,Paramètres!$A$1:$I$89,3,0)*0.475*44/12</f>
        <v>1.2982153827868164</v>
      </c>
      <c r="AW201" s="21">
        <f>EXP(-LN(2)/2)*AW200+(1-EXP(-LN(2)/2))/(LN(2)/2)*AQ201*AT201*VLOOKUP('Données projet'!$B$10,Paramètres!$A$1:$I$89,3,0)*0.475*44/12</f>
        <v>6.2730069501491305E-17</v>
      </c>
      <c r="AX201" s="21">
        <f t="shared" si="166"/>
        <v>15.043185378776768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1.1368683772161603E-12</v>
      </c>
      <c r="O202" s="13">
        <f>N202*VLOOKUP('Données projet'!$B$9,Paramètres!$A$1:$I$89,3,0)*VLOOKUP('Données projet'!$B$9,Paramètres!$A$1:$I$89,5,0)</f>
        <v>5.3205440053716299E-13</v>
      </c>
      <c r="P202" s="13">
        <f t="shared" si="203"/>
        <v>6.579711042921201E-12</v>
      </c>
      <c r="Q202" s="20">
        <f t="shared" si="162"/>
        <v>1.2386324814023317E-11</v>
      </c>
      <c r="R202" s="59">
        <f t="shared" si="191"/>
        <v>293.33333333334571</v>
      </c>
      <c r="S202" s="59">
        <f ca="1">AVERAGE(OFFSET($R$3,0,0,'Données projet'!$E$9+1,1))-AVERAGE(OFFSET($H$3,0,0,'Données projet'!$E$9+1,1))</f>
        <v>204.77882499755987</v>
      </c>
      <c r="T202" s="59">
        <f t="shared" si="204"/>
        <v>152.46480920430594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37.918020606046746</v>
      </c>
      <c r="AA202" s="21">
        <f>EXP(-LN(2)/25)*AA201+(1-EXP(-LN(2)/25))/(LN(2)/25)*Calculateur!V202*Calculateur!X202*VLOOKUP('Données projet'!$B$9,Paramètres!$A$1:$I$89,3,0)*0.475*44/12</f>
        <v>5.2838582009256347</v>
      </c>
      <c r="AB202" s="21">
        <f>EXP(-LN(2)/2)*AB201+(1-EXP(-LN(2)/2))/(LN(2)/2)*V202*Y202*VLOOKUP('Données projet'!$B$9,Paramètres!$A$1:$I$89,3,0)*0.475*44/12</f>
        <v>1.0834868776978855E-9</v>
      </c>
      <c r="AC202" s="22">
        <f t="shared" si="163"/>
        <v>43.201878808055866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-2.0395418687257919E-13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237.03649693529445</v>
      </c>
      <c r="AO202" s="59">
        <f t="shared" si="205"/>
        <v>191.04289411674887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13.475439517972474</v>
      </c>
      <c r="AV202" s="21">
        <f>EXP(-LN(2)/25)*AV201+(1-EXP(-LN(2)/25))/(LN(2)/25)*Calculateur!AQ202*Calculateur!AS202*VLOOKUP('Données projet'!$B$10,Paramètres!$A$1:$I$89,3,0)*0.475*44/12</f>
        <v>1.262715614874331</v>
      </c>
      <c r="AW202" s="21">
        <f>EXP(-LN(2)/2)*AW201+(1-EXP(-LN(2)/2))/(LN(2)/2)*AQ202*AT202*VLOOKUP('Données projet'!$B$10,Paramètres!$A$1:$I$89,3,0)*0.475*44/12</f>
        <v>4.4356857528807931E-17</v>
      </c>
      <c r="AX202" s="21">
        <f t="shared" si="166"/>
        <v>14.738155132846805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1.1368683772161603E-12</v>
      </c>
      <c r="O203" s="13">
        <f>N203*VLOOKUP('Données projet'!$B$9,Paramètres!$A$1:$I$89,3,0)*VLOOKUP('Données projet'!$B$9,Paramètres!$A$1:$I$89,5,0)</f>
        <v>5.3205440053716299E-13</v>
      </c>
      <c r="P203" s="13">
        <f t="shared" si="203"/>
        <v>6.579711042921201E-12</v>
      </c>
      <c r="Q203" s="20">
        <f t="shared" si="162"/>
        <v>1.2386324814023317E-11</v>
      </c>
      <c r="R203" s="59">
        <f t="shared" si="191"/>
        <v>293.33333333334571</v>
      </c>
      <c r="S203" s="59">
        <f ca="1">AVERAGE(OFFSET($R$3,0,0,'Données projet'!$E$9+1,1))-AVERAGE(OFFSET($H$3,0,0,'Données projet'!$E$9+1,1))</f>
        <v>204.77882499755987</v>
      </c>
      <c r="T203" s="59">
        <f t="shared" si="204"/>
        <v>152.46480920430594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37.174471349671066</v>
      </c>
      <c r="AA203" s="21">
        <f>EXP(-LN(2)/25)*AA202+(1-EXP(-LN(2)/25))/(LN(2)/25)*Calculateur!V203*Calculateur!X203*VLOOKUP('Données projet'!$B$9,Paramètres!$A$1:$I$89,3,0)*0.475*44/12</f>
        <v>5.139370820555297</v>
      </c>
      <c r="AB203" s="21">
        <f>EXP(-LN(2)/2)*AB202+(1-EXP(-LN(2)/2))/(LN(2)/2)*V203*Y203*VLOOKUP('Données projet'!$B$9,Paramètres!$A$1:$I$89,3,0)*0.475*44/12</f>
        <v>7.6614091854681434E-10</v>
      </c>
      <c r="AC203" s="22">
        <f t="shared" si="163"/>
        <v>42.313842170992508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-2.0395418687257919E-13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237.03649693529445</v>
      </c>
      <c r="AO203" s="59">
        <f t="shared" si="205"/>
        <v>191.04289411674887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13.21119436823156</v>
      </c>
      <c r="AV203" s="21">
        <f>EXP(-LN(2)/25)*AV202+(1-EXP(-LN(2)/25))/(LN(2)/25)*Calculateur!AQ203*Calculateur!AS203*VLOOKUP('Données projet'!$B$10,Paramètres!$A$1:$I$89,3,0)*0.475*44/12</f>
        <v>1.2281865899822642</v>
      </c>
      <c r="AW203" s="21">
        <f>EXP(-LN(2)/2)*AW202+(1-EXP(-LN(2)/2))/(LN(2)/2)*AQ203*AT203*VLOOKUP('Données projet'!$B$10,Paramètres!$A$1:$I$89,3,0)*0.475*44/12</f>
        <v>3.1365034750745653E-17</v>
      </c>
      <c r="AX203" s="21">
        <f t="shared" si="166"/>
        <v>14.439380958213825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1.1810516433311786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1.2476305424001204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 x14ac:dyDescent="0.35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1" t="s">
        <v>112</v>
      </c>
      <c r="P2" s="121">
        <v>0</v>
      </c>
    </row>
    <row r="3" spans="1:16" ht="15" thickBot="1" x14ac:dyDescent="0.4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1" t="s">
        <v>119</v>
      </c>
      <c r="P5" s="121">
        <v>0</v>
      </c>
    </row>
    <row r="6" spans="1:16" x14ac:dyDescent="0.35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</v>
      </c>
      <c r="B8" s="123" t="s">
        <v>124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125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126</v>
      </c>
      <c r="B9" s="123" t="s">
        <v>127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128</v>
      </c>
      <c r="B10" s="123" t="s">
        <v>129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1" t="s">
        <v>130</v>
      </c>
      <c r="P10" s="121">
        <v>0</v>
      </c>
    </row>
    <row r="11" spans="1:16" ht="15" thickBot="1" x14ac:dyDescent="0.4">
      <c r="A11" s="122" t="s">
        <v>131</v>
      </c>
      <c r="B11" s="123" t="s">
        <v>132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133</v>
      </c>
      <c r="B12" s="123" t="s">
        <v>134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135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136</v>
      </c>
      <c r="B13" s="123" t="s">
        <v>137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135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138</v>
      </c>
      <c r="B14" s="123" t="s">
        <v>139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135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140</v>
      </c>
      <c r="B15" s="123" t="s">
        <v>141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135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142</v>
      </c>
      <c r="B16" s="123" t="s">
        <v>143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135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144</v>
      </c>
      <c r="B17" s="123" t="s">
        <v>145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135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146</v>
      </c>
      <c r="B18" s="123" t="s">
        <v>147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135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148</v>
      </c>
      <c r="B19" s="123" t="s">
        <v>149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135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150</v>
      </c>
      <c r="B20" s="123" t="s">
        <v>151</v>
      </c>
      <c r="C20" s="124">
        <v>0.69</v>
      </c>
      <c r="D20" s="124" t="s">
        <v>152</v>
      </c>
      <c r="E20" s="124">
        <v>1.56</v>
      </c>
      <c r="F20" s="125" t="s">
        <v>110</v>
      </c>
      <c r="G20" s="126">
        <v>0.43</v>
      </c>
      <c r="H20" s="124" t="s">
        <v>153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125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156</v>
      </c>
      <c r="B22" s="123" t="s">
        <v>157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125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158</v>
      </c>
      <c r="B23" s="123" t="s">
        <v>159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125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160</v>
      </c>
      <c r="B24" s="123" t="s">
        <v>161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135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162</v>
      </c>
      <c r="B25" s="123" t="s">
        <v>163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135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164</v>
      </c>
      <c r="B26" s="123" t="s">
        <v>165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167</v>
      </c>
      <c r="B27" s="123" t="s">
        <v>168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169</v>
      </c>
      <c r="B28" s="123" t="s">
        <v>170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172</v>
      </c>
      <c r="B30" s="123" t="s">
        <v>173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135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174</v>
      </c>
      <c r="B31" s="123" t="s">
        <v>175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176</v>
      </c>
      <c r="B32" s="123" t="s">
        <v>177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110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185</v>
      </c>
      <c r="B35" s="123" t="s">
        <v>186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187</v>
      </c>
      <c r="B36" s="123" t="s">
        <v>188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189</v>
      </c>
      <c r="B37" s="123" t="s">
        <v>190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191</v>
      </c>
      <c r="B38" s="123" t="s">
        <v>192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110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110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110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110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110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110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110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110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110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110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110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110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110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110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110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110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110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110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110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110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110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110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110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19</v>
      </c>
      <c r="B66" s="123" t="s">
        <v>228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135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109</v>
      </c>
      <c r="E70" s="124">
        <v>2.4</v>
      </c>
      <c r="F70" s="124" t="s">
        <v>237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110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110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135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135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125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125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110</v>
      </c>
      <c r="G82" s="126">
        <v>0.55000000000000004</v>
      </c>
      <c r="H82" s="124" t="s">
        <v>125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125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125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69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 x14ac:dyDescent="0.35">
      <c r="A93" s="122" t="s">
        <v>70</v>
      </c>
    </row>
    <row r="94" spans="1:14" x14ac:dyDescent="0.35">
      <c r="A94" s="122" t="s">
        <v>71</v>
      </c>
    </row>
    <row r="95" spans="1:14" x14ac:dyDescent="0.35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G16" sqref="G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Cèdre de l'Atlas</v>
      </c>
      <c r="B6" s="146">
        <f>'Données projet'!D9</f>
        <v>1.1399999999999999</v>
      </c>
      <c r="C6" s="147">
        <f ca="1">IF(OR('Données projet'!B9="",'Données projet'!C9="",'Données projet'!C9=0%),0,Calculateur!S3)</f>
        <v>204.77882499755987</v>
      </c>
      <c r="D6" s="147">
        <f>IF(OR('Données projet'!B9="",'Données projet'!C9="",'Données projet'!C9=0%),0,Calculateur!T3)</f>
        <v>152.46480920430594</v>
      </c>
      <c r="E6" s="147">
        <f ca="1">MIN(C6,D6)</f>
        <v>152.46480920430594</v>
      </c>
      <c r="F6" s="147">
        <f ca="1">E6*B6</f>
        <v>173.80988249290874</v>
      </c>
      <c r="G6" s="147">
        <f ca="1">F6*(100%-'Données projet'!$C$24)*(100%-'Données projet'!$C$25)*(100%-'Données projet'!$C$26)*(100%-'Données projet'!$C$27)</f>
        <v>132.96456010707519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132.96456010707519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laricio</v>
      </c>
      <c r="B7" s="154">
        <f>'Données projet'!D10</f>
        <v>1.1399999999999999</v>
      </c>
      <c r="C7" s="147">
        <f ca="1">IF(OR('Données projet'!B10="",'Données projet'!C10="",'Données projet'!C10=0%),0,Calculateur!AN3)</f>
        <v>237.03649693529445</v>
      </c>
      <c r="D7" s="147">
        <f>IF(OR('Données projet'!B10="",'Données projet'!C10="",'Données projet'!C10=0%),0,Calculateur!AO3)</f>
        <v>191.04289411674887</v>
      </c>
      <c r="E7" s="147">
        <f t="shared" ref="E7:E15" ca="1" si="0">MIN(C7,D7)</f>
        <v>191.04289411674887</v>
      </c>
      <c r="F7" s="147">
        <f t="shared" ref="F7:F15" ca="1" si="1">E7*B7</f>
        <v>217.78889929309369</v>
      </c>
      <c r="G7" s="147">
        <f ca="1">F7*(100%-'Données projet'!$C$24)*(100%-'Données projet'!$C$25)*(100%-'Données projet'!$C$26)*(100%-'Données projet'!$C$27)</f>
        <v>166.60850795921667</v>
      </c>
      <c r="H7" s="155">
        <f>IF(OR('Données projet'!B10="",'Données projet'!C10="",'Données projet'!C10=0%),0,AVERAGE(Calculateur!$AX$3:$AX$33)*B7)</f>
        <v>6.825213287251894</v>
      </c>
      <c r="I7" s="149">
        <f>H7*(100%-'Données projet'!$C$24)*(100%-'Données projet'!$C$25)*(100%-'Données projet'!$C$26)*(100%-'Données projet'!$C$27)</f>
        <v>5.2212881647476985</v>
      </c>
      <c r="J7" s="150">
        <f>IF(OR('Données projet'!B10="",'Données projet'!C10="",'Données projet'!C10=0%),0,SUM(Calculateur!$AQ$3:$AQ$33)*VLOOKUP('Données projet'!$B$10,Paramètres!$A$1:$I$89,9,0)*B7)</f>
        <v>42.839709230769216</v>
      </c>
      <c r="K7" s="151">
        <f>J7*(100%-'Données projet'!$C$24)*(100%-'Données projet'!$C$25)*(100%-'Données projet'!$C$26)*(100%-'Données projet'!$C$27)</f>
        <v>32.772377561538448</v>
      </c>
      <c r="L7" s="152">
        <f t="shared" ref="L7:L15" ca="1" si="2">G7+I7+K7</f>
        <v>204.60217368550281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391.59878178600241</v>
      </c>
      <c r="G16" s="166">
        <f t="shared" ca="1" si="3"/>
        <v>299.57306806629185</v>
      </c>
      <c r="H16" s="167">
        <f t="shared" si="3"/>
        <v>6.825213287251894</v>
      </c>
      <c r="I16" s="167">
        <f t="shared" si="3"/>
        <v>5.2212881647476985</v>
      </c>
      <c r="J16" s="168">
        <f t="shared" si="3"/>
        <v>42.839709230769216</v>
      </c>
      <c r="K16" s="168">
        <f t="shared" si="3"/>
        <v>32.772377561538448</v>
      </c>
      <c r="L16" s="169">
        <f t="shared" ca="1" si="3"/>
        <v>337.56673379257802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9" zoomScale="80" zoomScaleNormal="80" workbookViewId="0">
      <selection activeCell="H21" sqref="H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586.59159290978232</v>
      </c>
      <c r="U10" s="178">
        <f>'Données projet'!D9</f>
        <v>1.1399999999999999</v>
      </c>
      <c r="V10" s="177">
        <f>U10*T10</f>
        <v>668.71441591715177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897.81606661085425</v>
      </c>
      <c r="U11" s="178">
        <f>'Données projet'!D10</f>
        <v>1.1399999999999999</v>
      </c>
      <c r="V11" s="177">
        <f t="shared" ref="V11" si="0">U11*T11</f>
        <v>1023.5103159363738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74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46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194</v>
      </c>
      <c r="C17" s="198" t="s">
        <v>194</v>
      </c>
      <c r="D17" s="197" t="s">
        <v>194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F18" s="230"/>
      <c r="G18" s="289"/>
      <c r="J18" s="202"/>
      <c r="K18" s="208"/>
      <c r="L18" s="259" t="s">
        <v>308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289"/>
      <c r="H19" s="212" t="s">
        <v>74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289"/>
      <c r="H20" s="190">
        <v>1</v>
      </c>
      <c r="I20" s="191">
        <v>6372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-12210.320722691929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51</v>
      </c>
      <c r="B24" s="181">
        <f>'Données projet'!D37</f>
        <v>170.16153846153847</v>
      </c>
      <c r="C24" s="193">
        <v>10</v>
      </c>
      <c r="D24" s="182">
        <f t="shared" ref="D24:D42" si="2">B24*C24</f>
        <v>1701.6153846153848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61</v>
      </c>
      <c r="B25" s="181">
        <f>'Données projet'!D38</f>
        <v>94.76153846153845</v>
      </c>
      <c r="C25" s="193">
        <v>18</v>
      </c>
      <c r="D25" s="182">
        <f t="shared" si="2"/>
        <v>1705.707692307692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1500</v>
      </c>
      <c r="Q25" s="234"/>
      <c r="R25" s="23"/>
      <c r="S25" s="186" t="s">
        <v>319</v>
      </c>
      <c r="T25" s="303">
        <f ca="1">T23-T24</f>
        <v>-12210.320722691929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73</v>
      </c>
      <c r="B26" s="181">
        <f>'Données projet'!D39</f>
        <v>93.584615384615375</v>
      </c>
      <c r="C26" s="193">
        <v>25</v>
      </c>
      <c r="D26" s="182">
        <f t="shared" si="2"/>
        <v>2339.6153846153843</v>
      </c>
      <c r="E26" s="193">
        <v>150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85</v>
      </c>
      <c r="B27" s="181">
        <f>'Données projet'!D40</f>
        <v>85.207692307692298</v>
      </c>
      <c r="C27" s="193">
        <v>35</v>
      </c>
      <c r="D27" s="182">
        <f t="shared" si="2"/>
        <v>2982.2692307692305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97</v>
      </c>
      <c r="B28" s="181">
        <f>'Données projet'!D41</f>
        <v>79.669230769230765</v>
      </c>
      <c r="C28" s="193">
        <v>40</v>
      </c>
      <c r="D28" s="182">
        <f t="shared" si="2"/>
        <v>3186.7692307692305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109</v>
      </c>
      <c r="B29" s="181">
        <f>'Données projet'!D42</f>
        <v>80.653846153846146</v>
      </c>
      <c r="C29" s="193">
        <v>45</v>
      </c>
      <c r="D29" s="182">
        <f t="shared" si="2"/>
        <v>3629.4230769230767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121</v>
      </c>
      <c r="B30" s="181">
        <f>'Données projet'!D43</f>
        <v>207.07692307692307</v>
      </c>
      <c r="C30" s="193">
        <v>45</v>
      </c>
      <c r="D30" s="182">
        <f t="shared" si="2"/>
        <v>9318.4615384615372</v>
      </c>
      <c r="E30" s="193">
        <v>150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33848.017391413297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131</v>
      </c>
      <c r="B31" s="181">
        <f>'Données projet'!D44</f>
        <v>259.61538461538458</v>
      </c>
      <c r="C31" s="193">
        <v>56</v>
      </c>
      <c r="D31" s="182">
        <f t="shared" si="2"/>
        <v>14538.461538461537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1435.4066985645934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1373.5949268560703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1314.444906082364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1257.8420153898223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1203.6765697510261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1151.8436074172503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1102.2426865236844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1054.7776904532868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1009.3566415820926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965.8915230450649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924.29810817709563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884.49579729865627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846.40746152981455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46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809.95929332996627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194</v>
      </c>
      <c r="C48" s="198" t="s">
        <v>194</v>
      </c>
      <c r="D48" s="197" t="s">
        <v>194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775.08066347365184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741.70398418531317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709.76457816776372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679.20055327058742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649.95268255558608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621.96428952687677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22</v>
      </c>
      <c r="B54" s="181">
        <f>'Données projet'!D62</f>
        <v>52.746153846153838</v>
      </c>
      <c r="C54" s="191">
        <v>10</v>
      </c>
      <c r="D54" s="179">
        <f>B54*C54</f>
        <v>527.46153846153834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595.18113830323136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27</v>
      </c>
      <c r="B55" s="181">
        <f>'Données projet'!D63</f>
        <v>34.646153846153844</v>
      </c>
      <c r="C55" s="191">
        <v>10</v>
      </c>
      <c r="D55" s="179">
        <f t="shared" ref="D55:D73" si="4">B55*C55</f>
        <v>346.46153846153845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569.55132851983876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33</v>
      </c>
      <c r="B56" s="181">
        <f>'Données projet'!D64</f>
        <v>43.007692307692302</v>
      </c>
      <c r="C56" s="191">
        <v>10</v>
      </c>
      <c r="D56" s="179">
        <f t="shared" si="4"/>
        <v>430.07692307692304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545.02519475582653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41</v>
      </c>
      <c r="B57" s="181">
        <f>'Données projet'!D65</f>
        <v>58.484615384615381</v>
      </c>
      <c r="C57" s="191">
        <v>15</v>
      </c>
      <c r="D57" s="179">
        <f t="shared" si="4"/>
        <v>877.26923076923072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521.55521029265708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50</v>
      </c>
      <c r="B58" s="181">
        <f>'Données projet'!D66</f>
        <v>55.292307692307688</v>
      </c>
      <c r="C58" s="191">
        <v>25</v>
      </c>
      <c r="D58" s="179">
        <f t="shared" si="4"/>
        <v>1382.3076923076922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499.0958950168968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60</v>
      </c>
      <c r="B59" s="181">
        <f>'Données projet'!D67</f>
        <v>54.261538461538464</v>
      </c>
      <c r="C59" s="191">
        <v>25</v>
      </c>
      <c r="D59" s="179">
        <f t="shared" si="4"/>
        <v>1356.5384615384617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477.60372728889661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70</v>
      </c>
      <c r="B60" s="181">
        <f>'Données projet'!D68</f>
        <v>52.669230769230765</v>
      </c>
      <c r="C60" s="191">
        <v>25</v>
      </c>
      <c r="D60" s="179">
        <f t="shared" si="4"/>
        <v>1316.7307692307691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457.0370596065996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80</v>
      </c>
      <c r="B61" s="181">
        <f>'Données projet'!D69</f>
        <v>402.90769230769229</v>
      </c>
      <c r="C61" s="191">
        <v>25</v>
      </c>
      <c r="D61" s="179">
        <f t="shared" si="4"/>
        <v>10072.692307692307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437.35603790105233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418.52252430722706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400.50002326050452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383.25361077560234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366.74986677091152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350.95681030709238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335.84383761444252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321.38166278894022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307.5422610420481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294.29881439430443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281.6256597074684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269.49823895451522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257.8930516311151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246.78760921637812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236.16039159462025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225.99080535370359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216.25914387914221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46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206.94654916664328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198.03497527908451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189.50715337711435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181.34655825561191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173.53737632115971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166.06447494847822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158.9133731564385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152.07021354683113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145.52173545151302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139.25524923589771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133.25861170899299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127.52020259233782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122.02890200223716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116.77406890166239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111.7455204800597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106.93351242110978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102.32872002020072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97.922220115024658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93.705473794281957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89.670309850987564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85.808908948313459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82.11378846728563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78.577788006971886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75.194055509064029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71.956033979965568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68.857448784656071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65.892295487709163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63.05482821790352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60.339548533878968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57.741194769262179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55.254731836614525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46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52.875341470444532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50.598412890377546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48.419533866390005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46.33448216879426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44.339217386406006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46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46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46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46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46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46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A9BC35-411B-4BD2-94D5-C106C97873DC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699B22F4-3D3B-4C0F-8806-5B4260A9E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2024-07-02T07:50:54Z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