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PUTANGES-LE-LAC (61) - IND MASSON Guillaume et GORET Caroline\Dossier déposé 22-05-2024\"/>
    </mc:Choice>
  </mc:AlternateContent>
  <xr:revisionPtr revIDLastSave="0" documentId="13_ncr:1_{B2D30562-2275-421E-BDFF-36F6BA5B625F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I25" i="6"/>
  <c r="I23" i="6"/>
  <c r="I22" i="6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EW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Y154" i="2"/>
  <c r="ED154" i="2"/>
  <c r="DI154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D155" i="2"/>
  <c r="EB156" i="2"/>
  <c r="DH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EY159" i="2"/>
  <c r="ED159" i="2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FS161" i="2"/>
  <c r="EX161" i="2"/>
  <c r="EB161" i="2"/>
  <c r="EA161" i="2"/>
  <c r="ED160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D161" i="2"/>
  <c r="DI161" i="2"/>
  <c r="EY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Y162" i="2"/>
  <c r="ED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DI163" i="2"/>
  <c r="EY163" i="2"/>
  <c r="ED163" i="2"/>
  <c r="EX164" i="2"/>
  <c r="EA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D165" i="2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FR167" i="2"/>
  <c r="EA167" i="2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I167" i="2"/>
  <c r="DG168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D174" i="2"/>
  <c r="EB175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ED177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V185" i="2"/>
  <c r="ED184" i="2"/>
  <c r="EA185" i="2"/>
  <c r="EW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D185" i="2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V189" i="2"/>
  <c r="AA189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AW192" i="2"/>
  <c r="EX192" i="2"/>
  <c r="EY192" i="2" s="1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D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FQ194" i="2"/>
  <c r="EA194" i="2"/>
  <c r="ED193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FQ195" i="2"/>
  <c r="ED194" i="2"/>
  <c r="EA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W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D200" i="2"/>
  <c r="DI200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I202" i="2" l="1"/>
  <c r="FS202" i="2"/>
  <c r="EY201" i="2"/>
  <c r="EX202" i="2"/>
  <c r="ED201" i="2"/>
  <c r="FZ6" i="2"/>
  <c r="EW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4" i="2" a="1"/>
  <c r="FY54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DN113" i="2" a="1"/>
  <c r="DN11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38" i="2" a="1"/>
  <c r="DN38" i="2" s="1"/>
  <c r="DN70" i="2" a="1"/>
  <c r="DN70" i="2" s="1"/>
  <c r="DN133" i="2" a="1"/>
  <c r="DN133" i="2" s="1"/>
  <c r="DN6" i="2" a="1"/>
  <c r="DN6" i="2" s="1"/>
  <c r="DO6" i="2" s="1"/>
  <c r="CS24" i="2" a="1"/>
  <c r="CS24" i="2" s="1"/>
  <c r="BX107" i="2" a="1"/>
  <c r="BX107" i="2" s="1"/>
  <c r="HJ202" i="2"/>
  <c r="AX200" i="2"/>
  <c r="FY57" i="2" l="1" a="1"/>
  <c r="FY57" i="2" s="1"/>
  <c r="FY50" i="2" a="1"/>
  <c r="FY50" i="2" s="1"/>
  <c r="FY109" i="2" a="1"/>
  <c r="FY109" i="2" s="1"/>
  <c r="FY47" i="2" a="1"/>
  <c r="FY47" i="2" s="1"/>
  <c r="FD82" i="2" a="1"/>
  <c r="FD82" i="2" s="1"/>
  <c r="FD43" i="2" a="1"/>
  <c r="FD43" i="2" s="1"/>
  <c r="FD187" i="2" a="1"/>
  <c r="FD187" i="2" s="1"/>
  <c r="FD194" i="2" a="1"/>
  <c r="FD194" i="2" s="1"/>
  <c r="FD64" i="2" a="1"/>
  <c r="FD64" i="2" s="1"/>
  <c r="FD189" i="2" a="1"/>
  <c r="FD189" i="2" s="1"/>
  <c r="FD14" i="2" a="1"/>
  <c r="FD14" i="2" s="1"/>
  <c r="FD48" i="2" a="1"/>
  <c r="FD48" i="2" s="1"/>
  <c r="FY79" i="2" a="1"/>
  <c r="FY79" i="2" s="1"/>
  <c r="FD44" i="2" a="1"/>
  <c r="FD44" i="2" s="1"/>
  <c r="FD59" i="2" a="1"/>
  <c r="FD59" i="2" s="1"/>
  <c r="FD60" i="2" a="1"/>
  <c r="FD60" i="2" s="1"/>
  <c r="FD144" i="2" a="1"/>
  <c r="FD144" i="2" s="1"/>
  <c r="FD19" i="2" a="1"/>
  <c r="FD19" i="2" s="1"/>
  <c r="FD159" i="2" a="1"/>
  <c r="FD159" i="2" s="1"/>
  <c r="FD21" i="2" a="1"/>
  <c r="FD21" i="2" s="1"/>
  <c r="FD160" i="2" a="1"/>
  <c r="FD160" i="2" s="1"/>
  <c r="FD107" i="2" a="1"/>
  <c r="FD107" i="2" s="1"/>
  <c r="FD137" i="2" a="1"/>
  <c r="FD137" i="2" s="1"/>
  <c r="FD167" i="2" a="1"/>
  <c r="FD167" i="2" s="1"/>
  <c r="FD188" i="2" a="1"/>
  <c r="FD188" i="2" s="1"/>
  <c r="FD131" i="2" a="1"/>
  <c r="FD131" i="2" s="1"/>
  <c r="EI195" i="2" a="1"/>
  <c r="EI195" i="2" s="1"/>
  <c r="AH199" i="2" a="1"/>
  <c r="AH199" i="2" s="1"/>
  <c r="AH166" i="2" a="1"/>
  <c r="AH166" i="2" s="1"/>
  <c r="AH19" i="2" a="1"/>
  <c r="AH19" i="2" s="1"/>
  <c r="AH90" i="2" a="1"/>
  <c r="AH90" i="2" s="1"/>
  <c r="EI142" i="2" a="1"/>
  <c r="EI142" i="2" s="1"/>
  <c r="EI178" i="2" a="1"/>
  <c r="EI178" i="2" s="1"/>
  <c r="DN184" i="2" a="1"/>
  <c r="DN184" i="2" s="1"/>
  <c r="DN55" i="2" a="1"/>
  <c r="DN55" i="2" s="1"/>
  <c r="DN66" i="2" a="1"/>
  <c r="DN66" i="2" s="1"/>
  <c r="DN152" i="2" a="1"/>
  <c r="DN152" i="2" s="1"/>
  <c r="DN45" i="2" a="1"/>
  <c r="DN45" i="2" s="1"/>
  <c r="DN110" i="2" a="1"/>
  <c r="DN110" i="2" s="1"/>
  <c r="DN188" i="2" a="1"/>
  <c r="DN188" i="2" s="1"/>
  <c r="DN29" i="2" a="1"/>
  <c r="DN29" i="2" s="1"/>
  <c r="DN31" i="2" a="1"/>
  <c r="DN31" i="2" s="1"/>
  <c r="DN86" i="2" a="1"/>
  <c r="DN86" i="2" s="1"/>
  <c r="DN41" i="2" a="1"/>
  <c r="DN41" i="2" s="1"/>
  <c r="DN43" i="2" a="1"/>
  <c r="DN43" i="2" s="1"/>
  <c r="DN30" i="2" a="1"/>
  <c r="DN30" i="2" s="1"/>
  <c r="DN16" i="2" a="1"/>
  <c r="DN16" i="2" s="1"/>
  <c r="DN115" i="2" a="1"/>
  <c r="DN115" i="2" s="1"/>
  <c r="DN186" i="2" a="1"/>
  <c r="DN186" i="2" s="1"/>
  <c r="DN132" i="2" a="1"/>
  <c r="DN132" i="2" s="1"/>
  <c r="DN49" i="2" a="1"/>
  <c r="DN49" i="2" s="1"/>
  <c r="DN114" i="2" a="1"/>
  <c r="DN114" i="2" s="1"/>
  <c r="DN170" i="2" a="1"/>
  <c r="DN170" i="2" s="1"/>
  <c r="DN124" i="2" a="1"/>
  <c r="DN124" i="2" s="1"/>
  <c r="DN192" i="2" a="1"/>
  <c r="DN192" i="2" s="1"/>
  <c r="DN177" i="2" a="1"/>
  <c r="DN177" i="2" s="1"/>
  <c r="DN162" i="2" a="1"/>
  <c r="DN162" i="2" s="1"/>
  <c r="DN137" i="2" a="1"/>
  <c r="DN137" i="2" s="1"/>
  <c r="DN176" i="2" a="1"/>
  <c r="DN176" i="2" s="1"/>
  <c r="DN164" i="2" a="1"/>
  <c r="DN164" i="2" s="1"/>
  <c r="DN63" i="2" a="1"/>
  <c r="DN63" i="2" s="1"/>
  <c r="DN103" i="2" a="1"/>
  <c r="DN103" i="2" s="1"/>
  <c r="DN129" i="2" a="1"/>
  <c r="DN129" i="2" s="1"/>
  <c r="DN155" i="2" a="1"/>
  <c r="DN155" i="2" s="1"/>
  <c r="DN56" i="2" a="1"/>
  <c r="DN56" i="2" s="1"/>
  <c r="DN168" i="2" a="1"/>
  <c r="DN168" i="2" s="1"/>
  <c r="DN167" i="2" a="1"/>
  <c r="DN167" i="2" s="1"/>
  <c r="DN46" i="2" a="1"/>
  <c r="DN46" i="2" s="1"/>
  <c r="DN153" i="2" a="1"/>
  <c r="DN153" i="2" s="1"/>
  <c r="DN190" i="2" a="1"/>
  <c r="DN190" i="2" s="1"/>
  <c r="DN135" i="2" a="1"/>
  <c r="DN135" i="2" s="1"/>
  <c r="DN123" i="2" a="1"/>
  <c r="DN123" i="2" s="1"/>
  <c r="DN50" i="2" a="1"/>
  <c r="DN50" i="2" s="1"/>
  <c r="DN187" i="2" a="1"/>
  <c r="DN187" i="2" s="1"/>
  <c r="DN65" i="2" a="1"/>
  <c r="DN65" i="2" s="1"/>
  <c r="DN80" i="2" a="1"/>
  <c r="DN80" i="2" s="1"/>
  <c r="DN150" i="2" a="1"/>
  <c r="DN150" i="2" s="1"/>
  <c r="DN25" i="2" a="1"/>
  <c r="DN25" i="2" s="1"/>
  <c r="CS134" i="2" a="1"/>
  <c r="CS134" i="2" s="1"/>
  <c r="CS77" i="2" a="1"/>
  <c r="CS77" i="2" s="1"/>
  <c r="CS185" i="2" a="1"/>
  <c r="CS185" i="2" s="1"/>
  <c r="CS72" i="2" a="1"/>
  <c r="CS72" i="2" s="1"/>
  <c r="CS56" i="2" a="1"/>
  <c r="CS56" i="2" s="1"/>
  <c r="CS137" i="2" a="1"/>
  <c r="CS137" i="2" s="1"/>
  <c r="CS116" i="2" a="1"/>
  <c r="CS116" i="2" s="1"/>
  <c r="CS52" i="2" a="1"/>
  <c r="CS52" i="2" s="1"/>
  <c r="CS105" i="2" a="1"/>
  <c r="CS105" i="2" s="1"/>
  <c r="CS161" i="2" a="1"/>
  <c r="CS161" i="2" s="1"/>
  <c r="CS129" i="2" a="1"/>
  <c r="CS129" i="2" s="1"/>
  <c r="CS66" i="2" a="1"/>
  <c r="CS66" i="2" s="1"/>
  <c r="CS38" i="2" a="1"/>
  <c r="CS38" i="2" s="1"/>
  <c r="CS114" i="2" a="1"/>
  <c r="CS114" i="2" s="1"/>
  <c r="CS120" i="2" a="1"/>
  <c r="CS120" i="2" s="1"/>
  <c r="BC181" i="2" a="1"/>
  <c r="BC181" i="2" s="1"/>
  <c r="BC31" i="2" a="1"/>
  <c r="BC31" i="2" s="1"/>
  <c r="BC114" i="2" a="1"/>
  <c r="BC114" i="2" s="1"/>
  <c r="BC192" i="2" a="1"/>
  <c r="BC192" i="2" s="1"/>
  <c r="BC55" i="2" a="1"/>
  <c r="BC55" i="2" s="1"/>
  <c r="BC151" i="2" a="1"/>
  <c r="BC151" i="2" s="1"/>
  <c r="BC185" i="2" a="1"/>
  <c r="BC185" i="2" s="1"/>
  <c r="BC143" i="2" a="1"/>
  <c r="BC143" i="2" s="1"/>
  <c r="BC164" i="2" a="1"/>
  <c r="BC164" i="2" s="1"/>
  <c r="BC117" i="2" a="1"/>
  <c r="BC117" i="2" s="1"/>
  <c r="BC130" i="2" a="1"/>
  <c r="BC130" i="2" s="1"/>
  <c r="BC126" i="2" a="1"/>
  <c r="BC126" i="2" s="1"/>
  <c r="BC18" i="2" a="1"/>
  <c r="BC18" i="2" s="1"/>
  <c r="BC68" i="2" a="1"/>
  <c r="BC68" i="2" s="1"/>
  <c r="BC38" i="2" a="1"/>
  <c r="BC38" i="2" s="1"/>
  <c r="BC83" i="2" a="1"/>
  <c r="BC83" i="2" s="1"/>
  <c r="BC65" i="2" a="1"/>
  <c r="BC65" i="2" s="1"/>
  <c r="BC82" i="2" a="1"/>
  <c r="BC82" i="2" s="1"/>
  <c r="BC47" i="2" a="1"/>
  <c r="BC47" i="2" s="1"/>
  <c r="BC58" i="2" a="1"/>
  <c r="BC58" i="2" s="1"/>
  <c r="BC34" i="2" a="1"/>
  <c r="BC34" i="2" s="1"/>
  <c r="BC84" i="2" a="1"/>
  <c r="BC84" i="2" s="1"/>
  <c r="BC32" i="2" a="1"/>
  <c r="BC32" i="2" s="1"/>
  <c r="AH62" i="2" a="1"/>
  <c r="AH62" i="2" s="1"/>
  <c r="AH151" i="2" a="1"/>
  <c r="AH151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DI203" i="2"/>
  <c r="EY203" i="2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GE11" i="2" l="1"/>
  <c r="GE203" i="2"/>
  <c r="GE17" i="2"/>
  <c r="GE41" i="2"/>
  <c r="GE67" i="2"/>
  <c r="GE127" i="2"/>
  <c r="GE125" i="2"/>
  <c r="GE158" i="2"/>
  <c r="GE29" i="2"/>
  <c r="GE50" i="2"/>
  <c r="GE199" i="2"/>
  <c r="GE126" i="2"/>
  <c r="GE51" i="2"/>
  <c r="GE40" i="2"/>
  <c r="GE109" i="2"/>
  <c r="GE103" i="2"/>
  <c r="GE142" i="2"/>
  <c r="GE157" i="2"/>
  <c r="GE92" i="2"/>
  <c r="GE128" i="2"/>
  <c r="GE201" i="2"/>
  <c r="GE150" i="2"/>
  <c r="GE85" i="2"/>
  <c r="GE4" i="2"/>
  <c r="GE44" i="2"/>
  <c r="GE15" i="2"/>
  <c r="GE57" i="2"/>
  <c r="GE23" i="2"/>
  <c r="GE107" i="2"/>
  <c r="GE138" i="2"/>
  <c r="GE3" i="2"/>
  <c r="C14" i="4" s="1"/>
  <c r="E14" i="4" s="1"/>
  <c r="F14" i="4" s="1"/>
  <c r="G14" i="4" s="1"/>
  <c r="L14" i="4" s="1"/>
  <c r="GE49" i="2"/>
  <c r="GE189" i="2"/>
  <c r="GE162" i="2"/>
  <c r="GE117" i="2"/>
  <c r="GE132" i="2"/>
  <c r="GE165" i="2"/>
  <c r="GE190" i="2"/>
  <c r="GE82" i="2"/>
  <c r="GE98" i="2"/>
  <c r="GE21" i="2"/>
  <c r="GE52" i="2"/>
  <c r="GE173" i="2"/>
  <c r="GE84" i="2"/>
  <c r="GE134" i="2"/>
  <c r="GE39" i="2"/>
  <c r="GE13" i="2"/>
  <c r="GE149" i="2"/>
  <c r="GE70" i="2"/>
  <c r="GE179" i="2"/>
  <c r="GE185" i="2"/>
  <c r="GE74" i="2"/>
  <c r="GE96" i="2"/>
  <c r="GE69" i="2"/>
  <c r="GE71" i="2"/>
  <c r="GE115" i="2"/>
  <c r="GE14" i="2"/>
  <c r="GE62" i="2"/>
  <c r="GE152" i="2"/>
  <c r="GE93" i="2"/>
  <c r="GE89" i="2"/>
  <c r="GE123" i="2"/>
  <c r="GE129" i="2"/>
  <c r="GE31" i="2"/>
  <c r="GE99" i="2"/>
  <c r="GE8" i="2"/>
  <c r="GE26" i="2"/>
  <c r="GE48" i="2"/>
  <c r="GE36" i="2"/>
  <c r="GE120" i="2"/>
  <c r="GE61" i="2"/>
  <c r="GE154" i="2"/>
  <c r="GE200" i="2"/>
  <c r="GE102" i="2"/>
  <c r="GE121" i="2"/>
  <c r="GE160" i="2"/>
  <c r="GE79" i="2"/>
  <c r="GE118" i="2"/>
  <c r="GE108" i="2"/>
  <c r="GE77" i="2"/>
  <c r="GE136" i="2"/>
  <c r="GE144" i="2"/>
  <c r="GE68" i="2"/>
  <c r="GE112" i="2"/>
  <c r="GE56" i="2"/>
  <c r="GE32" i="2"/>
  <c r="GE122" i="2"/>
  <c r="GE20" i="2"/>
  <c r="GE116" i="2"/>
  <c r="GE195" i="2"/>
  <c r="GE12" i="2"/>
  <c r="GE35" i="2"/>
  <c r="GE140" i="2"/>
  <c r="GE180" i="2"/>
  <c r="GE166" i="2"/>
  <c r="GE46" i="2"/>
  <c r="GE110" i="2"/>
  <c r="GE192" i="2"/>
  <c r="GE113" i="2"/>
  <c r="GE124" i="2"/>
  <c r="GE33" i="2"/>
  <c r="GE105" i="2"/>
  <c r="GE153" i="2"/>
  <c r="GE18" i="2"/>
  <c r="GE182" i="2"/>
  <c r="GE45" i="2"/>
  <c r="GE193" i="2"/>
  <c r="GE95" i="2"/>
  <c r="GE37" i="2"/>
  <c r="GE42" i="2"/>
  <c r="GE63" i="2"/>
  <c r="GE198" i="2"/>
  <c r="GE143" i="2"/>
  <c r="GE87" i="2"/>
  <c r="GE174" i="2"/>
  <c r="GE100" i="2"/>
  <c r="GE34" i="2"/>
  <c r="GE145" i="2"/>
  <c r="GE194" i="2"/>
  <c r="GE187" i="2"/>
  <c r="GE159" i="2"/>
  <c r="GE97" i="2"/>
  <c r="GE178" i="2"/>
  <c r="GE83" i="2"/>
  <c r="GE148" i="2"/>
  <c r="GE59" i="2"/>
  <c r="GE186" i="2"/>
  <c r="GE139" i="2"/>
  <c r="GE94" i="2"/>
  <c r="GE5" i="2"/>
  <c r="GE75" i="2"/>
  <c r="GE191" i="2"/>
  <c r="GE175" i="2"/>
  <c r="GE88" i="2"/>
  <c r="GE55" i="2"/>
  <c r="GE72" i="2"/>
  <c r="GE38" i="2"/>
  <c r="GE16" i="2"/>
  <c r="GE65" i="2"/>
  <c r="GE64" i="2"/>
  <c r="GE86" i="2"/>
  <c r="GE197" i="2"/>
  <c r="GE161" i="2"/>
  <c r="GE202" i="2"/>
  <c r="GE78" i="2"/>
  <c r="GE91" i="2"/>
  <c r="GE25" i="2"/>
  <c r="GE22" i="2"/>
  <c r="GE137" i="2"/>
  <c r="GE184" i="2"/>
  <c r="GE155" i="2"/>
  <c r="GE176" i="2"/>
  <c r="GE7" i="2"/>
  <c r="GE27" i="2"/>
  <c r="GE111" i="2"/>
  <c r="GE119" i="2"/>
  <c r="GE181" i="2"/>
  <c r="GE196" i="2"/>
  <c r="GE171" i="2"/>
  <c r="GE151" i="2"/>
  <c r="GE169" i="2"/>
  <c r="GE101" i="2"/>
  <c r="GE131" i="2"/>
  <c r="GE54" i="2"/>
  <c r="GE177" i="2"/>
  <c r="GE188" i="2"/>
  <c r="GE43" i="2"/>
  <c r="GE156" i="2"/>
  <c r="GE146" i="2"/>
  <c r="GE80" i="2"/>
  <c r="GE130" i="2"/>
  <c r="GE81" i="2"/>
  <c r="GE73" i="2"/>
  <c r="GE183" i="2"/>
  <c r="GE167" i="2"/>
  <c r="GE114" i="2"/>
  <c r="GE106" i="2"/>
  <c r="GE66" i="2"/>
  <c r="GE104" i="2"/>
  <c r="GE24" i="2"/>
  <c r="GE30" i="2"/>
  <c r="GE9" i="2"/>
  <c r="GE147" i="2"/>
  <c r="GE47" i="2"/>
  <c r="GE53" i="2"/>
  <c r="GE6" i="2"/>
  <c r="GE164" i="2"/>
  <c r="GE135" i="2"/>
  <c r="GE133" i="2"/>
  <c r="GE141" i="2"/>
  <c r="GE60" i="2"/>
  <c r="GE168" i="2"/>
  <c r="GE170" i="2"/>
  <c r="GE172" i="2"/>
  <c r="GE76" i="2"/>
  <c r="GE90" i="2"/>
  <c r="GE10" i="2"/>
  <c r="GE163" i="2"/>
  <c r="GE58" i="2"/>
  <c r="GE19" i="2"/>
  <c r="GE28" i="2"/>
  <c r="FJ196" i="2"/>
  <c r="FJ158" i="2"/>
  <c r="FJ30" i="2"/>
  <c r="FJ33" i="2"/>
  <c r="FJ102" i="2"/>
  <c r="FJ88" i="2"/>
  <c r="FJ27" i="2"/>
  <c r="FJ129" i="2"/>
  <c r="FJ153" i="2"/>
  <c r="FJ123" i="2"/>
  <c r="FJ68" i="2"/>
  <c r="FJ81" i="2"/>
  <c r="FJ99" i="2"/>
  <c r="FJ154" i="2"/>
  <c r="FJ203" i="2"/>
  <c r="FJ20" i="2"/>
  <c r="FJ84" i="2"/>
  <c r="FJ164" i="2"/>
  <c r="FJ187" i="2"/>
  <c r="FJ22" i="2"/>
  <c r="FJ96" i="2"/>
  <c r="FJ72" i="2"/>
  <c r="FJ46" i="2"/>
  <c r="FJ44" i="2"/>
  <c r="FJ24" i="2"/>
  <c r="FJ70" i="2"/>
  <c r="FJ161" i="2"/>
  <c r="FJ5" i="2"/>
  <c r="FJ140" i="2"/>
  <c r="FJ122" i="2"/>
  <c r="FJ100" i="2"/>
  <c r="FJ60" i="2"/>
  <c r="FJ183" i="2"/>
  <c r="FJ178" i="2"/>
  <c r="FJ48" i="2"/>
  <c r="FJ34" i="2"/>
  <c r="FJ201" i="2"/>
  <c r="FJ166" i="2"/>
  <c r="FJ155" i="2"/>
  <c r="FJ92" i="2"/>
  <c r="FJ52" i="2"/>
  <c r="FJ175" i="2"/>
  <c r="FJ186" i="2"/>
  <c r="FJ23" i="2"/>
  <c r="FJ11" i="2"/>
  <c r="FJ189" i="2"/>
  <c r="FJ19" i="2"/>
  <c r="FJ152" i="2"/>
  <c r="FJ179" i="2"/>
  <c r="FJ176" i="2"/>
  <c r="FJ115" i="2"/>
  <c r="FJ162" i="2"/>
  <c r="FJ12" i="2"/>
  <c r="FJ202" i="2"/>
  <c r="FJ6" i="2"/>
  <c r="FJ85" i="2"/>
  <c r="FJ87" i="2"/>
  <c r="FJ47" i="2"/>
  <c r="FJ148" i="2"/>
  <c r="FJ59" i="2"/>
  <c r="FJ117" i="2"/>
  <c r="FJ57" i="2"/>
  <c r="FJ13" i="2"/>
  <c r="FJ177" i="2"/>
  <c r="FJ193" i="2"/>
  <c r="FJ130" i="2"/>
  <c r="FJ128" i="2"/>
  <c r="FJ104" i="2"/>
  <c r="FJ73" i="2"/>
  <c r="FJ64" i="2"/>
  <c r="FJ80" i="2"/>
  <c r="FJ16" i="2"/>
  <c r="FJ195" i="2"/>
  <c r="FJ197" i="2"/>
  <c r="FJ97" i="2"/>
  <c r="FJ191" i="2"/>
  <c r="FJ86" i="2"/>
  <c r="FJ188" i="2"/>
  <c r="FJ145" i="2"/>
  <c r="FJ139" i="2"/>
  <c r="FJ82" i="2"/>
  <c r="FJ116" i="2"/>
  <c r="FJ94" i="2"/>
  <c r="FJ182" i="2"/>
  <c r="FJ184" i="2"/>
  <c r="FJ66" i="2"/>
  <c r="FJ114" i="2"/>
  <c r="FJ185" i="2"/>
  <c r="FJ106" i="2"/>
  <c r="FJ131" i="2"/>
  <c r="FJ7" i="2"/>
  <c r="FJ15" i="2"/>
  <c r="FJ42" i="2"/>
  <c r="FJ40" i="2"/>
  <c r="FJ163" i="2"/>
  <c r="FJ74" i="2"/>
  <c r="FJ200" i="2"/>
  <c r="FJ172" i="2"/>
  <c r="FJ112" i="2"/>
  <c r="FJ98" i="2"/>
  <c r="FJ78" i="2"/>
  <c r="FJ165" i="2"/>
  <c r="FJ39" i="2"/>
  <c r="FJ181" i="2"/>
  <c r="FJ50" i="2"/>
  <c r="FJ180" i="2"/>
  <c r="FJ110" i="2"/>
  <c r="FJ62" i="2"/>
  <c r="FJ79" i="2"/>
  <c r="FJ136" i="2"/>
  <c r="FJ58" i="2"/>
  <c r="FJ132" i="2"/>
  <c r="FJ93" i="2"/>
  <c r="FJ157" i="2"/>
  <c r="FJ4" i="2"/>
  <c r="FJ143" i="2"/>
  <c r="FJ51" i="2"/>
  <c r="FJ29" i="2"/>
  <c r="FJ147" i="2"/>
  <c r="FJ43" i="2"/>
  <c r="FJ10" i="2"/>
  <c r="FJ37" i="2"/>
  <c r="FJ18" i="2"/>
  <c r="FJ111" i="2"/>
  <c r="FJ41" i="2"/>
  <c r="FJ9" i="2"/>
  <c r="FJ45" i="2"/>
  <c r="FJ126" i="2"/>
  <c r="FJ76" i="2"/>
  <c r="FJ199" i="2"/>
  <c r="FJ121" i="2"/>
  <c r="FJ124" i="2"/>
  <c r="FJ89" i="2"/>
  <c r="FJ69" i="2"/>
  <c r="FJ144" i="2"/>
  <c r="FJ133" i="2"/>
  <c r="FJ134" i="2"/>
  <c r="FJ75" i="2"/>
  <c r="FJ65" i="2"/>
  <c r="FJ150" i="2"/>
  <c r="FJ54" i="2"/>
  <c r="FJ137" i="2"/>
  <c r="FJ53" i="2"/>
  <c r="FJ38" i="2"/>
  <c r="FJ77" i="2"/>
  <c r="FJ174" i="2"/>
  <c r="FJ168" i="2"/>
  <c r="FJ8" i="2"/>
  <c r="FJ173" i="2"/>
  <c r="FJ198" i="2"/>
  <c r="FJ108" i="2"/>
  <c r="FJ61" i="2"/>
  <c r="FJ149" i="2"/>
  <c r="FJ109" i="2"/>
  <c r="FJ14" i="2"/>
  <c r="FJ103" i="2"/>
  <c r="FJ26" i="2"/>
  <c r="FJ32" i="2"/>
  <c r="FJ125" i="2"/>
  <c r="FJ118" i="2"/>
  <c r="FJ35" i="2"/>
  <c r="FJ119" i="2"/>
  <c r="FJ120" i="2"/>
  <c r="FJ17" i="2"/>
  <c r="FJ159" i="2"/>
  <c r="FJ36" i="2"/>
  <c r="FJ21" i="2"/>
  <c r="FJ141" i="2"/>
  <c r="FJ107" i="2"/>
  <c r="FJ91" i="2"/>
  <c r="FJ156" i="2"/>
  <c r="FJ127" i="2"/>
  <c r="FJ146" i="2"/>
  <c r="FJ95" i="2"/>
  <c r="FJ67" i="2"/>
  <c r="FJ169" i="2"/>
  <c r="FJ83" i="2"/>
  <c r="FJ190" i="2"/>
  <c r="FJ90" i="2"/>
  <c r="FJ25" i="2"/>
  <c r="FJ105" i="2"/>
  <c r="FJ113" i="2"/>
  <c r="FJ31" i="2"/>
  <c r="FJ56" i="2"/>
  <c r="FJ142" i="2"/>
  <c r="FJ138" i="2"/>
  <c r="FJ63" i="2"/>
  <c r="FJ28" i="2"/>
  <c r="FJ171" i="2"/>
  <c r="FJ167" i="2"/>
  <c r="FJ192" i="2"/>
  <c r="FJ101" i="2"/>
  <c r="FJ160" i="2"/>
  <c r="FJ71" i="2"/>
  <c r="FJ170" i="2"/>
  <c r="FJ135" i="2"/>
  <c r="FJ55" i="2"/>
  <c r="FJ3" i="2"/>
  <c r="C13" i="4" s="1"/>
  <c r="E13" i="4" s="1"/>
  <c r="F13" i="4" s="1"/>
  <c r="G13" i="4" s="1"/>
  <c r="L13" i="4" s="1"/>
  <c r="FJ49" i="2"/>
  <c r="FJ194" i="2"/>
  <c r="FJ151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<sst xmlns="http://schemas.openxmlformats.org/spreadsheetml/2006/main" count="1177" uniqueCount="324">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</sst>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1.9951528130393739</c:v>
                </c:pt>
                <c:pt idx="2">
                  <c:v>2.801987453453473</c:v>
                </c:pt>
                <c:pt idx="3">
                  <c:v>3.9365296795409237</c:v>
                </c:pt>
                <c:pt idx="4">
                  <c:v>5.5324276571117856</c:v>
                </c:pt>
                <c:pt idx="5">
                  <c:v>7.7780423573062087</c:v>
                </c:pt>
                <c:pt idx="6">
                  <c:v>10.938924465021435</c:v>
                </c:pt>
                <c:pt idx="7">
                  <c:v>15.389554849750539</c:v>
                </c:pt>
                <c:pt idx="8">
                  <c:v>21.658177623394408</c:v>
                </c:pt>
                <c:pt idx="9">
                  <c:v>30.490141697520784</c:v>
                </c:pt>
                <c:pt idx="10">
                  <c:v>42.937412871487879</c:v>
                </c:pt>
                <c:pt idx="11">
                  <c:v>50.525062342877327</c:v>
                </c:pt>
                <c:pt idx="12">
                  <c:v>64.158273468079955</c:v>
                </c:pt>
                <c:pt idx="13">
                  <c:v>77.716157517869419</c:v>
                </c:pt>
                <c:pt idx="14">
                  <c:v>91.21378336117408</c:v>
                </c:pt>
                <c:pt idx="15">
                  <c:v>104.66135602287243</c:v>
                </c:pt>
                <c:pt idx="16">
                  <c:v>93.378156972322202</c:v>
                </c:pt>
                <c:pt idx="17">
                  <c:v>107.29763041380107</c:v>
                </c:pt>
                <c:pt idx="18">
                  <c:v>121.17258390131535</c:v>
                </c:pt>
                <c:pt idx="19">
                  <c:v>135.00884169160111</c:v>
                </c:pt>
                <c:pt idx="20">
                  <c:v>148.81093286135922</c:v>
                </c:pt>
                <c:pt idx="21">
                  <c:v>132.86417787910921</c:v>
                </c:pt>
                <c:pt idx="22">
                  <c:v>145.48231507115517</c:v>
                </c:pt>
                <c:pt idx="23">
                  <c:v>158.07427982969332</c:v>
                </c:pt>
                <c:pt idx="24">
                  <c:v>170.64245249764204</c:v>
                </c:pt>
                <c:pt idx="25">
                  <c:v>183.18883358988873</c:v>
                </c:pt>
                <c:pt idx="26">
                  <c:v>167.08771413550696</c:v>
                </c:pt>
                <c:pt idx="27">
                  <c:v>177.03661484019131</c:v>
                </c:pt>
                <c:pt idx="28">
                  <c:v>186.97240160982622</c:v>
                </c:pt>
                <c:pt idx="29">
                  <c:v>196.89587026062097</c:v>
                </c:pt>
                <c:pt idx="30">
                  <c:v>206.80772973999626</c:v>
                </c:pt>
                <c:pt idx="31">
                  <c:v>192.17189850121224</c:v>
                </c:pt>
                <c:pt idx="32">
                  <c:v>199.96503633513382</c:v>
                </c:pt>
                <c:pt idx="33">
                  <c:v>207.75113458127905</c:v>
                </c:pt>
                <c:pt idx="34">
                  <c:v>215.53049463375149</c:v>
                </c:pt>
                <c:pt idx="35">
                  <c:v>223.30339432263699</c:v>
                </c:pt>
                <c:pt idx="36">
                  <c:v>211.28802543122325</c:v>
                </c:pt>
                <c:pt idx="37">
                  <c:v>216.94422185354449</c:v>
                </c:pt>
                <c:pt idx="38">
                  <c:v>222.59702714000073</c:v>
                </c:pt>
                <c:pt idx="39">
                  <c:v>228.24653971138068</c:v>
                </c:pt>
                <c:pt idx="40">
                  <c:v>233.89285271005079</c:v>
                </c:pt>
                <c:pt idx="41">
                  <c:v>224.95138540725256</c:v>
                </c:pt>
                <c:pt idx="42">
                  <c:v>228.952501957349</c:v>
                </c:pt>
                <c:pt idx="43">
                  <c:v>232.95201893246744</c:v>
                </c:pt>
                <c:pt idx="44">
                  <c:v>236.94996773022407</c:v>
                </c:pt>
                <c:pt idx="45">
                  <c:v>240.9463786000355</c:v>
                </c:pt>
                <c:pt idx="46">
                  <c:v>234.59842131171899</c:v>
                </c:pt>
                <c:pt idx="47">
                  <c:v>237.65532761500836</c:v>
                </c:pt>
                <c:pt idx="48">
                  <c:v>240.71133765275954</c:v>
                </c:pt>
                <c:pt idx="49">
                  <c:v>243.76646443655656</c:v>
                </c:pt>
                <c:pt idx="50">
                  <c:v>246.82072062447375</c:v>
                </c:pt>
                <c:pt idx="51">
                  <c:v>5.3139366398878183E-13</c:v>
                </c:pt>
                <c:pt idx="52">
                  <c:v>5.3139366398878183E-13</c:v>
                </c:pt>
                <c:pt idx="53">
                  <c:v>5.3139366398878183E-13</c:v>
                </c:pt>
                <c:pt idx="54">
                  <c:v>5.3139366398878183E-13</c:v>
                </c:pt>
                <c:pt idx="55">
                  <c:v>5.3139366398878183E-13</c:v>
                </c:pt>
                <c:pt idx="56">
                  <c:v>5.3139366398878183E-13</c:v>
                </c:pt>
                <c:pt idx="57">
                  <c:v>5.3139366398878183E-13</c:v>
                </c:pt>
                <c:pt idx="58">
                  <c:v>5.3139366398878183E-13</c:v>
                </c:pt>
                <c:pt idx="59">
                  <c:v>5.3139366398878183E-13</c:v>
                </c:pt>
                <c:pt idx="60">
                  <c:v>5.3139366398878183E-13</c:v>
                </c:pt>
                <c:pt idx="61">
                  <c:v>5.3139366398878183E-13</c:v>
                </c:pt>
                <c:pt idx="62">
                  <c:v>5.3139366398878183E-13</c:v>
                </c:pt>
                <c:pt idx="63">
                  <c:v>5.3139366398878183E-13</c:v>
                </c:pt>
                <c:pt idx="64">
                  <c:v>5.3139366398878183E-13</c:v>
                </c:pt>
                <c:pt idx="65">
                  <c:v>5.3139366398878183E-13</c:v>
                </c:pt>
                <c:pt idx="66">
                  <c:v>5.3139366398878183E-13</c:v>
                </c:pt>
                <c:pt idx="67">
                  <c:v>5.3139366398878183E-13</c:v>
                </c:pt>
                <c:pt idx="68">
                  <c:v>5.3139366398878183E-13</c:v>
                </c:pt>
                <c:pt idx="69">
                  <c:v>5.3139366398878183E-13</c:v>
                </c:pt>
                <c:pt idx="70">
                  <c:v>5.3139366398878183E-13</c:v>
                </c:pt>
                <c:pt idx="71">
                  <c:v>5.3139366398878183E-13</c:v>
                </c:pt>
                <c:pt idx="72">
                  <c:v>5.3139366398878183E-13</c:v>
                </c:pt>
                <c:pt idx="73">
                  <c:v>5.3139366398878183E-13</c:v>
                </c:pt>
                <c:pt idx="74">
                  <c:v>5.3139366398878183E-13</c:v>
                </c:pt>
                <c:pt idx="75">
                  <c:v>5.3139366398878183E-13</c:v>
                </c:pt>
                <c:pt idx="76">
                  <c:v>5.3139366398878183E-13</c:v>
                </c:pt>
                <c:pt idx="77">
                  <c:v>5.3139366398878183E-13</c:v>
                </c:pt>
                <c:pt idx="78">
                  <c:v>5.3139366398878183E-13</c:v>
                </c:pt>
                <c:pt idx="79">
                  <c:v>5.3139366398878183E-13</c:v>
                </c:pt>
                <c:pt idx="80">
                  <c:v>5.3139366398878183E-13</c:v>
                </c:pt>
                <c:pt idx="81">
                  <c:v>5.3139366398878183E-13</c:v>
                </c:pt>
                <c:pt idx="82">
                  <c:v>5.3139366398878183E-13</c:v>
                </c:pt>
                <c:pt idx="83">
                  <c:v>5.3139366398878183E-13</c:v>
                </c:pt>
                <c:pt idx="84">
                  <c:v>5.3139366398878183E-13</c:v>
                </c:pt>
                <c:pt idx="85">
                  <c:v>5.3139366398878183E-13</c:v>
                </c:pt>
                <c:pt idx="86">
                  <c:v>5.3139366398878183E-13</c:v>
                </c:pt>
                <c:pt idx="87">
                  <c:v>5.3139366398878183E-13</c:v>
                </c:pt>
                <c:pt idx="88">
                  <c:v>5.3139366398878183E-13</c:v>
                </c:pt>
                <c:pt idx="89">
                  <c:v>5.3139366398878183E-13</c:v>
                </c:pt>
                <c:pt idx="90">
                  <c:v>5.3139366398878183E-13</c:v>
                </c:pt>
                <c:pt idx="91">
                  <c:v>5.3139366398878183E-13</c:v>
                </c:pt>
                <c:pt idx="92">
                  <c:v>5.3139366398878183E-13</c:v>
                </c:pt>
                <c:pt idx="93">
                  <c:v>5.3139366398878183E-13</c:v>
                </c:pt>
                <c:pt idx="94">
                  <c:v>5.3139366398878183E-13</c:v>
                </c:pt>
                <c:pt idx="95">
                  <c:v>5.3139366398878183E-13</c:v>
                </c:pt>
                <c:pt idx="96">
                  <c:v>5.3139366398878183E-13</c:v>
                </c:pt>
                <c:pt idx="97">
                  <c:v>5.3139366398878183E-13</c:v>
                </c:pt>
                <c:pt idx="98">
                  <c:v>5.3139366398878183E-13</c:v>
                </c:pt>
                <c:pt idx="99">
                  <c:v>5.3139366398878183E-13</c:v>
                </c:pt>
                <c:pt idx="100">
                  <c:v>5.3139366398878183E-13</c:v>
                </c:pt>
                <c:pt idx="101">
                  <c:v>5.3139366398878183E-13</c:v>
                </c:pt>
                <c:pt idx="102">
                  <c:v>5.3139366398878183E-13</c:v>
                </c:pt>
                <c:pt idx="103">
                  <c:v>5.3139366398878183E-13</c:v>
                </c:pt>
                <c:pt idx="104">
                  <c:v>5.3139366398878183E-13</c:v>
                </c:pt>
                <c:pt idx="105">
                  <c:v>5.3139366398878183E-13</c:v>
                </c:pt>
                <c:pt idx="106">
                  <c:v>5.3139366398878183E-13</c:v>
                </c:pt>
                <c:pt idx="107">
                  <c:v>5.3139366398878183E-13</c:v>
                </c:pt>
                <c:pt idx="108">
                  <c:v>5.3139366398878183E-13</c:v>
                </c:pt>
                <c:pt idx="109">
                  <c:v>5.3139366398878183E-13</c:v>
                </c:pt>
                <c:pt idx="110">
                  <c:v>5.3139366398878183E-13</c:v>
                </c:pt>
                <c:pt idx="111">
                  <c:v>5.3139366398878183E-13</c:v>
                </c:pt>
                <c:pt idx="112">
                  <c:v>5.3139366398878183E-13</c:v>
                </c:pt>
                <c:pt idx="113">
                  <c:v>5.3139366398878183E-13</c:v>
                </c:pt>
                <c:pt idx="114">
                  <c:v>5.3139366398878183E-13</c:v>
                </c:pt>
                <c:pt idx="115">
                  <c:v>5.3139366398878183E-13</c:v>
                </c:pt>
                <c:pt idx="116">
                  <c:v>5.3139366398878183E-13</c:v>
                </c:pt>
                <c:pt idx="117">
                  <c:v>5.3139366398878183E-13</c:v>
                </c:pt>
                <c:pt idx="118">
                  <c:v>5.3139366398878183E-13</c:v>
                </c:pt>
                <c:pt idx="119">
                  <c:v>5.3139366398878183E-13</c:v>
                </c:pt>
                <c:pt idx="120">
                  <c:v>5.3139366398878183E-13</c:v>
                </c:pt>
                <c:pt idx="121">
                  <c:v>5.3139366398878183E-13</c:v>
                </c:pt>
                <c:pt idx="122">
                  <c:v>5.3139366398878183E-13</c:v>
                </c:pt>
                <c:pt idx="123">
                  <c:v>5.3139366398878183E-13</c:v>
                </c:pt>
                <c:pt idx="124">
                  <c:v>5.3139366398878183E-13</c:v>
                </c:pt>
                <c:pt idx="125">
                  <c:v>5.3139366398878183E-13</c:v>
                </c:pt>
                <c:pt idx="126">
                  <c:v>5.3139366398878183E-13</c:v>
                </c:pt>
                <c:pt idx="127">
                  <c:v>5.3139366398878183E-13</c:v>
                </c:pt>
                <c:pt idx="128">
                  <c:v>5.3139366398878183E-13</c:v>
                </c:pt>
                <c:pt idx="129">
                  <c:v>5.3139366398878183E-13</c:v>
                </c:pt>
                <c:pt idx="130">
                  <c:v>5.3139366398878183E-13</c:v>
                </c:pt>
                <c:pt idx="131">
                  <c:v>5.3139366398878183E-13</c:v>
                </c:pt>
                <c:pt idx="132">
                  <c:v>5.3139366398878183E-13</c:v>
                </c:pt>
                <c:pt idx="133">
                  <c:v>5.3139366398878183E-13</c:v>
                </c:pt>
                <c:pt idx="134">
                  <c:v>5.3139366398878183E-13</c:v>
                </c:pt>
                <c:pt idx="135">
                  <c:v>5.3139366398878183E-13</c:v>
                </c:pt>
                <c:pt idx="136">
                  <c:v>5.3139366398878183E-13</c:v>
                </c:pt>
                <c:pt idx="137">
                  <c:v>5.3139366398878183E-13</c:v>
                </c:pt>
                <c:pt idx="138">
                  <c:v>5.3139366398878183E-13</c:v>
                </c:pt>
                <c:pt idx="139">
                  <c:v>5.3139366398878183E-13</c:v>
                </c:pt>
                <c:pt idx="140">
                  <c:v>5.3139366398878183E-13</c:v>
                </c:pt>
                <c:pt idx="141">
                  <c:v>5.3139366398878183E-13</c:v>
                </c:pt>
                <c:pt idx="142">
                  <c:v>5.3139366398878183E-13</c:v>
                </c:pt>
                <c:pt idx="143">
                  <c:v>5.3139366398878183E-13</c:v>
                </c:pt>
                <c:pt idx="144">
                  <c:v>5.3139366398878183E-13</c:v>
                </c:pt>
                <c:pt idx="145">
                  <c:v>5.3139366398878183E-13</c:v>
                </c:pt>
                <c:pt idx="146">
                  <c:v>5.3139366398878183E-13</c:v>
                </c:pt>
                <c:pt idx="147">
                  <c:v>5.3139366398878183E-13</c:v>
                </c:pt>
                <c:pt idx="148">
                  <c:v>5.3139366398878183E-13</c:v>
                </c:pt>
                <c:pt idx="149">
                  <c:v>5.3139366398878183E-13</c:v>
                </c:pt>
                <c:pt idx="150">
                  <c:v>5.3139366398878183E-13</c:v>
                </c:pt>
                <c:pt idx="151">
                  <c:v>5.3139366398878183E-13</c:v>
                </c:pt>
                <c:pt idx="152">
                  <c:v>5.3139366398878183E-13</c:v>
                </c:pt>
                <c:pt idx="153">
                  <c:v>5.3139366398878183E-13</c:v>
                </c:pt>
                <c:pt idx="154">
                  <c:v>5.3139366398878183E-13</c:v>
                </c:pt>
                <c:pt idx="155">
                  <c:v>5.3139366398878183E-13</c:v>
                </c:pt>
                <c:pt idx="156">
                  <c:v>5.3139366398878183E-13</c:v>
                </c:pt>
                <c:pt idx="157">
                  <c:v>5.3139366398878183E-13</c:v>
                </c:pt>
                <c:pt idx="158">
                  <c:v>5.3139366398878183E-13</c:v>
                </c:pt>
                <c:pt idx="159">
                  <c:v>5.3139366398878183E-13</c:v>
                </c:pt>
                <c:pt idx="160">
                  <c:v>5.3139366398878183E-13</c:v>
                </c:pt>
                <c:pt idx="161">
                  <c:v>5.3139366398878183E-13</c:v>
                </c:pt>
                <c:pt idx="162">
                  <c:v>5.3139366398878183E-13</c:v>
                </c:pt>
                <c:pt idx="163">
                  <c:v>5.3139366398878183E-13</c:v>
                </c:pt>
                <c:pt idx="164">
                  <c:v>5.3139366398878183E-13</c:v>
                </c:pt>
                <c:pt idx="165">
                  <c:v>5.3139366398878183E-13</c:v>
                </c:pt>
                <c:pt idx="166">
                  <c:v>5.3139366398878183E-13</c:v>
                </c:pt>
                <c:pt idx="167">
                  <c:v>5.3139366398878183E-13</c:v>
                </c:pt>
                <c:pt idx="168">
                  <c:v>5.3139366398878183E-13</c:v>
                </c:pt>
                <c:pt idx="169">
                  <c:v>5.3139366398878183E-13</c:v>
                </c:pt>
                <c:pt idx="170">
                  <c:v>5.3139366398878183E-13</c:v>
                </c:pt>
                <c:pt idx="171">
                  <c:v>5.3139366398878183E-13</c:v>
                </c:pt>
                <c:pt idx="172">
                  <c:v>5.3139366398878183E-13</c:v>
                </c:pt>
                <c:pt idx="173">
                  <c:v>5.3139366398878183E-13</c:v>
                </c:pt>
                <c:pt idx="174">
                  <c:v>5.3139366398878183E-13</c:v>
                </c:pt>
                <c:pt idx="175">
                  <c:v>5.3139366398878183E-13</c:v>
                </c:pt>
                <c:pt idx="176">
                  <c:v>5.3139366398878183E-13</c:v>
                </c:pt>
                <c:pt idx="177">
                  <c:v>5.3139366398878183E-13</c:v>
                </c:pt>
                <c:pt idx="178">
                  <c:v>5.3139366398878183E-13</c:v>
                </c:pt>
                <c:pt idx="179">
                  <c:v>5.3139366398878183E-13</c:v>
                </c:pt>
                <c:pt idx="180">
                  <c:v>5.3139366398878183E-13</c:v>
                </c:pt>
                <c:pt idx="181">
                  <c:v>5.3139366398878183E-13</c:v>
                </c:pt>
                <c:pt idx="182">
                  <c:v>5.3139366398878183E-13</c:v>
                </c:pt>
                <c:pt idx="183">
                  <c:v>5.3139366398878183E-13</c:v>
                </c:pt>
                <c:pt idx="184">
                  <c:v>5.3139366398878183E-13</c:v>
                </c:pt>
                <c:pt idx="185">
                  <c:v>5.3139366398878183E-13</c:v>
                </c:pt>
                <c:pt idx="186">
                  <c:v>5.3139366398878183E-13</c:v>
                </c:pt>
                <c:pt idx="187">
                  <c:v>5.3139366398878183E-13</c:v>
                </c:pt>
                <c:pt idx="188">
                  <c:v>5.3139366398878183E-13</c:v>
                </c:pt>
                <c:pt idx="189">
                  <c:v>5.3139366398878183E-13</c:v>
                </c:pt>
                <c:pt idx="190">
                  <c:v>5.3139366398878183E-13</c:v>
                </c:pt>
                <c:pt idx="191">
                  <c:v>5.3139366398878183E-13</c:v>
                </c:pt>
                <c:pt idx="192">
                  <c:v>5.3139366398878183E-13</c:v>
                </c:pt>
                <c:pt idx="193">
                  <c:v>5.3139366398878183E-13</c:v>
                </c:pt>
                <c:pt idx="194">
                  <c:v>5.3139366398878183E-13</c:v>
                </c:pt>
                <c:pt idx="195">
                  <c:v>5.3139366398878183E-13</c:v>
                </c:pt>
                <c:pt idx="196">
                  <c:v>5.3139366398878183E-13</c:v>
                </c:pt>
                <c:pt idx="197">
                  <c:v>5.3139366398878183E-13</c:v>
                </c:pt>
                <c:pt idx="198">
                  <c:v>5.3139366398878183E-13</c:v>
                </c:pt>
                <c:pt idx="199">
                  <c:v>5.3139366398878183E-13</c:v>
                </c:pt>
                <c:pt idx="200">
                  <c:v>5.3139366398878183E-13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44.716696017915012</c:v>
                </c:pt>
                <c:pt idx="12">
                  <c:v>68.267356266852531</c:v>
                </c:pt>
                <c:pt idx="13">
                  <c:v>91.605526277825675</c:v>
                </c:pt>
                <c:pt idx="14">
                  <c:v>114.79386073387417</c:v>
                </c:pt>
                <c:pt idx="15">
                  <c:v>137.86711899238378</c:v>
                </c:pt>
                <c:pt idx="16">
                  <c:v>96.447363572255242</c:v>
                </c:pt>
                <c:pt idx="17">
                  <c:v>122.49645924610256</c:v>
                </c:pt>
                <c:pt idx="18">
                  <c:v>148.41023510355402</c:v>
                </c:pt>
                <c:pt idx="19">
                  <c:v>174.21574506160064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578.47591298878478</c:v>
                </c:pt>
                <c:pt idx="77">
                  <c:v>584.97785357240684</c:v>
                </c:pt>
                <c:pt idx="78">
                  <c:v>591.47828826876241</c:v>
                </c:pt>
                <c:pt idx="79">
                  <c:v>597.97723596598223</c:v>
                </c:pt>
                <c:pt idx="80">
                  <c:v>604.47471510805701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1.945758313630227</c:v>
                </c:pt>
                <c:pt idx="2">
                  <c:v>2.6050980468053448</c:v>
                </c:pt>
                <c:pt idx="3">
                  <c:v>3.4887980517210706</c:v>
                </c:pt>
                <c:pt idx="4">
                  <c:v>4.6735040654797206</c:v>
                </c:pt>
                <c:pt idx="5">
                  <c:v>6.2621414188034761</c:v>
                </c:pt>
                <c:pt idx="6">
                  <c:v>8.3929560750059693</c:v>
                </c:pt>
                <c:pt idx="7">
                  <c:v>11.251675760913587</c:v>
                </c:pt>
                <c:pt idx="8">
                  <c:v>15.087871001792513</c:v>
                </c:pt>
                <c:pt idx="9">
                  <c:v>20.236970540629144</c:v>
                </c:pt>
                <c:pt idx="10">
                  <c:v>27.149890593651492</c:v>
                </c:pt>
                <c:pt idx="11">
                  <c:v>36.432918080797933</c:v>
                </c:pt>
                <c:pt idx="12">
                  <c:v>48.901405640152291</c:v>
                </c:pt>
                <c:pt idx="13">
                  <c:v>65.652073559199778</c:v>
                </c:pt>
                <c:pt idx="14">
                  <c:v>88.160382293019723</c:v>
                </c:pt>
                <c:pt idx="15">
                  <c:v>118.41168955175056</c:v>
                </c:pt>
                <c:pt idx="16">
                  <c:v>159.07794124592061</c:v>
                </c:pt>
                <c:pt idx="17">
                  <c:v>213.75574019899872</c:v>
                </c:pt>
                <c:pt idx="18">
                  <c:v>249.31858647831859</c:v>
                </c:pt>
                <c:pt idx="19">
                  <c:v>186.65295119618835</c:v>
                </c:pt>
                <c:pt idx="20">
                  <c:v>219.38527831101297</c:v>
                </c:pt>
                <c:pt idx="21">
                  <c:v>252.00526262376073</c:v>
                </c:pt>
                <c:pt idx="22">
                  <c:v>284.52949620568376</c:v>
                </c:pt>
                <c:pt idx="23">
                  <c:v>316.97045957191079</c:v>
                </c:pt>
                <c:pt idx="24">
                  <c:v>353.21835259366952</c:v>
                </c:pt>
                <c:pt idx="25">
                  <c:v>324.75291318794217</c:v>
                </c:pt>
                <c:pt idx="26">
                  <c:v>357.64353127694949</c:v>
                </c:pt>
                <c:pt idx="27">
                  <c:v>391.75345691850794</c:v>
                </c:pt>
                <c:pt idx="28">
                  <c:v>425.79897297789597</c:v>
                </c:pt>
                <c:pt idx="29">
                  <c:v>461.70741999611255</c:v>
                </c:pt>
                <c:pt idx="30">
                  <c:v>497.55629175055515</c:v>
                </c:pt>
                <c:pt idx="31">
                  <c:v>434.07832225738576</c:v>
                </c:pt>
                <c:pt idx="32">
                  <c:v>466.6407952399947</c:v>
                </c:pt>
                <c:pt idx="33">
                  <c:v>500.64674115998105</c:v>
                </c:pt>
                <c:pt idx="34">
                  <c:v>534.60381399607388</c:v>
                </c:pt>
                <c:pt idx="35">
                  <c:v>569.77901956235246</c:v>
                </c:pt>
                <c:pt idx="36">
                  <c:v>604.90887079787183</c:v>
                </c:pt>
                <c:pt idx="37">
                  <c:v>535.66200804942548</c:v>
                </c:pt>
                <c:pt idx="38">
                  <c:v>567.84246187417853</c:v>
                </c:pt>
                <c:pt idx="39">
                  <c:v>600.99917872090748</c:v>
                </c:pt>
                <c:pt idx="40">
                  <c:v>634.11789501107194</c:v>
                </c:pt>
                <c:pt idx="41">
                  <c:v>668.08943967387813</c:v>
                </c:pt>
                <c:pt idx="42">
                  <c:v>702.0254786345663</c:v>
                </c:pt>
                <c:pt idx="43">
                  <c:v>625.80482280365356</c:v>
                </c:pt>
                <c:pt idx="44">
                  <c:v>657.01294905815314</c:v>
                </c:pt>
                <c:pt idx="45">
                  <c:v>688.88449344969774</c:v>
                </c:pt>
                <c:pt idx="46">
                  <c:v>720.72582265116989</c:v>
                </c:pt>
                <c:pt idx="47">
                  <c:v>753.17243083327423</c:v>
                </c:pt>
                <c:pt idx="48">
                  <c:v>785.59065255131372</c:v>
                </c:pt>
                <c:pt idx="49">
                  <c:v>696.17586923903229</c:v>
                </c:pt>
                <c:pt idx="50">
                  <c:v>725.80175633672332</c:v>
                </c:pt>
                <c:pt idx="51">
                  <c:v>756.00757035468848</c:v>
                </c:pt>
                <c:pt idx="52">
                  <c:v>786.18888455630861</c:v>
                </c:pt>
                <c:pt idx="53">
                  <c:v>816.78630665073081</c:v>
                </c:pt>
                <c:pt idx="54">
                  <c:v>847.360640692846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4.1928698140991418</c:v>
                </c:pt>
                <c:pt idx="2">
                  <c:v>7.6168365307333579</c:v>
                </c:pt>
                <c:pt idx="3">
                  <c:v>13.851557944382177</c:v>
                </c:pt>
                <c:pt idx="4">
                  <c:v>25.215582848202938</c:v>
                </c:pt>
                <c:pt idx="5">
                  <c:v>45.948466940528562</c:v>
                </c:pt>
                <c:pt idx="6">
                  <c:v>58.88887876919231</c:v>
                </c:pt>
                <c:pt idx="7">
                  <c:v>75.762576017329408</c:v>
                </c:pt>
                <c:pt idx="8">
                  <c:v>92.540042131168903</c:v>
                </c:pt>
                <c:pt idx="9">
                  <c:v>109.24128540474889</c:v>
                </c:pt>
                <c:pt idx="10">
                  <c:v>125.87964006712114</c:v>
                </c:pt>
                <c:pt idx="11">
                  <c:v>112.81157172284342</c:v>
                </c:pt>
                <c:pt idx="12">
                  <c:v>129.43778416851515</c:v>
                </c:pt>
                <c:pt idx="13">
                  <c:v>146.0122974801705</c:v>
                </c:pt>
                <c:pt idx="14">
                  <c:v>162.54181354343527</c:v>
                </c:pt>
                <c:pt idx="15">
                  <c:v>179.03155609796639</c:v>
                </c:pt>
                <c:pt idx="16">
                  <c:v>168.4353371188482</c:v>
                </c:pt>
                <c:pt idx="17">
                  <c:v>183.34426585713663</c:v>
                </c:pt>
                <c:pt idx="18">
                  <c:v>198.22485329351457</c:v>
                </c:pt>
                <c:pt idx="19">
                  <c:v>213.07952740360659</c:v>
                </c:pt>
                <c:pt idx="20">
                  <c:v>227.91034965501248</c:v>
                </c:pt>
                <c:pt idx="21">
                  <c:v>220.88807818771124</c:v>
                </c:pt>
                <c:pt idx="22">
                  <c:v>233.36868457739766</c:v>
                </c:pt>
                <c:pt idx="23">
                  <c:v>245.8340553722112</c:v>
                </c:pt>
                <c:pt idx="24">
                  <c:v>258.28507230454863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275.38322031086642</c:v>
                </c:pt>
                <c:pt idx="28">
                  <c:v>285.47535981120433</c:v>
                </c:pt>
                <c:pt idx="29">
                  <c:v>295.55951555452697</c:v>
                </c:pt>
                <c:pt idx="30">
                  <c:v>305.63599851497548</c:v>
                </c:pt>
                <c:pt idx="31">
                  <c:v>302.14883502279832</c:v>
                </c:pt>
                <c:pt idx="32">
                  <c:v>310.28417578084361</c:v>
                </c:pt>
                <c:pt idx="33">
                  <c:v>318.41478230164341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332.34234434510194</c:v>
                </c:pt>
                <c:pt idx="37">
                  <c:v>339.68777684695164</c:v>
                </c:pt>
                <c:pt idx="38">
                  <c:v>347.02971529409774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361.31746248867267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175.21027396812136</c:v>
                </c:pt>
                <c:pt idx="27">
                  <c:v>195.8838145879254</c:v>
                </c:pt>
                <c:pt idx="28">
                  <c:v>216.50666233809886</c:v>
                </c:pt>
                <c:pt idx="29">
                  <c:v>237.08432568129521</c:v>
                </c:pt>
                <c:pt idx="30">
                  <c:v>257.62127772428215</c:v>
                </c:pt>
                <c:pt idx="31">
                  <c:v>228.17257887218292</c:v>
                </c:pt>
                <c:pt idx="32">
                  <c:v>246.67306214732389</c:v>
                </c:pt>
                <c:pt idx="33">
                  <c:v>265.14204459810429</c:v>
                </c:pt>
                <c:pt idx="34">
                  <c:v>283.58202888251463</c:v>
                </c:pt>
                <c:pt idx="35">
                  <c:v>301.99516552771883</c:v>
                </c:pt>
                <c:pt idx="36">
                  <c:v>270.26707351328014</c:v>
                </c:pt>
                <c:pt idx="37">
                  <c:v>286.31154709420952</c:v>
                </c:pt>
                <c:pt idx="38">
                  <c:v>302.33590858145311</c:v>
                </c:pt>
                <c:pt idx="39">
                  <c:v>318.34137394785938</c:v>
                </c:pt>
                <c:pt idx="40">
                  <c:v>334.32902690172904</c:v>
                </c:pt>
                <c:pt idx="41">
                  <c:v>300.63210759978887</c:v>
                </c:pt>
                <c:pt idx="42">
                  <c:v>314.59704855401986</c:v>
                </c:pt>
                <c:pt idx="43">
                  <c:v>328.54825156463448</c:v>
                </c:pt>
                <c:pt idx="44">
                  <c:v>342.48638220302018</c:v>
                </c:pt>
                <c:pt idx="45">
                  <c:v>356.41204743833867</c:v>
                </c:pt>
                <c:pt idx="46">
                  <c:v>330.92884034916193</c:v>
                </c:pt>
                <c:pt idx="47">
                  <c:v>342.82617852900444</c:v>
                </c:pt>
                <c:pt idx="48">
                  <c:v>354.71444390147082</c:v>
                </c:pt>
                <c:pt idx="49">
                  <c:v>366.59398347144844</c:v>
                </c:pt>
                <c:pt idx="50">
                  <c:v>378.46511991321876</c:v>
                </c:pt>
                <c:pt idx="51">
                  <c:v>360.14615329066828</c:v>
                </c:pt>
                <c:pt idx="52">
                  <c:v>370.6650184301746</c:v>
                </c:pt>
                <c:pt idx="53">
                  <c:v>381.17737444442332</c:v>
                </c:pt>
                <c:pt idx="54">
                  <c:v>391.68342621612163</c:v>
                </c:pt>
                <c:pt idx="55">
                  <c:v>402.18336673633206</c:v>
                </c:pt>
                <c:pt idx="56">
                  <c:v>388.97277965128006</c:v>
                </c:pt>
                <c:pt idx="57">
                  <c:v>397.78089798901993</c:v>
                </c:pt>
                <c:pt idx="58">
                  <c:v>406.58479291095324</c:v>
                </c:pt>
                <c:pt idx="59">
                  <c:v>415.38456880992311</c:v>
                </c:pt>
                <c:pt idx="60">
                  <c:v>424.18032529272597</c:v>
                </c:pt>
                <c:pt idx="61">
                  <c:v>410.98518940455659</c:v>
                </c:pt>
                <c:pt idx="62">
                  <c:v>418.0913790215223</c:v>
                </c:pt>
                <c:pt idx="63">
                  <c:v>425.19496598542577</c:v>
                </c:pt>
                <c:pt idx="64">
                  <c:v>432.29599994035442</c:v>
                </c:pt>
                <c:pt idx="65">
                  <c:v>439.39452876533943</c:v>
                </c:pt>
                <c:pt idx="66">
                  <c:v>427.22409121469815</c:v>
                </c:pt>
                <c:pt idx="67">
                  <c:v>433.64829237194994</c:v>
                </c:pt>
                <c:pt idx="68">
                  <c:v>440.070450172959</c:v>
                </c:pt>
                <c:pt idx="69">
                  <c:v>446.49059866524129</c:v>
                </c:pt>
                <c:pt idx="70">
                  <c:v>452.90877083660661</c:v>
                </c:pt>
                <c:pt idx="71">
                  <c:v>441.76015637738465</c:v>
                </c:pt>
                <c:pt idx="72">
                  <c:v>447.5041248287875</c:v>
                </c:pt>
                <c:pt idx="73">
                  <c:v>453.24651523667291</c:v>
                </c:pt>
                <c:pt idx="74">
                  <c:v>458.98735042977302</c:v>
                </c:pt>
                <c:pt idx="75">
                  <c:v>464.72665261874414</c:v>
                </c:pt>
                <c:pt idx="76">
                  <c:v>454.59743907080389</c:v>
                </c:pt>
                <c:pt idx="77">
                  <c:v>459.66264159638718</c:v>
                </c:pt>
                <c:pt idx="78">
                  <c:v>464.72665261874414</c:v>
                </c:pt>
                <c:pt idx="79">
                  <c:v>469.78948696374727</c:v>
                </c:pt>
                <c:pt idx="80">
                  <c:v>474.85115911139525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642.03605120322266</c:v>
                </c:pt>
                <c:pt idx="92">
                  <c:v>654.26150513657501</c:v>
                </c:pt>
                <c:pt idx="93">
                  <c:v>666.48225266324471</c:v>
                </c:pt>
                <c:pt idx="94">
                  <c:v>678.69839220429355</c:v>
                </c:pt>
                <c:pt idx="95">
                  <c:v>690.91001835052748</c:v>
                </c:pt>
                <c:pt idx="96">
                  <c:v>645.70418757261734</c:v>
                </c:pt>
                <c:pt idx="97">
                  <c:v>657.5208271917312</c:v>
                </c:pt>
                <c:pt idx="98">
                  <c:v>669.33309384269342</c:v>
                </c:pt>
                <c:pt idx="99">
                  <c:v>681.14107554314921</c:v>
                </c:pt>
                <c:pt idx="100">
                  <c:v>692.94485701159203</c:v>
                </c:pt>
                <c:pt idx="101">
                  <c:v>648.96439218997557</c:v>
                </c:pt>
                <c:pt idx="102">
                  <c:v>659.96510025530517</c:v>
                </c:pt>
                <c:pt idx="103">
                  <c:v>670.96203378278858</c:v>
                </c:pt>
                <c:pt idx="104">
                  <c:v>681.95526333416171</c:v>
                </c:pt>
                <c:pt idx="105">
                  <c:v>692.94485701159181</c:v>
                </c:pt>
                <c:pt idx="106">
                  <c:v>650.18688173454302</c:v>
                </c:pt>
                <c:pt idx="107">
                  <c:v>660.37246095701687</c:v>
                </c:pt>
                <c:pt idx="108">
                  <c:v>670.55480642750729</c:v>
                </c:pt>
                <c:pt idx="109">
                  <c:v>680.73397415831266</c:v>
                </c:pt>
                <c:pt idx="110">
                  <c:v>690.91001835052737</c:v>
                </c:pt>
                <c:pt idx="111">
                  <c:v>649.37189397752024</c:v>
                </c:pt>
                <c:pt idx="112">
                  <c:v>658.74298707117862</c:v>
                </c:pt>
                <c:pt idx="113">
                  <c:v>668.11133540519438</c:v>
                </c:pt>
                <c:pt idx="114">
                  <c:v>677.47698288468996</c:v>
                </c:pt>
                <c:pt idx="115">
                  <c:v>686.83997210216705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2.9824708137834541</c:v>
                </c:pt>
                <c:pt idx="2">
                  <c:v>3.6677102841368421</c:v>
                </c:pt>
                <c:pt idx="3">
                  <c:v>4.5109846579121706</c:v>
                </c:pt>
                <c:pt idx="4">
                  <c:v>5.5488709111756451</c:v>
                </c:pt>
                <c:pt idx="5">
                  <c:v>6.8264398240106265</c:v>
                </c:pt>
                <c:pt idx="6">
                  <c:v>8.3992344531589023</c:v>
                </c:pt>
                <c:pt idx="7">
                  <c:v>10.335710757094397</c:v>
                </c:pt>
                <c:pt idx="8">
                  <c:v>12.72024860757179</c:v>
                </c:pt>
                <c:pt idx="9">
                  <c:v>15.65686682940161</c:v>
                </c:pt>
                <c:pt idx="10">
                  <c:v>19.273807295064337</c:v>
                </c:pt>
                <c:pt idx="11">
                  <c:v>23.729191871622522</c:v>
                </c:pt>
                <c:pt idx="12">
                  <c:v>29.218003915697977</c:v>
                </c:pt>
                <c:pt idx="13">
                  <c:v>35.980705190831372</c:v>
                </c:pt>
                <c:pt idx="14">
                  <c:v>44.3138722017109</c:v>
                </c:pt>
                <c:pt idx="15">
                  <c:v>54.583326291850803</c:v>
                </c:pt>
                <c:pt idx="16">
                  <c:v>67.240343503402343</c:v>
                </c:pt>
                <c:pt idx="17">
                  <c:v>82.841668179859667</c:v>
                </c:pt>
                <c:pt idx="18">
                  <c:v>102.07422482410162</c:v>
                </c:pt>
                <c:pt idx="19">
                  <c:v>125.78563349650449</c:v>
                </c:pt>
                <c:pt idx="20">
                  <c:v>155.02189456174526</c:v>
                </c:pt>
                <c:pt idx="21">
                  <c:v>157.50460833109042</c:v>
                </c:pt>
                <c:pt idx="22">
                  <c:v>172.3819432826981</c:v>
                </c:pt>
                <c:pt idx="23">
                  <c:v>187.22907852355672</c:v>
                </c:pt>
                <c:pt idx="24">
                  <c:v>202.04874721849876</c:v>
                </c:pt>
                <c:pt idx="25">
                  <c:v>216.84324838446653</c:v>
                </c:pt>
                <c:pt idx="26">
                  <c:v>178.15925645679496</c:v>
                </c:pt>
                <c:pt idx="27">
                  <c:v>197.11175981045631</c:v>
                </c:pt>
                <c:pt idx="28">
                  <c:v>216.02195727183445</c:v>
                </c:pt>
                <c:pt idx="29">
                  <c:v>234.89407374203219</c:v>
                </c:pt>
                <c:pt idx="30">
                  <c:v>253.73159916616927</c:v>
                </c:pt>
                <c:pt idx="31">
                  <c:v>218.48561623496576</c:v>
                </c:pt>
                <c:pt idx="32">
                  <c:v>240.63075098232832</c:v>
                </c:pt>
                <c:pt idx="33">
                  <c:v>262.72949581077319</c:v>
                </c:pt>
                <c:pt idx="34">
                  <c:v>284.78630028501999</c:v>
                </c:pt>
                <c:pt idx="35">
                  <c:v>306.80486817387487</c:v>
                </c:pt>
                <c:pt idx="36">
                  <c:v>272.53746265331614</c:v>
                </c:pt>
                <c:pt idx="37">
                  <c:v>295.39240127979423</c:v>
                </c:pt>
                <c:pt idx="38">
                  <c:v>318.20790325308366</c:v>
                </c:pt>
                <c:pt idx="39">
                  <c:v>340.98719215689346</c:v>
                </c:pt>
                <c:pt idx="40">
                  <c:v>363.73302579033674</c:v>
                </c:pt>
                <c:pt idx="41">
                  <c:v>330.00865771394569</c:v>
                </c:pt>
                <c:pt idx="42">
                  <c:v>353.17646115055004</c:v>
                </c:pt>
                <c:pt idx="43">
                  <c:v>376.31096940375278</c:v>
                </c:pt>
                <c:pt idx="44">
                  <c:v>399.41451566222281</c:v>
                </c:pt>
                <c:pt idx="45">
                  <c:v>422.48914130810203</c:v>
                </c:pt>
                <c:pt idx="46">
                  <c:v>388.06913980682026</c:v>
                </c:pt>
                <c:pt idx="47">
                  <c:v>410.34809118885124</c:v>
                </c:pt>
                <c:pt idx="48">
                  <c:v>432.60093655053015</c:v>
                </c:pt>
                <c:pt idx="49">
                  <c:v>454.82920658695599</c:v>
                </c:pt>
                <c:pt idx="50">
                  <c:v>477.03427027689918</c:v>
                </c:pt>
                <c:pt idx="51">
                  <c:v>441.09091679699787</c:v>
                </c:pt>
                <c:pt idx="52">
                  <c:v>461.69500792288198</c:v>
                </c:pt>
                <c:pt idx="53">
                  <c:v>482.27948576072555</c:v>
                </c:pt>
                <c:pt idx="54">
                  <c:v>502.84530459139</c:v>
                </c:pt>
                <c:pt idx="55">
                  <c:v>523.39333432879232</c:v>
                </c:pt>
                <c:pt idx="56">
                  <c:v>485.9100779318423</c:v>
                </c:pt>
                <c:pt idx="57">
                  <c:v>504.86059041346829</c:v>
                </c:pt>
                <c:pt idx="58">
                  <c:v>523.79606451981545</c:v>
                </c:pt>
                <c:pt idx="59">
                  <c:v>542.71712003460118</c:v>
                </c:pt>
                <c:pt idx="60">
                  <c:v>561.62433003260401</c:v>
                </c:pt>
                <c:pt idx="61">
                  <c:v>522.99059760658679</c:v>
                </c:pt>
                <c:pt idx="62">
                  <c:v>540.70490958838275</c:v>
                </c:pt>
                <c:pt idx="63">
                  <c:v>558.40703591428917</c:v>
                </c:pt>
                <c:pt idx="64">
                  <c:v>576.09741701420523</c:v>
                </c:pt>
                <c:pt idx="65">
                  <c:v>593.77646408241537</c:v>
                </c:pt>
                <c:pt idx="66">
                  <c:v>553.98262212955512</c:v>
                </c:pt>
                <c:pt idx="67">
                  <c:v>570.46990784967431</c:v>
                </c:pt>
                <c:pt idx="68">
                  <c:v>586.94724165778496</c:v>
                </c:pt>
                <c:pt idx="69">
                  <c:v>603.41494210376152</c:v>
                </c:pt>
                <c:pt idx="70">
                  <c:v>619.87330894420177</c:v>
                </c:pt>
                <c:pt idx="71">
                  <c:v>578.91074057866138</c:v>
                </c:pt>
                <c:pt idx="72">
                  <c:v>594.17813194616588</c:v>
                </c:pt>
                <c:pt idx="73">
                  <c:v>609.43736326756471</c:v>
                </c:pt>
                <c:pt idx="74">
                  <c:v>624.68866751882376</c:v>
                </c:pt>
                <c:pt idx="75">
                  <c:v>639.93226537936846</c:v>
                </c:pt>
                <c:pt idx="76">
                  <c:v>598.19450053799278</c:v>
                </c:pt>
                <c:pt idx="77">
                  <c:v>612.64881534392646</c:v>
                </c:pt>
                <c:pt idx="78">
                  <c:v>627.096058227002</c:v>
                </c:pt>
                <c:pt idx="79">
                  <c:v>641.53641497722708</c:v>
                </c:pt>
                <c:pt idx="80">
                  <c:v>655.97006234354421</c:v>
                </c:pt>
                <c:pt idx="81">
                  <c:v>613.45162372006337</c:v>
                </c:pt>
                <c:pt idx="82">
                  <c:v>627.096058227002</c:v>
                </c:pt>
                <c:pt idx="83">
                  <c:v>640.73435054600839</c:v>
                </c:pt>
                <c:pt idx="84">
                  <c:v>654.36664977103601</c:v>
                </c:pt>
                <c:pt idx="85">
                  <c:v>667.99309828075729</c:v>
                </c:pt>
                <c:pt idx="86">
                  <c:v>624.68866751882376</c:v>
                </c:pt>
                <c:pt idx="87">
                  <c:v>637.52588516971218</c:v>
                </c:pt>
                <c:pt idx="88">
                  <c:v>650.35776359167301</c:v>
                </c:pt>
                <c:pt idx="89">
                  <c:v>663.18442292667987</c:v>
                </c:pt>
                <c:pt idx="90">
                  <c:v>676.00597829271317</c:v>
                </c:pt>
                <c:pt idx="91">
                  <c:v>631.9102666949176</c:v>
                </c:pt>
                <c:pt idx="92">
                  <c:v>643.94248415395703</c:v>
                </c:pt>
                <c:pt idx="93">
                  <c:v>655.9700623435441</c:v>
                </c:pt>
                <c:pt idx="94">
                  <c:v>667.99309828075707</c:v>
                </c:pt>
                <c:pt idx="95">
                  <c:v>680.0116852070571</c:v>
                </c:pt>
                <c:pt idx="96">
                  <c:v>635.52042498678077</c:v>
                </c:pt>
                <c:pt idx="97">
                  <c:v>647.15028788033305</c:v>
                </c:pt>
                <c:pt idx="98">
                  <c:v>658.77584018643915</c:v>
                </c:pt>
                <c:pt idx="99">
                  <c:v>670.39716866716651</c:v>
                </c:pt>
                <c:pt idx="100">
                  <c:v>682.01435683249326</c:v>
                </c:pt>
                <c:pt idx="101">
                  <c:v>638.72909868554518</c:v>
                </c:pt>
                <c:pt idx="102">
                  <c:v>649.55592531392324</c:v>
                </c:pt>
                <c:pt idx="103">
                  <c:v>660.37903124850902</c:v>
                </c:pt>
                <c:pt idx="104">
                  <c:v>671.19848604447077</c:v>
                </c:pt>
                <c:pt idx="105">
                  <c:v>682.01435683249304</c:v>
                </c:pt>
                <c:pt idx="106">
                  <c:v>639.932265379368</c:v>
                </c:pt>
                <c:pt idx="107">
                  <c:v>649.95684700277104</c:v>
                </c:pt>
                <c:pt idx="108">
                  <c:v>659.97824100389539</c:v>
                </c:pt>
                <c:pt idx="109">
                  <c:v>669.99650259602015</c:v>
                </c:pt>
                <c:pt idx="110">
                  <c:v>680.01168520705698</c:v>
                </c:pt>
                <c:pt idx="111">
                  <c:v>639.1301594476264</c:v>
                </c:pt>
                <c:pt idx="112">
                  <c:v>648.35312961173247</c:v>
                </c:pt>
                <c:pt idx="113">
                  <c:v>657.57339417038975</c:v>
                </c:pt>
                <c:pt idx="114">
                  <c:v>666.790996402411</c:v>
                </c:pt>
                <c:pt idx="115">
                  <c:v>676.00597829271317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5" zoomScale="90" zoomScaleNormal="90" workbookViewId="0">
      <selection activeCell="F123" sqref="F1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2.29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81</v>
      </c>
      <c r="C9" s="35">
        <v>0.18049999999999999</v>
      </c>
      <c r="D9" s="36">
        <f t="shared" ref="D9:D18" si="0">C9*$C$5</f>
        <v>0.41334500000000002</v>
      </c>
      <c r="E9" s="37">
        <v>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0.18049999999999999</v>
      </c>
      <c r="D10" s="36">
        <f t="shared" si="0"/>
        <v>0.41334500000000002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8</v>
      </c>
      <c r="C11" s="35">
        <v>0.18049999999999999</v>
      </c>
      <c r="D11" s="36">
        <f t="shared" si="0"/>
        <v>0.41334500000000002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18</v>
      </c>
      <c r="C12" s="35">
        <v>8.5900000000000004E-2</v>
      </c>
      <c r="D12" s="36">
        <f t="shared" si="0"/>
        <v>0.19671100000000002</v>
      </c>
      <c r="E12" s="37">
        <v>54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44</v>
      </c>
      <c r="C13" s="35">
        <v>8.5900000000000004E-2</v>
      </c>
      <c r="D13" s="36">
        <f t="shared" si="0"/>
        <v>0.19671100000000002</v>
      </c>
      <c r="E13" s="37">
        <v>45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23</v>
      </c>
      <c r="C14" s="35">
        <v>8.5900000000000004E-2</v>
      </c>
      <c r="D14" s="36">
        <f t="shared" si="0"/>
        <v>0.19671100000000002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14</v>
      </c>
      <c r="C15" s="35">
        <v>8.6099999999999996E-2</v>
      </c>
      <c r="D15" s="36">
        <f t="shared" si="0"/>
        <v>0.19716899999999998</v>
      </c>
      <c r="E15" s="37">
        <v>115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</v>
      </c>
      <c r="C16" s="35">
        <v>2.87E-2</v>
      </c>
      <c r="D16" s="36">
        <f t="shared" si="0"/>
        <v>6.5723000000000004E-2</v>
      </c>
      <c r="E16" s="37">
        <v>115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6</v>
      </c>
      <c r="C17" s="35">
        <v>8.5999999999999993E-2</v>
      </c>
      <c r="D17" s="36">
        <f t="shared" si="0"/>
        <v>0.19693999999999998</v>
      </c>
      <c r="E17" s="37">
        <v>115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0.99999999999999978</v>
      </c>
      <c r="D19" s="41">
        <f>SUM(D9:D18)</f>
        <v>2.2900000000000005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Mélèze hybride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10</v>
      </c>
      <c r="B36" s="63">
        <v>34</v>
      </c>
      <c r="C36" s="63">
        <v>1</v>
      </c>
      <c r="D36" s="63">
        <v>5</v>
      </c>
      <c r="E36" s="54"/>
      <c r="F36" s="54"/>
      <c r="G36" s="54">
        <v>1</v>
      </c>
      <c r="H36" s="54"/>
      <c r="I36" s="52">
        <f>IFERROR(B36/A36,"")</f>
        <v>3.4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15</v>
      </c>
      <c r="B37" s="63">
        <v>85</v>
      </c>
      <c r="C37" s="63">
        <v>2</v>
      </c>
      <c r="D37" s="63">
        <v>21</v>
      </c>
      <c r="E37" s="54"/>
      <c r="F37" s="54"/>
      <c r="G37" s="54">
        <v>1</v>
      </c>
      <c r="H37" s="54"/>
      <c r="I37" s="56">
        <f t="shared" ref="I37:I55" si="1">IF(A37&lt;&gt;0,(B37-(B36-D36))/(A37-A36),"")</f>
        <v>11.2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20</v>
      </c>
      <c r="B38" s="63">
        <v>122</v>
      </c>
      <c r="C38" s="63">
        <v>3</v>
      </c>
      <c r="D38" s="63">
        <v>24</v>
      </c>
      <c r="E38" s="54"/>
      <c r="F38" s="54"/>
      <c r="G38" s="54">
        <v>1</v>
      </c>
      <c r="H38" s="54"/>
      <c r="I38" s="56">
        <f t="shared" si="1"/>
        <v>11.6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25</v>
      </c>
      <c r="B39" s="63">
        <v>151</v>
      </c>
      <c r="C39" s="63">
        <v>4</v>
      </c>
      <c r="D39" s="63">
        <v>22</v>
      </c>
      <c r="E39" s="54"/>
      <c r="F39" s="54">
        <v>0.5</v>
      </c>
      <c r="G39" s="54">
        <v>0.5</v>
      </c>
      <c r="H39" s="54"/>
      <c r="I39" s="52">
        <f t="shared" si="1"/>
        <v>10.6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30</v>
      </c>
      <c r="B40" s="63">
        <v>171</v>
      </c>
      <c r="C40" s="63">
        <v>5</v>
      </c>
      <c r="D40" s="63">
        <v>19</v>
      </c>
      <c r="E40" s="54"/>
      <c r="F40" s="54">
        <v>0.5</v>
      </c>
      <c r="G40" s="54">
        <v>0.5</v>
      </c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35</v>
      </c>
      <c r="B41" s="63">
        <v>185</v>
      </c>
      <c r="C41" s="63">
        <v>6</v>
      </c>
      <c r="D41" s="63">
        <v>15</v>
      </c>
      <c r="E41" s="54"/>
      <c r="F41" s="54"/>
      <c r="G41" s="54"/>
      <c r="H41" s="54"/>
      <c r="I41" s="56">
        <f t="shared" si="1"/>
        <v>6.6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40</v>
      </c>
      <c r="B42" s="63">
        <v>194</v>
      </c>
      <c r="C42" s="63">
        <v>7</v>
      </c>
      <c r="D42" s="63">
        <v>11</v>
      </c>
      <c r="E42" s="54"/>
      <c r="F42" s="54"/>
      <c r="G42" s="54"/>
      <c r="H42" s="54"/>
      <c r="I42" s="56">
        <f t="shared" si="1"/>
        <v>4.8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45</v>
      </c>
      <c r="B43" s="63">
        <v>200</v>
      </c>
      <c r="C43" s="63">
        <v>8</v>
      </c>
      <c r="D43" s="63">
        <v>8</v>
      </c>
      <c r="E43" s="54"/>
      <c r="F43" s="54"/>
      <c r="G43" s="54"/>
      <c r="H43" s="54"/>
      <c r="I43" s="52">
        <f t="shared" si="1"/>
        <v>3.4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50</v>
      </c>
      <c r="B44" s="63">
        <v>205</v>
      </c>
      <c r="C44" s="63">
        <v>9</v>
      </c>
      <c r="D44" s="63">
        <v>205</v>
      </c>
      <c r="E44" s="54"/>
      <c r="F44" s="54"/>
      <c r="G44" s="54"/>
      <c r="H44" s="54"/>
      <c r="I44" s="52">
        <f t="shared" si="1"/>
        <v>2.6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132</v>
      </c>
      <c r="C62" s="63">
        <v>1</v>
      </c>
      <c r="D62" s="63">
        <v>50</v>
      </c>
      <c r="E62" s="54"/>
      <c r="F62" s="54"/>
      <c r="G62" s="54"/>
      <c r="H62" s="54">
        <v>1</v>
      </c>
      <c r="I62" s="56">
        <f>IFERROR(B62/A62,"")</f>
        <v>6.6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143</v>
      </c>
      <c r="C63" s="63">
        <v>2</v>
      </c>
      <c r="D63" s="63">
        <v>37</v>
      </c>
      <c r="E63" s="54"/>
      <c r="F63" s="54">
        <v>0.5</v>
      </c>
      <c r="G63" s="54">
        <v>0.5</v>
      </c>
      <c r="H63" s="54"/>
      <c r="I63" s="52">
        <f>IF(A63&lt;&gt;0,(B63-(B62-D62))/(A63-A62),"")</f>
        <v>12.2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163</v>
      </c>
      <c r="C64" s="63">
        <v>3</v>
      </c>
      <c r="D64" s="63">
        <v>37</v>
      </c>
      <c r="E64" s="54"/>
      <c r="F64" s="54">
        <v>0.6</v>
      </c>
      <c r="G64" s="54">
        <v>0.4</v>
      </c>
      <c r="H64" s="54"/>
      <c r="I64" s="52">
        <f>IF(A64&lt;&gt;0,(B64-(B63-D63))/(A64-A63),"")</f>
        <v>11.4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179</v>
      </c>
      <c r="C65" s="63">
        <v>4</v>
      </c>
      <c r="D65" s="63">
        <v>36</v>
      </c>
      <c r="E65" s="54"/>
      <c r="F65" s="54"/>
      <c r="G65" s="54"/>
      <c r="H65" s="54"/>
      <c r="I65" s="52">
        <f>IF(A65&lt;&gt;0,(B65-(B64-D64))/(A65-A64),"")</f>
        <v>10.6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191</v>
      </c>
      <c r="C66" s="63">
        <v>5</v>
      </c>
      <c r="D66" s="63">
        <v>33</v>
      </c>
      <c r="E66" s="54"/>
      <c r="F66" s="54"/>
      <c r="G66" s="54"/>
      <c r="H66" s="54"/>
      <c r="I66" s="52">
        <f t="shared" ref="I66:I81" si="2">IF(A66&lt;&gt;0,(B66-(B65-D65))/(A66-A65),"")</f>
        <v>9.6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201</v>
      </c>
      <c r="C67" s="63">
        <v>6</v>
      </c>
      <c r="D67" s="63">
        <v>31</v>
      </c>
      <c r="E67" s="54"/>
      <c r="F67" s="54"/>
      <c r="G67" s="54"/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209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215</v>
      </c>
      <c r="C69" s="53">
        <v>8</v>
      </c>
      <c r="D69" s="53">
        <v>25</v>
      </c>
      <c r="E69" s="54"/>
      <c r="F69" s="54"/>
      <c r="G69" s="54"/>
      <c r="H69" s="54"/>
      <c r="I69" s="52">
        <f t="shared" si="2"/>
        <v>6.8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220</v>
      </c>
      <c r="C70" s="53">
        <v>9</v>
      </c>
      <c r="D70" s="53">
        <v>22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224</v>
      </c>
      <c r="C71" s="53">
        <v>10</v>
      </c>
      <c r="D71" s="53">
        <v>20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227</v>
      </c>
      <c r="C72" s="53">
        <v>11</v>
      </c>
      <c r="D72" s="53">
        <v>17</v>
      </c>
      <c r="E72" s="54"/>
      <c r="F72" s="54"/>
      <c r="G72" s="54"/>
      <c r="H72" s="54"/>
      <c r="I72" s="52">
        <f t="shared" si="2"/>
        <v>4.5999999999999996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230</v>
      </c>
      <c r="C73" s="53">
        <v>12</v>
      </c>
      <c r="D73" s="53">
        <v>15</v>
      </c>
      <c r="E73" s="54"/>
      <c r="F73" s="54"/>
      <c r="G73" s="54"/>
      <c r="H73" s="54"/>
      <c r="I73" s="52">
        <f t="shared" si="2"/>
        <v>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233</v>
      </c>
      <c r="C74" s="53">
        <v>13</v>
      </c>
      <c r="D74" s="53">
        <v>13</v>
      </c>
      <c r="E74" s="54"/>
      <c r="F74" s="54"/>
      <c r="G74" s="54"/>
      <c r="H74" s="54"/>
      <c r="I74" s="52">
        <f t="shared" si="2"/>
        <v>3.6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235</v>
      </c>
      <c r="C75" s="53">
        <v>14</v>
      </c>
      <c r="D75" s="53">
        <v>12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236</v>
      </c>
      <c r="C76" s="53">
        <v>15</v>
      </c>
      <c r="D76" s="53">
        <v>236</v>
      </c>
      <c r="E76" s="54"/>
      <c r="F76" s="54"/>
      <c r="G76" s="54"/>
      <c r="H76" s="54"/>
      <c r="I76" s="52">
        <f t="shared" si="2"/>
        <v>2.6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Châtaignier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3">
        <v>19</v>
      </c>
      <c r="C88" s="63">
        <v>1</v>
      </c>
      <c r="D88" s="63">
        <v>7</v>
      </c>
      <c r="E88" s="54"/>
      <c r="F88" s="54"/>
      <c r="G88" s="54"/>
      <c r="H88" s="54">
        <v>1</v>
      </c>
      <c r="I88" s="56">
        <f>IFERROR(B88/A88,"")</f>
        <v>1.9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15</v>
      </c>
      <c r="B89" s="63">
        <v>84</v>
      </c>
      <c r="C89" s="63">
        <v>2</v>
      </c>
      <c r="D89" s="63">
        <v>42</v>
      </c>
      <c r="E89" s="54"/>
      <c r="F89" s="54"/>
      <c r="G89" s="54"/>
      <c r="H89" s="54">
        <v>1</v>
      </c>
      <c r="I89" s="56">
        <f t="shared" ref="I89:I107" si="3">IF(A89&lt;&gt;0,(B89-(B88-D88))/(A89-A88),"")</f>
        <v>14.4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20</v>
      </c>
      <c r="B90" s="63">
        <v>123</v>
      </c>
      <c r="C90" s="63">
        <v>3</v>
      </c>
      <c r="D90" s="63">
        <v>42</v>
      </c>
      <c r="E90" s="54">
        <v>0.2</v>
      </c>
      <c r="F90" s="54"/>
      <c r="G90" s="54"/>
      <c r="H90" s="54">
        <v>0.8</v>
      </c>
      <c r="I90" s="56">
        <f t="shared" si="3"/>
        <v>16.2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25</v>
      </c>
      <c r="B91" s="63">
        <v>165</v>
      </c>
      <c r="C91" s="63">
        <v>4</v>
      </c>
      <c r="D91" s="63">
        <v>42</v>
      </c>
      <c r="E91" s="54">
        <v>0.8</v>
      </c>
      <c r="F91" s="54"/>
      <c r="G91" s="54"/>
      <c r="H91" s="54">
        <v>0.2</v>
      </c>
      <c r="I91" s="56">
        <f t="shared" si="3"/>
        <v>16.8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3">
        <v>205</v>
      </c>
      <c r="C92" s="63">
        <v>5</v>
      </c>
      <c r="D92" s="63">
        <v>42</v>
      </c>
      <c r="E92" s="54">
        <v>0.8</v>
      </c>
      <c r="F92" s="54"/>
      <c r="G92" s="54"/>
      <c r="H92" s="54">
        <v>0.2</v>
      </c>
      <c r="I92" s="56">
        <f t="shared" si="3"/>
        <v>16.399999999999999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35</v>
      </c>
      <c r="B93" s="63">
        <v>239</v>
      </c>
      <c r="C93" s="63">
        <v>6</v>
      </c>
      <c r="D93" s="63">
        <v>42</v>
      </c>
      <c r="E93" s="54"/>
      <c r="F93" s="54"/>
      <c r="G93" s="54"/>
      <c r="H93" s="54"/>
      <c r="I93" s="56">
        <f t="shared" si="3"/>
        <v>15.2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40</v>
      </c>
      <c r="B94" s="63">
        <v>263</v>
      </c>
      <c r="C94" s="63">
        <v>7</v>
      </c>
      <c r="D94" s="63">
        <v>40</v>
      </c>
      <c r="E94" s="93"/>
      <c r="F94" s="93"/>
      <c r="G94" s="93"/>
      <c r="H94" s="93"/>
      <c r="I94" s="56">
        <f t="shared" si="3"/>
        <v>13.2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45</v>
      </c>
      <c r="B95" s="63">
        <v>280</v>
      </c>
      <c r="C95" s="63">
        <v>8</v>
      </c>
      <c r="D95" s="63">
        <v>26</v>
      </c>
      <c r="E95" s="93"/>
      <c r="F95" s="93"/>
      <c r="G95" s="93"/>
      <c r="H95" s="93"/>
      <c r="I95" s="56">
        <f t="shared" si="3"/>
        <v>11.4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50</v>
      </c>
      <c r="B96" s="63">
        <v>303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9.8000000000000007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55</v>
      </c>
      <c r="B97" s="63">
        <v>324</v>
      </c>
      <c r="C97" s="63">
        <v>10</v>
      </c>
      <c r="D97" s="63">
        <v>18</v>
      </c>
      <c r="E97" s="93"/>
      <c r="F97" s="93"/>
      <c r="G97" s="93"/>
      <c r="H97" s="93"/>
      <c r="I97" s="56">
        <f t="shared" si="3"/>
        <v>8.4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60</v>
      </c>
      <c r="B98" s="63">
        <v>343</v>
      </c>
      <c r="C98" s="63">
        <v>11</v>
      </c>
      <c r="D98" s="63">
        <v>17</v>
      </c>
      <c r="E98" s="93"/>
      <c r="F98" s="93"/>
      <c r="G98" s="93"/>
      <c r="H98" s="93"/>
      <c r="I98" s="56">
        <f t="shared" si="3"/>
        <v>7.4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65</v>
      </c>
      <c r="B99" s="63">
        <v>356</v>
      </c>
      <c r="C99" s="63">
        <v>12</v>
      </c>
      <c r="D99" s="63">
        <v>16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70</v>
      </c>
      <c r="B100" s="63">
        <v>366</v>
      </c>
      <c r="C100" s="63">
        <v>13</v>
      </c>
      <c r="D100" s="63">
        <v>15</v>
      </c>
      <c r="E100" s="68"/>
      <c r="F100" s="68"/>
      <c r="G100" s="68"/>
      <c r="H100" s="68"/>
      <c r="I100" s="56">
        <f t="shared" si="3"/>
        <v>5.2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75</v>
      </c>
      <c r="B101" s="63">
        <v>375</v>
      </c>
      <c r="C101" s="63">
        <v>14</v>
      </c>
      <c r="D101" s="63">
        <v>14</v>
      </c>
      <c r="E101" s="68"/>
      <c r="F101" s="68"/>
      <c r="G101" s="68"/>
      <c r="H101" s="68"/>
      <c r="I101" s="56">
        <f t="shared" si="3"/>
        <v>4.8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80</v>
      </c>
      <c r="B102" s="53">
        <v>382</v>
      </c>
      <c r="C102" s="63">
        <v>15</v>
      </c>
      <c r="D102" s="53">
        <v>382</v>
      </c>
      <c r="E102" s="57"/>
      <c r="F102" s="57"/>
      <c r="G102" s="57"/>
      <c r="H102" s="57"/>
      <c r="I102" s="56">
        <f t="shared" si="3"/>
        <v>4.2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Douglas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17</v>
      </c>
      <c r="B114" s="63">
        <v>172.78</v>
      </c>
      <c r="C114" s="63">
        <v>1</v>
      </c>
      <c r="D114" s="63">
        <v>0</v>
      </c>
      <c r="E114" s="54"/>
      <c r="F114" s="54"/>
      <c r="G114" s="54"/>
      <c r="H114" s="54"/>
      <c r="I114" s="56">
        <f>IFERROR(B114/A114,"")</f>
        <v>10.163529411764706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18</v>
      </c>
      <c r="B115" s="63">
        <v>202.31</v>
      </c>
      <c r="C115" s="63">
        <v>2</v>
      </c>
      <c r="D115" s="63">
        <v>74.819999999999993</v>
      </c>
      <c r="E115" s="54">
        <v>0.1</v>
      </c>
      <c r="F115" s="54">
        <v>0.4</v>
      </c>
      <c r="G115" s="54">
        <v>0.5</v>
      </c>
      <c r="H115" s="54">
        <v>0</v>
      </c>
      <c r="I115" s="56">
        <f t="shared" ref="I115:I133" si="4">IF(A115&lt;&gt;0,(B115-(B114-D114))/(A115-A114),"")</f>
        <v>29.53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19</v>
      </c>
      <c r="B116" s="63">
        <v>150.35</v>
      </c>
      <c r="C116" s="63">
        <v>3</v>
      </c>
      <c r="D116" s="63">
        <v>0</v>
      </c>
      <c r="E116" s="93"/>
      <c r="F116" s="93"/>
      <c r="G116" s="93"/>
      <c r="H116" s="93"/>
      <c r="I116" s="56">
        <f t="shared" si="4"/>
        <v>22.859999999999985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23</v>
      </c>
      <c r="B117" s="63">
        <v>258.74</v>
      </c>
      <c r="C117" s="63">
        <v>4</v>
      </c>
      <c r="D117" s="63">
        <v>0</v>
      </c>
      <c r="E117" s="54"/>
      <c r="F117" s="54"/>
      <c r="G117" s="54"/>
      <c r="H117" s="54"/>
      <c r="I117" s="56">
        <f t="shared" si="4"/>
        <v>27.097500000000004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24</v>
      </c>
      <c r="B118" s="63">
        <v>289.08999999999997</v>
      </c>
      <c r="C118" s="63">
        <v>5</v>
      </c>
      <c r="D118" s="53">
        <v>51.39</v>
      </c>
      <c r="E118" s="54">
        <v>0.4</v>
      </c>
      <c r="F118" s="54">
        <v>0.3</v>
      </c>
      <c r="G118" s="54">
        <v>0.3</v>
      </c>
      <c r="H118" s="54">
        <v>0</v>
      </c>
      <c r="I118" s="56">
        <f t="shared" si="4"/>
        <v>30.349999999999966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26</v>
      </c>
      <c r="B119" s="53">
        <v>292.8</v>
      </c>
      <c r="C119" s="63">
        <v>6</v>
      </c>
      <c r="D119" s="53">
        <v>0</v>
      </c>
      <c r="E119" s="54"/>
      <c r="F119" s="54"/>
      <c r="G119" s="54"/>
      <c r="H119" s="54"/>
      <c r="I119" s="56">
        <f t="shared" si="4"/>
        <v>27.550000000000011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28</v>
      </c>
      <c r="B120" s="53">
        <v>350.06</v>
      </c>
      <c r="C120" s="63">
        <v>7</v>
      </c>
      <c r="D120" s="53">
        <v>0</v>
      </c>
      <c r="E120" s="93"/>
      <c r="F120" s="93"/>
      <c r="G120" s="93"/>
      <c r="H120" s="93"/>
      <c r="I120" s="56">
        <f t="shared" si="4"/>
        <v>28.629999999999995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30</v>
      </c>
      <c r="B121" s="53">
        <v>410.56</v>
      </c>
      <c r="C121" s="63">
        <v>8</v>
      </c>
      <c r="D121" s="53">
        <v>80.97</v>
      </c>
      <c r="E121" s="93"/>
      <c r="F121" s="93"/>
      <c r="G121" s="93"/>
      <c r="H121" s="93"/>
      <c r="I121" s="56">
        <f t="shared" si="4"/>
        <v>30.25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32</v>
      </c>
      <c r="B122" s="53">
        <v>384.47</v>
      </c>
      <c r="C122" s="63">
        <v>9</v>
      </c>
      <c r="D122" s="53">
        <v>0</v>
      </c>
      <c r="E122" s="93"/>
      <c r="F122" s="93"/>
      <c r="G122" s="93"/>
      <c r="H122" s="93"/>
      <c r="I122" s="56">
        <f t="shared" si="4"/>
        <v>27.439999999999998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34</v>
      </c>
      <c r="B123" s="53">
        <v>441.87</v>
      </c>
      <c r="C123" s="63">
        <v>10</v>
      </c>
      <c r="D123" s="53">
        <v>0</v>
      </c>
      <c r="E123" s="93"/>
      <c r="F123" s="93"/>
      <c r="G123" s="93"/>
      <c r="H123" s="93"/>
      <c r="I123" s="56">
        <f t="shared" si="4"/>
        <v>28.699999999999989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36</v>
      </c>
      <c r="B124" s="53">
        <v>501.41</v>
      </c>
      <c r="C124" s="63">
        <v>11</v>
      </c>
      <c r="D124" s="53">
        <v>85.88</v>
      </c>
      <c r="E124" s="93"/>
      <c r="F124" s="93"/>
      <c r="G124" s="93"/>
      <c r="H124" s="93"/>
      <c r="I124" s="56">
        <f t="shared" si="4"/>
        <v>29.77000000000001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38</v>
      </c>
      <c r="B125" s="53">
        <v>470</v>
      </c>
      <c r="C125" s="63">
        <v>12</v>
      </c>
      <c r="D125" s="53">
        <v>0</v>
      </c>
      <c r="E125" s="93"/>
      <c r="F125" s="93"/>
      <c r="G125" s="93"/>
      <c r="H125" s="93"/>
      <c r="I125" s="56">
        <f t="shared" si="4"/>
        <v>27.234999999999985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40</v>
      </c>
      <c r="B126" s="53">
        <v>526.19000000000005</v>
      </c>
      <c r="C126" s="63">
        <v>13</v>
      </c>
      <c r="D126" s="53">
        <v>0</v>
      </c>
      <c r="E126" s="68"/>
      <c r="F126" s="68"/>
      <c r="G126" s="68"/>
      <c r="H126" s="68"/>
      <c r="I126" s="56">
        <f t="shared" si="4"/>
        <v>28.095000000000027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42</v>
      </c>
      <c r="B127" s="53">
        <v>583.89</v>
      </c>
      <c r="C127" s="63">
        <v>14</v>
      </c>
      <c r="D127" s="53">
        <v>91.25</v>
      </c>
      <c r="E127" s="68"/>
      <c r="F127" s="68"/>
      <c r="G127" s="68"/>
      <c r="H127" s="68"/>
      <c r="I127" s="56">
        <f t="shared" si="4"/>
        <v>28.849999999999966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44</v>
      </c>
      <c r="B128" s="53">
        <v>545.63</v>
      </c>
      <c r="C128" s="63">
        <v>15</v>
      </c>
      <c r="D128" s="53">
        <v>0</v>
      </c>
      <c r="E128" s="57"/>
      <c r="F128" s="57"/>
      <c r="G128" s="57"/>
      <c r="H128" s="57"/>
      <c r="I128" s="56">
        <f t="shared" si="4"/>
        <v>26.495000000000005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46</v>
      </c>
      <c r="B129" s="53">
        <v>599.79999999999995</v>
      </c>
      <c r="C129" s="63">
        <v>16</v>
      </c>
      <c r="D129" s="53">
        <v>0</v>
      </c>
      <c r="E129" s="57"/>
      <c r="F129" s="57"/>
      <c r="G129" s="57"/>
      <c r="H129" s="57"/>
      <c r="I129" s="56">
        <f t="shared" si="4"/>
        <v>27.08499999999998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48</v>
      </c>
      <c r="B130" s="53">
        <v>655.04999999999995</v>
      </c>
      <c r="C130" s="63">
        <v>17</v>
      </c>
      <c r="D130" s="53">
        <v>101.34</v>
      </c>
      <c r="E130" s="57"/>
      <c r="F130" s="57"/>
      <c r="G130" s="57"/>
      <c r="H130" s="57"/>
      <c r="I130" s="56">
        <f t="shared" si="4"/>
        <v>27.625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50</v>
      </c>
      <c r="B131" s="53">
        <v>604.12</v>
      </c>
      <c r="C131" s="63">
        <v>18</v>
      </c>
      <c r="D131" s="53">
        <v>0</v>
      </c>
      <c r="E131" s="57"/>
      <c r="F131" s="57"/>
      <c r="G131" s="57"/>
      <c r="H131" s="57"/>
      <c r="I131" s="56">
        <f t="shared" si="4"/>
        <v>25.205000000000041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52</v>
      </c>
      <c r="B132" s="53">
        <v>655.56</v>
      </c>
      <c r="C132" s="63">
        <v>19</v>
      </c>
      <c r="D132" s="53">
        <v>0</v>
      </c>
      <c r="E132" s="57"/>
      <c r="F132" s="57"/>
      <c r="G132" s="57"/>
      <c r="H132" s="57"/>
      <c r="I132" s="56">
        <f t="shared" si="4"/>
        <v>25.71999999999997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54</v>
      </c>
      <c r="B133" s="53">
        <v>707.75</v>
      </c>
      <c r="C133" s="63">
        <v>20</v>
      </c>
      <c r="D133" s="53">
        <v>707.75</v>
      </c>
      <c r="E133" s="57"/>
      <c r="F133" s="57"/>
      <c r="G133" s="57"/>
      <c r="H133" s="57"/>
      <c r="I133" s="56">
        <f t="shared" si="4"/>
        <v>26.095000000000027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Robinier faux-acacia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5</v>
      </c>
      <c r="B140" s="63">
        <v>22</v>
      </c>
      <c r="C140" s="53">
        <v>1</v>
      </c>
      <c r="D140" s="63">
        <v>2</v>
      </c>
      <c r="E140" s="54"/>
      <c r="F140" s="54"/>
      <c r="G140" s="54"/>
      <c r="H140" s="54">
        <v>1</v>
      </c>
      <c r="I140" s="60">
        <f>IFERROR(B140/A140,"")</f>
        <v>4.4000000000000004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10</v>
      </c>
      <c r="B141" s="63">
        <v>62</v>
      </c>
      <c r="C141" s="53">
        <v>2</v>
      </c>
      <c r="D141" s="63">
        <v>15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8.4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15</v>
      </c>
      <c r="B142" s="63">
        <v>89</v>
      </c>
      <c r="C142" s="53">
        <v>3</v>
      </c>
      <c r="D142" s="63">
        <v>13</v>
      </c>
      <c r="E142" s="54">
        <v>0.2</v>
      </c>
      <c r="F142" s="54"/>
      <c r="G142" s="54"/>
      <c r="H142" s="54">
        <v>0.8</v>
      </c>
      <c r="I142" s="60">
        <f t="shared" si="5"/>
        <v>8.4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20</v>
      </c>
      <c r="B143" s="63">
        <v>114</v>
      </c>
      <c r="C143" s="53">
        <v>4</v>
      </c>
      <c r="D143" s="63">
        <v>10</v>
      </c>
      <c r="E143" s="54">
        <v>0.8</v>
      </c>
      <c r="F143" s="54"/>
      <c r="G143" s="54"/>
      <c r="H143" s="54">
        <v>0.2</v>
      </c>
      <c r="I143" s="60">
        <f t="shared" si="5"/>
        <v>7.6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25</v>
      </c>
      <c r="B144" s="63">
        <v>136</v>
      </c>
      <c r="C144" s="53">
        <v>5</v>
      </c>
      <c r="D144" s="63">
        <v>8</v>
      </c>
      <c r="E144" s="54">
        <v>0.8</v>
      </c>
      <c r="F144" s="54"/>
      <c r="G144" s="54"/>
      <c r="H144" s="54">
        <v>0.2</v>
      </c>
      <c r="I144" s="60">
        <f t="shared" si="5"/>
        <v>6.4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30</v>
      </c>
      <c r="B145" s="63">
        <v>154</v>
      </c>
      <c r="C145" s="53">
        <v>6</v>
      </c>
      <c r="D145" s="63">
        <v>6</v>
      </c>
      <c r="E145" s="54">
        <v>0.9</v>
      </c>
      <c r="F145" s="54"/>
      <c r="G145" s="54"/>
      <c r="H145" s="54">
        <v>0.1</v>
      </c>
      <c r="I145" s="60">
        <f t="shared" si="5"/>
        <v>5.2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35</v>
      </c>
      <c r="B146" s="63">
        <v>169</v>
      </c>
      <c r="C146" s="53">
        <v>7</v>
      </c>
      <c r="D146" s="63">
        <v>5</v>
      </c>
      <c r="E146" s="54"/>
      <c r="F146" s="54"/>
      <c r="G146" s="54"/>
      <c r="H146" s="54"/>
      <c r="I146" s="60">
        <f t="shared" si="5"/>
        <v>4.2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40</v>
      </c>
      <c r="B147" s="63">
        <v>183</v>
      </c>
      <c r="C147" s="53">
        <v>8</v>
      </c>
      <c r="D147" s="63">
        <v>4</v>
      </c>
      <c r="E147" s="54"/>
      <c r="F147" s="54"/>
      <c r="G147" s="54"/>
      <c r="H147" s="54"/>
      <c r="I147" s="60">
        <f>IF(A147&lt;&gt;0,(B147-(B146-D146))/(A147-A146),"")</f>
        <v>3.8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45</v>
      </c>
      <c r="B148" s="63">
        <v>198</v>
      </c>
      <c r="C148" s="53">
        <v>9</v>
      </c>
      <c r="D148" s="63">
        <v>198</v>
      </c>
      <c r="E148" s="54"/>
      <c r="F148" s="54"/>
      <c r="G148" s="54"/>
      <c r="H148" s="54"/>
      <c r="I148" s="60">
        <f t="shared" si="5"/>
        <v>3.8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Erable sycomore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3">
        <v>37</v>
      </c>
      <c r="C166" s="63">
        <v>1</v>
      </c>
      <c r="D166" s="63">
        <v>15</v>
      </c>
      <c r="E166" s="54"/>
      <c r="F166" s="54"/>
      <c r="G166" s="54"/>
      <c r="H166" s="54">
        <v>1</v>
      </c>
      <c r="I166" s="52">
        <f>IFERROR(B166/A166,"")</f>
        <v>2.4666666666666668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3">
        <v>80</v>
      </c>
      <c r="C167" s="63">
        <v>2</v>
      </c>
      <c r="D167" s="63">
        <v>28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11.6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3">
        <v>115</v>
      </c>
      <c r="C168" s="63">
        <v>3</v>
      </c>
      <c r="D168" s="63">
        <v>28</v>
      </c>
      <c r="E168" s="54"/>
      <c r="F168" s="54"/>
      <c r="G168" s="54"/>
      <c r="H168" s="54">
        <v>1</v>
      </c>
      <c r="I168" s="52">
        <f t="shared" si="6"/>
        <v>12.6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3">
        <v>147</v>
      </c>
      <c r="C169" s="63">
        <v>4</v>
      </c>
      <c r="D169" s="63">
        <v>28</v>
      </c>
      <c r="E169" s="54"/>
      <c r="F169" s="54"/>
      <c r="G169" s="54"/>
      <c r="H169" s="54">
        <v>1</v>
      </c>
      <c r="I169" s="52">
        <f t="shared" si="6"/>
        <v>12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35</v>
      </c>
      <c r="B170" s="63">
        <v>173</v>
      </c>
      <c r="C170" s="63">
        <v>5</v>
      </c>
      <c r="D170" s="63">
        <v>28</v>
      </c>
      <c r="E170" s="54"/>
      <c r="F170" s="54"/>
      <c r="G170" s="54"/>
      <c r="H170" s="54"/>
      <c r="I170" s="52">
        <f t="shared" si="6"/>
        <v>10.8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40</v>
      </c>
      <c r="B171" s="63">
        <v>192</v>
      </c>
      <c r="C171" s="63">
        <v>6</v>
      </c>
      <c r="D171" s="63">
        <v>28</v>
      </c>
      <c r="E171" s="54"/>
      <c r="F171" s="54"/>
      <c r="G171" s="54"/>
      <c r="H171" s="54"/>
      <c r="I171" s="52">
        <f t="shared" si="6"/>
        <v>9.4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45</v>
      </c>
      <c r="B172" s="63">
        <v>205</v>
      </c>
      <c r="C172" s="63">
        <v>7</v>
      </c>
      <c r="D172" s="63">
        <v>22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50</v>
      </c>
      <c r="B173" s="53">
        <v>218</v>
      </c>
      <c r="C173" s="63">
        <v>8</v>
      </c>
      <c r="D173" s="53">
        <v>17</v>
      </c>
      <c r="E173" s="54"/>
      <c r="F173" s="54"/>
      <c r="G173" s="54"/>
      <c r="H173" s="54"/>
      <c r="I173" s="52">
        <f t="shared" si="6"/>
        <v>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55</v>
      </c>
      <c r="B174" s="53">
        <v>232</v>
      </c>
      <c r="C174" s="63">
        <v>9</v>
      </c>
      <c r="D174" s="53">
        <v>13</v>
      </c>
      <c r="E174" s="54"/>
      <c r="F174" s="54"/>
      <c r="G174" s="54"/>
      <c r="H174" s="54"/>
      <c r="I174" s="52">
        <f t="shared" si="6"/>
        <v>6.2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60</v>
      </c>
      <c r="B175" s="53">
        <v>245</v>
      </c>
      <c r="C175" s="63">
        <v>10</v>
      </c>
      <c r="D175" s="53">
        <v>12</v>
      </c>
      <c r="E175" s="54"/>
      <c r="F175" s="54"/>
      <c r="G175" s="54"/>
      <c r="H175" s="54"/>
      <c r="I175" s="52">
        <f t="shared" si="6"/>
        <v>5.2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65</v>
      </c>
      <c r="B176" s="53">
        <v>254</v>
      </c>
      <c r="C176" s="63">
        <v>11</v>
      </c>
      <c r="D176" s="53">
        <v>11</v>
      </c>
      <c r="E176" s="54"/>
      <c r="F176" s="54"/>
      <c r="G176" s="54"/>
      <c r="H176" s="54"/>
      <c r="I176" s="52">
        <f t="shared" si="6"/>
        <v>4.2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70</v>
      </c>
      <c r="B177" s="53">
        <v>262</v>
      </c>
      <c r="C177" s="63">
        <v>12</v>
      </c>
      <c r="D177" s="53">
        <v>10</v>
      </c>
      <c r="E177" s="54"/>
      <c r="F177" s="54"/>
      <c r="G177" s="54"/>
      <c r="H177" s="54"/>
      <c r="I177" s="52">
        <f t="shared" si="6"/>
        <v>3.8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75</v>
      </c>
      <c r="B178" s="53">
        <v>269</v>
      </c>
      <c r="C178" s="63">
        <v>13</v>
      </c>
      <c r="D178" s="53">
        <v>9</v>
      </c>
      <c r="E178" s="54"/>
      <c r="F178" s="54"/>
      <c r="G178" s="54"/>
      <c r="H178" s="54"/>
      <c r="I178" s="52">
        <f t="shared" si="6"/>
        <v>3.4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80</v>
      </c>
      <c r="B179" s="53">
        <v>275</v>
      </c>
      <c r="C179" s="63">
        <v>14</v>
      </c>
      <c r="D179" s="53">
        <v>275</v>
      </c>
      <c r="E179" s="54"/>
      <c r="F179" s="54"/>
      <c r="G179" s="54"/>
      <c r="H179" s="54"/>
      <c r="I179" s="52">
        <f t="shared" si="6"/>
        <v>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Chêne sessile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3">
        <v>73</v>
      </c>
      <c r="C192" s="63">
        <v>1</v>
      </c>
      <c r="D192" s="63">
        <v>6</v>
      </c>
      <c r="E192" s="54"/>
      <c r="F192" s="54"/>
      <c r="G192" s="54"/>
      <c r="H192" s="54">
        <v>1</v>
      </c>
      <c r="I192" s="52">
        <f>IFERROR(B192/A192,"")</f>
        <v>3.65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3">
        <v>103</v>
      </c>
      <c r="C193" s="63">
        <v>2</v>
      </c>
      <c r="D193" s="63">
        <v>28</v>
      </c>
      <c r="E193" s="54"/>
      <c r="F193" s="54">
        <v>0.3</v>
      </c>
      <c r="G193" s="54">
        <v>0.7</v>
      </c>
      <c r="H193" s="54"/>
      <c r="I193" s="52">
        <f t="shared" ref="I193:I211" si="7">IF(A193&lt;&gt;0,(B193-(B192-D192))/(A193-A192),"")</f>
        <v>7.2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3">
        <v>121</v>
      </c>
      <c r="C194" s="63">
        <v>3</v>
      </c>
      <c r="D194" s="63">
        <v>28</v>
      </c>
      <c r="E194" s="54"/>
      <c r="F194" s="54">
        <v>0.5</v>
      </c>
      <c r="G194" s="54">
        <v>0.5</v>
      </c>
      <c r="H194" s="54"/>
      <c r="I194" s="52">
        <f t="shared" si="7"/>
        <v>9.1999999999999993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63">
        <v>147</v>
      </c>
      <c r="C195" s="63">
        <v>4</v>
      </c>
      <c r="D195" s="63">
        <v>28</v>
      </c>
      <c r="E195" s="54"/>
      <c r="F195" s="54"/>
      <c r="G195" s="54"/>
      <c r="H195" s="54"/>
      <c r="I195" s="52">
        <f t="shared" si="7"/>
        <v>10.8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63">
        <v>175</v>
      </c>
      <c r="C196" s="63">
        <v>5</v>
      </c>
      <c r="D196" s="63">
        <v>28</v>
      </c>
      <c r="E196" s="54"/>
      <c r="F196" s="54"/>
      <c r="G196" s="54"/>
      <c r="H196" s="54"/>
      <c r="I196" s="52">
        <f t="shared" si="7"/>
        <v>11.2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63">
        <v>204</v>
      </c>
      <c r="C197" s="63">
        <v>6</v>
      </c>
      <c r="D197" s="63">
        <v>28</v>
      </c>
      <c r="E197" s="54"/>
      <c r="F197" s="54"/>
      <c r="G197" s="54"/>
      <c r="H197" s="54"/>
      <c r="I197" s="52">
        <f t="shared" si="7"/>
        <v>11.4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63">
        <v>231</v>
      </c>
      <c r="C198" s="63">
        <v>7</v>
      </c>
      <c r="D198" s="63">
        <v>28</v>
      </c>
      <c r="E198" s="54"/>
      <c r="F198" s="54"/>
      <c r="G198" s="54"/>
      <c r="H198" s="54"/>
      <c r="I198" s="52">
        <f t="shared" si="7"/>
        <v>11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53">
        <v>254</v>
      </c>
      <c r="C199" s="53">
        <v>8</v>
      </c>
      <c r="D199" s="53">
        <v>28</v>
      </c>
      <c r="E199" s="54"/>
      <c r="F199" s="54"/>
      <c r="G199" s="54"/>
      <c r="H199" s="54"/>
      <c r="I199" s="52">
        <f t="shared" si="7"/>
        <v>10.199999999999999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273</v>
      </c>
      <c r="C200" s="53">
        <v>9</v>
      </c>
      <c r="D200" s="53">
        <v>28</v>
      </c>
      <c r="E200" s="54"/>
      <c r="F200" s="54"/>
      <c r="G200" s="54"/>
      <c r="H200" s="54"/>
      <c r="I200" s="52">
        <f t="shared" si="7"/>
        <v>9.4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289</v>
      </c>
      <c r="C201" s="53">
        <v>10</v>
      </c>
      <c r="D201" s="53">
        <v>28</v>
      </c>
      <c r="E201" s="54"/>
      <c r="F201" s="54"/>
      <c r="G201" s="54"/>
      <c r="H201" s="54"/>
      <c r="I201" s="52">
        <f t="shared" si="7"/>
        <v>8.8000000000000007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302</v>
      </c>
      <c r="C202" s="53">
        <v>11</v>
      </c>
      <c r="D202" s="53">
        <v>28</v>
      </c>
      <c r="E202" s="54"/>
      <c r="F202" s="54"/>
      <c r="G202" s="54"/>
      <c r="H202" s="54"/>
      <c r="I202" s="52">
        <f t="shared" si="7"/>
        <v>8.1999999999999993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312</v>
      </c>
      <c r="C203" s="53">
        <v>12</v>
      </c>
      <c r="D203" s="53">
        <v>28</v>
      </c>
      <c r="E203" s="54"/>
      <c r="F203" s="54"/>
      <c r="G203" s="54"/>
      <c r="H203" s="54"/>
      <c r="I203" s="52">
        <f t="shared" si="7"/>
        <v>7.6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80</v>
      </c>
      <c r="B204" s="53">
        <v>320</v>
      </c>
      <c r="C204" s="53">
        <v>13</v>
      </c>
      <c r="D204" s="53">
        <v>28</v>
      </c>
      <c r="E204" s="54"/>
      <c r="F204" s="54"/>
      <c r="G204" s="54"/>
      <c r="H204" s="54"/>
      <c r="I204" s="52">
        <f t="shared" si="7"/>
        <v>7.2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85</v>
      </c>
      <c r="B205" s="53">
        <v>326</v>
      </c>
      <c r="C205" s="53">
        <v>14</v>
      </c>
      <c r="D205" s="53">
        <v>28</v>
      </c>
      <c r="E205" s="54"/>
      <c r="F205" s="54"/>
      <c r="G205" s="54"/>
      <c r="H205" s="54"/>
      <c r="I205" s="52">
        <f t="shared" si="7"/>
        <v>6.8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90</v>
      </c>
      <c r="B206" s="53">
        <v>330</v>
      </c>
      <c r="C206" s="53">
        <v>15</v>
      </c>
      <c r="D206" s="53">
        <v>28</v>
      </c>
      <c r="E206" s="54"/>
      <c r="F206" s="54"/>
      <c r="G206" s="54"/>
      <c r="H206" s="54"/>
      <c r="I206" s="52">
        <f t="shared" si="7"/>
        <v>6.4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95</v>
      </c>
      <c r="B207" s="53">
        <v>332</v>
      </c>
      <c r="C207" s="53">
        <v>16</v>
      </c>
      <c r="D207" s="53">
        <v>28</v>
      </c>
      <c r="E207" s="54"/>
      <c r="F207" s="54"/>
      <c r="G207" s="54"/>
      <c r="H207" s="54"/>
      <c r="I207" s="52">
        <f t="shared" si="7"/>
        <v>6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100</v>
      </c>
      <c r="B208" s="53">
        <v>333</v>
      </c>
      <c r="C208" s="53">
        <v>17</v>
      </c>
      <c r="D208" s="53">
        <v>27</v>
      </c>
      <c r="E208" s="54"/>
      <c r="F208" s="54"/>
      <c r="G208" s="54"/>
      <c r="H208" s="54"/>
      <c r="I208" s="52">
        <f t="shared" si="7"/>
        <v>5.8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105</v>
      </c>
      <c r="B209" s="53">
        <v>333</v>
      </c>
      <c r="C209" s="53">
        <v>18</v>
      </c>
      <c r="D209" s="53">
        <v>26</v>
      </c>
      <c r="E209" s="54"/>
      <c r="F209" s="54"/>
      <c r="G209" s="54"/>
      <c r="H209" s="54"/>
      <c r="I209" s="52">
        <f t="shared" si="7"/>
        <v>5.4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110</v>
      </c>
      <c r="B210" s="53">
        <v>332</v>
      </c>
      <c r="C210" s="53">
        <v>19</v>
      </c>
      <c r="D210" s="53">
        <v>25</v>
      </c>
      <c r="E210" s="54"/>
      <c r="F210" s="54"/>
      <c r="G210" s="54"/>
      <c r="H210" s="54"/>
      <c r="I210" s="52">
        <f t="shared" si="7"/>
        <v>5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115</v>
      </c>
      <c r="B211" s="53">
        <v>330</v>
      </c>
      <c r="C211" s="53">
        <v>20</v>
      </c>
      <c r="D211" s="53">
        <v>330</v>
      </c>
      <c r="E211" s="54"/>
      <c r="F211" s="54"/>
      <c r="G211" s="54"/>
      <c r="H211" s="54"/>
      <c r="I211" s="52">
        <f t="shared" si="7"/>
        <v>4.5999999999999996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Alisier torminal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20</v>
      </c>
      <c r="B218" s="63">
        <v>73</v>
      </c>
      <c r="C218" s="63">
        <v>1</v>
      </c>
      <c r="D218" s="63">
        <v>6</v>
      </c>
      <c r="E218" s="54"/>
      <c r="F218" s="54"/>
      <c r="G218" s="54">
        <v>1</v>
      </c>
      <c r="H218" s="54"/>
      <c r="I218" s="56">
        <f>IFERROR(B218/A218,"")</f>
        <v>3.65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25</v>
      </c>
      <c r="B219" s="63">
        <v>103</v>
      </c>
      <c r="C219" s="63">
        <v>2</v>
      </c>
      <c r="D219" s="63">
        <v>28</v>
      </c>
      <c r="E219" s="54"/>
      <c r="F219" s="54">
        <v>0</v>
      </c>
      <c r="G219" s="54">
        <v>1</v>
      </c>
      <c r="H219" s="54"/>
      <c r="I219" s="56">
        <f t="shared" ref="I219:I237" si="8">IF(A219&lt;&gt;0,(B219-(B218-D218))/(A219-A218),"")</f>
        <v>7.2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30</v>
      </c>
      <c r="B220" s="63">
        <v>121</v>
      </c>
      <c r="C220" s="63">
        <v>3</v>
      </c>
      <c r="D220" s="63">
        <v>28</v>
      </c>
      <c r="E220" s="54">
        <v>0</v>
      </c>
      <c r="F220" s="54">
        <v>0</v>
      </c>
      <c r="G220" s="54">
        <v>1</v>
      </c>
      <c r="H220" s="54"/>
      <c r="I220" s="56">
        <f t="shared" si="8"/>
        <v>9.1999999999999993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35</v>
      </c>
      <c r="B221" s="63">
        <v>147</v>
      </c>
      <c r="C221" s="63">
        <v>4</v>
      </c>
      <c r="D221" s="63">
        <v>28</v>
      </c>
      <c r="E221" s="54"/>
      <c r="F221" s="54"/>
      <c r="G221" s="54"/>
      <c r="H221" s="54"/>
      <c r="I221" s="56">
        <f t="shared" si="8"/>
        <v>10.8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40</v>
      </c>
      <c r="B222" s="63">
        <v>175</v>
      </c>
      <c r="C222" s="63">
        <v>5</v>
      </c>
      <c r="D222" s="63">
        <v>28</v>
      </c>
      <c r="E222" s="54"/>
      <c r="F222" s="54"/>
      <c r="G222" s="54"/>
      <c r="H222" s="54"/>
      <c r="I222" s="56">
        <f t="shared" si="8"/>
        <v>11.2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45</v>
      </c>
      <c r="B223" s="63">
        <v>204</v>
      </c>
      <c r="C223" s="63">
        <v>6</v>
      </c>
      <c r="D223" s="63">
        <v>28</v>
      </c>
      <c r="E223" s="54"/>
      <c r="F223" s="54"/>
      <c r="G223" s="54"/>
      <c r="H223" s="54"/>
      <c r="I223" s="56">
        <f t="shared" si="8"/>
        <v>11.4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50</v>
      </c>
      <c r="B224" s="63">
        <v>231</v>
      </c>
      <c r="C224" s="63">
        <v>7</v>
      </c>
      <c r="D224" s="63">
        <v>28</v>
      </c>
      <c r="E224" s="54"/>
      <c r="F224" s="54"/>
      <c r="G224" s="54"/>
      <c r="H224" s="54"/>
      <c r="I224" s="56">
        <f t="shared" si="8"/>
        <v>11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55</v>
      </c>
      <c r="B225" s="53">
        <v>254</v>
      </c>
      <c r="C225" s="53">
        <v>8</v>
      </c>
      <c r="D225" s="53">
        <v>28</v>
      </c>
      <c r="E225" s="54"/>
      <c r="F225" s="54"/>
      <c r="G225" s="54"/>
      <c r="H225" s="54"/>
      <c r="I225" s="56">
        <f t="shared" si="8"/>
        <v>10.199999999999999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60</v>
      </c>
      <c r="B226" s="53">
        <v>273</v>
      </c>
      <c r="C226" s="53">
        <v>9</v>
      </c>
      <c r="D226" s="53">
        <v>28</v>
      </c>
      <c r="E226" s="54"/>
      <c r="F226" s="54"/>
      <c r="G226" s="54"/>
      <c r="H226" s="54"/>
      <c r="I226" s="56">
        <f t="shared" si="8"/>
        <v>9.4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3">
        <v>65</v>
      </c>
      <c r="B227" s="53">
        <v>289</v>
      </c>
      <c r="C227" s="53">
        <v>10</v>
      </c>
      <c r="D227" s="53">
        <v>28</v>
      </c>
      <c r="E227" s="54"/>
      <c r="F227" s="54"/>
      <c r="G227" s="54"/>
      <c r="H227" s="54"/>
      <c r="I227" s="56">
        <f t="shared" si="8"/>
        <v>8.8000000000000007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3">
        <v>70</v>
      </c>
      <c r="B228" s="53">
        <v>302</v>
      </c>
      <c r="C228" s="53">
        <v>11</v>
      </c>
      <c r="D228" s="53">
        <v>28</v>
      </c>
      <c r="E228" s="54"/>
      <c r="F228" s="54"/>
      <c r="G228" s="54"/>
      <c r="H228" s="54"/>
      <c r="I228" s="56">
        <f t="shared" si="8"/>
        <v>8.1999999999999993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3">
        <v>75</v>
      </c>
      <c r="B229" s="53">
        <v>312</v>
      </c>
      <c r="C229" s="53">
        <v>12</v>
      </c>
      <c r="D229" s="53">
        <v>28</v>
      </c>
      <c r="E229" s="54"/>
      <c r="F229" s="54"/>
      <c r="G229" s="54"/>
      <c r="H229" s="54"/>
      <c r="I229" s="56">
        <f t="shared" si="8"/>
        <v>7.6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3">
        <v>80</v>
      </c>
      <c r="B230" s="53">
        <v>320</v>
      </c>
      <c r="C230" s="53">
        <v>13</v>
      </c>
      <c r="D230" s="53">
        <v>28</v>
      </c>
      <c r="E230" s="54"/>
      <c r="F230" s="54"/>
      <c r="G230" s="54"/>
      <c r="H230" s="54"/>
      <c r="I230" s="56">
        <f t="shared" si="8"/>
        <v>7.2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53">
        <v>85</v>
      </c>
      <c r="B231" s="53">
        <v>326</v>
      </c>
      <c r="C231" s="53">
        <v>14</v>
      </c>
      <c r="D231" s="53">
        <v>28</v>
      </c>
      <c r="E231" s="54"/>
      <c r="F231" s="54"/>
      <c r="G231" s="54"/>
      <c r="H231" s="54"/>
      <c r="I231" s="56">
        <f t="shared" si="8"/>
        <v>6.8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90</v>
      </c>
      <c r="B232" s="53">
        <v>330</v>
      </c>
      <c r="C232" s="53">
        <v>15</v>
      </c>
      <c r="D232" s="53">
        <v>28</v>
      </c>
      <c r="E232" s="54"/>
      <c r="F232" s="54"/>
      <c r="G232" s="54"/>
      <c r="H232" s="54"/>
      <c r="I232" s="56">
        <f t="shared" si="8"/>
        <v>6.4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95</v>
      </c>
      <c r="B233" s="53">
        <v>332</v>
      </c>
      <c r="C233" s="53">
        <v>16</v>
      </c>
      <c r="D233" s="53">
        <v>28</v>
      </c>
      <c r="E233" s="54"/>
      <c r="F233" s="54"/>
      <c r="G233" s="54"/>
      <c r="H233" s="54"/>
      <c r="I233" s="56">
        <f t="shared" si="8"/>
        <v>6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100</v>
      </c>
      <c r="B234" s="53">
        <v>333</v>
      </c>
      <c r="C234" s="53">
        <v>17</v>
      </c>
      <c r="D234" s="53">
        <v>27</v>
      </c>
      <c r="E234" s="54"/>
      <c r="F234" s="54"/>
      <c r="G234" s="54"/>
      <c r="H234" s="54"/>
      <c r="I234" s="56">
        <f t="shared" si="8"/>
        <v>5.8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105</v>
      </c>
      <c r="B235" s="53">
        <v>333</v>
      </c>
      <c r="C235" s="53">
        <v>18</v>
      </c>
      <c r="D235" s="53">
        <v>26</v>
      </c>
      <c r="E235" s="54"/>
      <c r="F235" s="54"/>
      <c r="G235" s="54"/>
      <c r="H235" s="54"/>
      <c r="I235" s="56">
        <f t="shared" si="8"/>
        <v>5.4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110</v>
      </c>
      <c r="B236" s="53">
        <v>332</v>
      </c>
      <c r="C236" s="53">
        <v>19</v>
      </c>
      <c r="D236" s="53">
        <v>25</v>
      </c>
      <c r="E236" s="54"/>
      <c r="F236" s="54"/>
      <c r="G236" s="54"/>
      <c r="H236" s="54"/>
      <c r="I236" s="56">
        <f t="shared" si="8"/>
        <v>5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115</v>
      </c>
      <c r="B237" s="53">
        <v>330</v>
      </c>
      <c r="C237" s="53">
        <v>20</v>
      </c>
      <c r="D237" s="53">
        <v>330</v>
      </c>
      <c r="E237" s="54"/>
      <c r="F237" s="54"/>
      <c r="G237" s="54"/>
      <c r="H237" s="54"/>
      <c r="I237" s="56">
        <f t="shared" si="8"/>
        <v>4.5999999999999996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Charme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20</v>
      </c>
      <c r="B244" s="63">
        <v>73</v>
      </c>
      <c r="C244" s="63">
        <v>1</v>
      </c>
      <c r="D244" s="63">
        <v>6</v>
      </c>
      <c r="E244" s="54"/>
      <c r="F244" s="54"/>
      <c r="G244" s="54"/>
      <c r="H244" s="54">
        <v>1</v>
      </c>
      <c r="I244" s="56">
        <f>IFERROR(B244/A244,"")</f>
        <v>3.65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25</v>
      </c>
      <c r="B245" s="63">
        <v>103</v>
      </c>
      <c r="C245" s="63">
        <v>2</v>
      </c>
      <c r="D245" s="63">
        <v>28</v>
      </c>
      <c r="E245" s="54"/>
      <c r="F245" s="54"/>
      <c r="G245" s="54"/>
      <c r="H245" s="54">
        <v>1</v>
      </c>
      <c r="I245" s="56">
        <f>IF(A245&lt;&gt;0,(B245-(B244-D244))/(A245-A244),"")</f>
        <v>7.2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30</v>
      </c>
      <c r="B246" s="63">
        <v>121</v>
      </c>
      <c r="C246" s="63">
        <v>3</v>
      </c>
      <c r="D246" s="63">
        <v>28</v>
      </c>
      <c r="E246" s="54"/>
      <c r="F246" s="54"/>
      <c r="G246" s="54"/>
      <c r="H246" s="54">
        <v>1</v>
      </c>
      <c r="I246" s="56">
        <f>IF(A246&lt;&gt;0,(B246-(B245-D245))/(A246-A245),"")</f>
        <v>9.1999999999999993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35</v>
      </c>
      <c r="B247" s="63">
        <v>147</v>
      </c>
      <c r="C247" s="63">
        <v>4</v>
      </c>
      <c r="D247" s="63">
        <v>28</v>
      </c>
      <c r="E247" s="54"/>
      <c r="F247" s="54"/>
      <c r="G247" s="54"/>
      <c r="H247" s="54"/>
      <c r="I247" s="56">
        <f t="shared" ref="I247:I263" si="9">IF(A247&lt;&gt;0,(B247-(B246-D246))/(A247-A246),"")</f>
        <v>10.8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40</v>
      </c>
      <c r="B248" s="63">
        <v>175</v>
      </c>
      <c r="C248" s="63">
        <v>5</v>
      </c>
      <c r="D248" s="63">
        <v>28</v>
      </c>
      <c r="E248" s="54"/>
      <c r="F248" s="54"/>
      <c r="G248" s="54"/>
      <c r="H248" s="54"/>
      <c r="I248" s="56">
        <f t="shared" si="9"/>
        <v>11.2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45</v>
      </c>
      <c r="B249" s="63">
        <v>204</v>
      </c>
      <c r="C249" s="63">
        <v>6</v>
      </c>
      <c r="D249" s="63">
        <v>28</v>
      </c>
      <c r="E249" s="54"/>
      <c r="F249" s="54"/>
      <c r="G249" s="54"/>
      <c r="H249" s="54"/>
      <c r="I249" s="56">
        <f t="shared" si="9"/>
        <v>11.4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50</v>
      </c>
      <c r="B250" s="63">
        <v>231</v>
      </c>
      <c r="C250" s="63">
        <v>7</v>
      </c>
      <c r="D250" s="63">
        <v>28</v>
      </c>
      <c r="E250" s="54"/>
      <c r="F250" s="54"/>
      <c r="G250" s="54"/>
      <c r="H250" s="54"/>
      <c r="I250" s="56">
        <f t="shared" si="9"/>
        <v>11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3">
        <v>55</v>
      </c>
      <c r="B251" s="53">
        <v>254</v>
      </c>
      <c r="C251" s="53">
        <v>8</v>
      </c>
      <c r="D251" s="53">
        <v>28</v>
      </c>
      <c r="E251" s="54"/>
      <c r="F251" s="54"/>
      <c r="G251" s="54"/>
      <c r="H251" s="54"/>
      <c r="I251" s="56">
        <f t="shared" si="9"/>
        <v>10.199999999999999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3">
        <v>60</v>
      </c>
      <c r="B252" s="53">
        <v>273</v>
      </c>
      <c r="C252" s="53">
        <v>9</v>
      </c>
      <c r="D252" s="53">
        <v>28</v>
      </c>
      <c r="E252" s="54"/>
      <c r="F252" s="54"/>
      <c r="G252" s="54"/>
      <c r="H252" s="54"/>
      <c r="I252" s="56">
        <f t="shared" si="9"/>
        <v>9.4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3">
        <v>65</v>
      </c>
      <c r="B253" s="53">
        <v>289</v>
      </c>
      <c r="C253" s="53">
        <v>10</v>
      </c>
      <c r="D253" s="53">
        <v>28</v>
      </c>
      <c r="E253" s="54"/>
      <c r="F253" s="54"/>
      <c r="G253" s="54"/>
      <c r="H253" s="54"/>
      <c r="I253" s="56">
        <f t="shared" si="9"/>
        <v>8.8000000000000007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3">
        <v>70</v>
      </c>
      <c r="B254" s="53">
        <v>302</v>
      </c>
      <c r="C254" s="53">
        <v>11</v>
      </c>
      <c r="D254" s="53">
        <v>28</v>
      </c>
      <c r="E254" s="54"/>
      <c r="F254" s="54"/>
      <c r="G254" s="54"/>
      <c r="H254" s="54"/>
      <c r="I254" s="56">
        <f t="shared" si="9"/>
        <v>8.1999999999999993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3">
        <v>75</v>
      </c>
      <c r="B255" s="53">
        <v>312</v>
      </c>
      <c r="C255" s="53">
        <v>12</v>
      </c>
      <c r="D255" s="53">
        <v>28</v>
      </c>
      <c r="E255" s="54"/>
      <c r="F255" s="54"/>
      <c r="G255" s="54"/>
      <c r="H255" s="54"/>
      <c r="I255" s="56">
        <f t="shared" si="9"/>
        <v>7.6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3">
        <v>80</v>
      </c>
      <c r="B256" s="53">
        <v>320</v>
      </c>
      <c r="C256" s="53">
        <v>13</v>
      </c>
      <c r="D256" s="53">
        <v>28</v>
      </c>
      <c r="E256" s="54"/>
      <c r="F256" s="54"/>
      <c r="G256" s="54"/>
      <c r="H256" s="54"/>
      <c r="I256" s="56">
        <f t="shared" si="9"/>
        <v>7.2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53">
        <v>85</v>
      </c>
      <c r="B257" s="53">
        <v>326</v>
      </c>
      <c r="C257" s="53">
        <v>14</v>
      </c>
      <c r="D257" s="53">
        <v>28</v>
      </c>
      <c r="E257" s="54"/>
      <c r="F257" s="54"/>
      <c r="G257" s="54"/>
      <c r="H257" s="54"/>
      <c r="I257" s="56">
        <f t="shared" si="9"/>
        <v>6.8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>
        <v>90</v>
      </c>
      <c r="B258" s="53">
        <v>330</v>
      </c>
      <c r="C258" s="53">
        <v>15</v>
      </c>
      <c r="D258" s="53">
        <v>28</v>
      </c>
      <c r="E258" s="54"/>
      <c r="F258" s="54"/>
      <c r="G258" s="54"/>
      <c r="H258" s="54"/>
      <c r="I258" s="56">
        <f t="shared" si="9"/>
        <v>6.4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>
        <v>95</v>
      </c>
      <c r="B259" s="53">
        <v>332</v>
      </c>
      <c r="C259" s="53">
        <v>16</v>
      </c>
      <c r="D259" s="53">
        <v>28</v>
      </c>
      <c r="E259" s="54"/>
      <c r="F259" s="54"/>
      <c r="G259" s="54"/>
      <c r="H259" s="54"/>
      <c r="I259" s="56">
        <f t="shared" si="9"/>
        <v>6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>
        <v>100</v>
      </c>
      <c r="B260" s="53">
        <v>333</v>
      </c>
      <c r="C260" s="53">
        <v>17</v>
      </c>
      <c r="D260" s="53">
        <v>27</v>
      </c>
      <c r="E260" s="54"/>
      <c r="F260" s="54"/>
      <c r="G260" s="54"/>
      <c r="H260" s="54"/>
      <c r="I260" s="56">
        <f t="shared" si="9"/>
        <v>5.8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>
        <v>105</v>
      </c>
      <c r="B261" s="53">
        <v>333</v>
      </c>
      <c r="C261" s="53">
        <v>18</v>
      </c>
      <c r="D261" s="53">
        <v>26</v>
      </c>
      <c r="E261" s="54"/>
      <c r="F261" s="54"/>
      <c r="G261" s="54"/>
      <c r="H261" s="54"/>
      <c r="I261" s="56">
        <f t="shared" si="9"/>
        <v>5.4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>
        <v>110</v>
      </c>
      <c r="B262" s="53">
        <v>332</v>
      </c>
      <c r="C262" s="53">
        <v>19</v>
      </c>
      <c r="D262" s="53">
        <v>25</v>
      </c>
      <c r="E262" s="54"/>
      <c r="F262" s="54"/>
      <c r="G262" s="54"/>
      <c r="H262" s="54"/>
      <c r="I262" s="56">
        <f t="shared" si="9"/>
        <v>5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>
        <v>115</v>
      </c>
      <c r="B263" s="53">
        <v>330</v>
      </c>
      <c r="C263" s="53">
        <v>20</v>
      </c>
      <c r="D263" s="53">
        <v>330</v>
      </c>
      <c r="E263" s="54"/>
      <c r="F263" s="54"/>
      <c r="G263" s="54"/>
      <c r="H263" s="54"/>
      <c r="I263" s="56">
        <f t="shared" si="9"/>
        <v>4.5999999999999996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E1" zoomScale="115" zoomScaleNormal="115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Mélèze hybride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rouge d'Amérique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Châtaignier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Douglas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Robinier faux-acacia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Erable sycomore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>Chêne sessile</v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>Alisier torminal</v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>Charme</v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170.27677128684815</v>
      </c>
      <c r="T3" s="62">
        <f>IF('Données projet'!E9&gt;30,$R$33-$H$33,LOOKUP('Données projet'!$E$9,$A$3:$A$203,R3:R203)-LOOKUP('Données projet'!$E$9,$A$3:$A$203,$H$3:$H$203))</f>
        <v>243.47439640666289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327.826081588335</v>
      </c>
      <c r="AO3" s="62">
        <f>IF('Données projet'!E10&gt;30,$AM$33-$H$33,LOOKUP('Données projet'!$E$10,$A$3:$A$203,AM3:AM203)-LOOKUP('Données projet'!$E$10,$A$3:$A$203,$H$3:$H$203))</f>
        <v>348.84706693879735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376.5422416541544</v>
      </c>
      <c r="BJ3" s="62">
        <f>IF('Données projet'!E11&gt;30,$BH$33-$H$33,LOOKUP('Données projet'!$E$11,$A$3:$A$203,BH3:BH203)-LOOKUP('Données projet'!$E$11,$A$3:$A$203,$H$3:$H$203))</f>
        <v>365.76175372075869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405.09126081846171</v>
      </c>
      <c r="CE3" s="62">
        <f>IF('Données projet'!E12&gt;30,$CC$33-$H$33,LOOKUP('Données projet'!$E$12,$A$3:$A$203,CC3:CC203)-LOOKUP('Données projet'!$E$12,$A$3:$A$203,$H$3:$H$203))</f>
        <v>534.22295841722166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244.82163392718377</v>
      </c>
      <c r="CZ3" s="62">
        <f>IF('Données projet'!E13&gt;30,$CX$33-$H$33,LOOKUP('Données projet'!$E$13,$A$3:$A$203,CX3:CX203)-LOOKUP('Données projet'!$E$13,$A$3:$A$203,$H$3:$H$203))</f>
        <v>342.30266518164211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298.89893065707554</v>
      </c>
      <c r="DU3" s="62">
        <f>IF('Données projet'!E14&gt;30,$DS$33-$H$33,LOOKUP('Données projet'!$E$14,$A$3:$A$203,DS3:DS203)-LOOKUP('Données projet'!$E$14,$A$3:$A$203,$H$3:$H$203))</f>
        <v>294.28794439094878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439.06700232017681</v>
      </c>
      <c r="EP3" s="62">
        <f>IF('Données projet'!E15&gt;30,$EN$33-$H$33,LOOKUP('Données projet'!$E$15,$A$3:$A$203,EN3:EN203)-LOOKUP('Données projet'!$E$15,$A$3:$A$203,$H$3:$H$203))</f>
        <v>278.21741231699929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466.4945858005575</v>
      </c>
      <c r="FK3" s="62">
        <f>IF('Données projet'!E16&gt;30,$FI$33-$H$33,LOOKUP('Données projet'!$E$16,$A$3:$A$203,FI3:FI203)-LOOKUP('Données projet'!$E$16,$A$3:$A$203,$H$3:$H$203))</f>
        <v>294.45557293177131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459.64120566196812</v>
      </c>
      <c r="GF3" s="62">
        <f>IF('Données projet'!E17&gt;30,$GD$33-$H$33,LOOKUP('Données projet'!$E$17,$A$3:$A$203,GD3:GD203)-LOOKUP('Données projet'!$E$17,$A$3:$A$203,$H$3:$H$203))</f>
        <v>290.39826583283588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3.4</v>
      </c>
      <c r="N4" s="14">
        <f>IF('Données projet'!$A$36&gt;35,N3+M4-V3,IF(A4&lt;'Données projet'!$A$36,$K$205^A4,IF(A4='Données projet'!$A$36,'Données projet'!$B$36,N3+M4-V3)))</f>
        <v>1.4228132198218728</v>
      </c>
      <c r="O4" s="14">
        <f>N4*VLOOKUP('Données projet'!$B$9,Paramètres!$A$1:$I$89,3,0)*VLOOKUP('Données projet'!$B$9,Paramètres!$A$1:$I$89,5,0)</f>
        <v>0.77685601802274251</v>
      </c>
      <c r="P4" s="14">
        <f>EXP(-1.0587+0.8836*LN(O4)+0.284)</f>
        <v>0.36868626697594109</v>
      </c>
      <c r="Q4" s="22">
        <f t="shared" ref="Q4:Q34" si="2">(O4+P4)*0.475*44/12</f>
        <v>1.9951528130393739</v>
      </c>
      <c r="R4" s="62">
        <f t="shared" si="0"/>
        <v>259.88404170192825</v>
      </c>
      <c r="S4" s="62">
        <f ca="1">AVERAGE(OFFSET($R$3,0,0,'Données projet'!$E$9+1,1))-AVERAGE(OFFSET($H$3,0,0,'Données projet'!$E$9+1,1))</f>
        <v>170.27677128684815</v>
      </c>
      <c r="T4" s="62">
        <f>$T$3</f>
        <v>243.47439640666289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6.6</v>
      </c>
      <c r="AI4" s="14">
        <f>IF('Données projet'!$A$62&gt;35,AI3+AH4-AQ3,IF(A4&lt;'Données projet'!$A$62,$AF$205^A4,IF(A4='Données projet'!$A$62,'Données projet'!$B$62,AI3+AH4-AQ3)))</f>
        <v>1.2765231539157764</v>
      </c>
      <c r="AJ4" s="14">
        <f>AI4*VLOOKUP('Données projet'!$B$10,Paramètres!$A$1:$I$89,3,0)*VLOOKUP('Données projet'!$B$10,Paramètres!$A$1:$I$89,5,0)</f>
        <v>1.1151706272608224</v>
      </c>
      <c r="AK4" s="14">
        <f>EXP(-1.0587+0.8836*LN(AJ4)+0.284)</f>
        <v>0.50743784838663863</v>
      </c>
      <c r="AL4" s="22">
        <f t="shared" ref="AL4:AL67" si="4">(AJ4+AK4)*0.475*44/12</f>
        <v>2.8260430950859945</v>
      </c>
      <c r="AM4" s="62">
        <f t="shared" ref="AM4:AM67" si="5">AL4+(AD4+AE4)*44/12</f>
        <v>260.71493198397485</v>
      </c>
      <c r="AN4" s="62">
        <f ca="1">AVERAGE(OFFSET($AM$3,0,0,'Données projet'!$E$10+1,1))-AVERAGE(OFFSET($H$3,0,0,'Données projet'!$E$10+1,1))</f>
        <v>327.826081588335</v>
      </c>
      <c r="AO4" s="62">
        <f>$AO$3</f>
        <v>348.84706693879735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1.9</v>
      </c>
      <c r="BD4" s="13">
        <f>IF('Données projet'!$A$88&gt;35,BD3+BC4-BL3,IF(A4&lt;'Données projet'!$A$88,$BA$205^A4,IF(A4='Données projet'!$A$88,'Données projet'!$B$88,BD3+BC4-BL3)))</f>
        <v>1.3423796509621049</v>
      </c>
      <c r="BE4" s="14">
        <f>BD4*VLOOKUP('Données projet'!$B$11,Paramètres!$A$1:$I$89,3,0)*VLOOKUP('Données projet'!$B$11,Paramètres!$A$1:$I$89,5,0)</f>
        <v>0.98423276008541516</v>
      </c>
      <c r="BF4" s="14">
        <f>EXP(-1.0587+0.8836*LN(BE4)+0.284)</f>
        <v>0.45441566615213064</v>
      </c>
      <c r="BG4" s="22">
        <f t="shared" ref="BG4:BG67" si="7">(BE4+BF4)*0.475*44/12</f>
        <v>2.5056460090303925</v>
      </c>
      <c r="BH4" s="62">
        <f t="shared" ref="BH4:BH67" si="8">BG4+(AY4+AZ4)*44/12</f>
        <v>260.39453489791924</v>
      </c>
      <c r="BI4" s="62">
        <f ca="1">AVERAGE(OFFSET($BH$3,0,0,'Données projet'!$E$11+1,1))-AVERAGE(OFFSET($H$3,0,0,'Données projet'!$E$11+1,1))</f>
        <v>376.5422416541544</v>
      </c>
      <c r="BJ4" s="62">
        <f>$BJ$3</f>
        <v>365.76175372075869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10.163529411764706</v>
      </c>
      <c r="BY4" s="13">
        <f>IF('Données projet'!$A$114&gt;35,BY3+BX4-CG3,IF(A4&lt;'Données projet'!$A$114,$BV$205^A4,IF(A4='Données projet'!$A$114,'Données projet'!$B$114,BY3+BX4-CG3)))</f>
        <v>1.3539956307764309</v>
      </c>
      <c r="BZ4" s="14">
        <f>BY4*VLOOKUP('Données projet'!$B$12,Paramètres!$A$1:$I$89,3,0)*VLOOKUP('Données projet'!$B$12,Paramètres!$A$1:$I$89,5,0)</f>
        <v>0.75688355760402493</v>
      </c>
      <c r="CA4" s="14">
        <f>EXP(-1.0587+0.8836*LN(BZ4)+0.284)</f>
        <v>0.36029824926500498</v>
      </c>
      <c r="CB4" s="22">
        <f t="shared" ref="CB4:CB67" si="10">(BZ4+CA4)*0.475*44/12</f>
        <v>1.945758313630227</v>
      </c>
      <c r="CC4" s="62">
        <f t="shared" ref="CC4:CC67" si="11">CB4+(BT4+BU4)*44/12</f>
        <v>259.83464720251908</v>
      </c>
      <c r="CD4" s="62">
        <f ca="1">AVERAGE(OFFSET($CC$3,0,0,'Données projet'!$E$12+1,1))-AVERAGE(OFFSET($H$3,0,0,'Données projet'!$E$12+1,1))</f>
        <v>405.09126081846171</v>
      </c>
      <c r="CE4" s="62">
        <f>$CE$3</f>
        <v>534.22295841722166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4.4000000000000004</v>
      </c>
      <c r="CT4" s="13">
        <f>IF('Données projet'!$A$140&gt;35,CT3+CS4-DB3,IF(A4&lt;'Données projet'!$A$140,$CQ$205^A4,IF(A4='Données projet'!$A$140,'Données projet'!$B$140,CT3+CS4-DB3)))</f>
        <v>1.8556007362580844</v>
      </c>
      <c r="CU4" s="18">
        <f>CT4*VLOOKUP('Données projet'!$B$13,Paramètres!$A$1:$I$89,3,0)*VLOOKUP('Données projet'!$B$13,Paramètres!$A$1:$I$89,5,0)</f>
        <v>1.6789475461663146</v>
      </c>
      <c r="CV4" s="14">
        <f>EXP(-1.0587+0.8836*LN(CU4)+0.284)</f>
        <v>0.72844182078056119</v>
      </c>
      <c r="CW4" s="22">
        <f t="shared" ref="CW4:CW67" si="13">(CU4+CV4)*0.475*44/12</f>
        <v>4.1928698140991418</v>
      </c>
      <c r="CX4" s="62">
        <f t="shared" ref="CX4:CX67" si="14">CW4+(CO4+CP4)*44/12</f>
        <v>262.081758702988</v>
      </c>
      <c r="CY4" s="62">
        <f ca="1">AVERAGE(OFFSET($CX$3,0,0,'Données projet'!$E$13+1,1))-AVERAGE(OFFSET($H$3,0,0,'Données projet'!$E$13+1,1))</f>
        <v>244.82163392718377</v>
      </c>
      <c r="CZ4" s="62">
        <f>$CZ$3</f>
        <v>342.30266518164211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2.4666666666666668</v>
      </c>
      <c r="DO4" s="13">
        <f>IF('Données projet'!$A$166&gt;35,DO3+DN4-DW3,IF(A4&lt;'Données projet'!$A$166,$DL$205^A4,IF(A4='Données projet'!$A$166,'Données projet'!$B$166,DO3+DN4-DW3)))</f>
        <v>1.2721747796233518</v>
      </c>
      <c r="DP4" s="18">
        <f>DO4*VLOOKUP('Données projet'!$B$14,Paramètres!$A$1:$I$89,3,0)*VLOOKUP('Données projet'!$B$14,Paramètres!$A$1:$I$89,5,0)</f>
        <v>1.0121422546683387</v>
      </c>
      <c r="DQ4" s="14">
        <f>EXP(-1.0587+0.8836*LN(DP4)+0.284)</f>
        <v>0.46578286063395047</v>
      </c>
      <c r="DR4" s="22">
        <f t="shared" ref="DR4:DR67" si="16">(DP4+DQ4)*0.475*44/12</f>
        <v>2.574052909151487</v>
      </c>
      <c r="DS4" s="62">
        <f t="shared" ref="DS4:DS67" si="17">DR4+(DJ4+DK4)*44/12</f>
        <v>260.46294179804033</v>
      </c>
      <c r="DT4" s="62">
        <f ca="1">AVERAGE(OFFSET($DS$3,0,0,'Données projet'!$E$14+1,1))-AVERAGE(OFFSET($H$3,0,0,'Données projet'!$E$14+1,1))</f>
        <v>298.89893065707554</v>
      </c>
      <c r="DU4" s="62">
        <f>$DU$3</f>
        <v>294.28794439094878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3.65</v>
      </c>
      <c r="EJ4" s="13">
        <f>IF('Données projet'!$A$192&gt;35,EJ3+EI4-ER3,IF(A4&lt;'Données projet'!$A$192,$EG$205^A4,IF(A4='Données projet'!$A$192,'Données projet'!$B$192,EJ3+EI4-ER3)))</f>
        <v>1.2392705892426346</v>
      </c>
      <c r="EK4" s="18">
        <f>EJ4*VLOOKUP('Données projet'!$B$15,Paramètres!$A$1:$I$89,3,0)*VLOOKUP('Données projet'!$B$15,Paramètres!$A$1:$I$89,5,0)</f>
        <v>1.1212920291467359</v>
      </c>
      <c r="EL4" s="14">
        <f>EXP(-1.0587+0.8836*LN(EK4)+0.284)</f>
        <v>0.50989827066551541</v>
      </c>
      <c r="EM4" s="22">
        <f t="shared" ref="EM4:EM67" si="19">(EK4+EL4)*0.475*44/12</f>
        <v>2.8409897721730037</v>
      </c>
      <c r="EN4" s="62">
        <f t="shared" ref="EN4:EN67" si="20">EM4+(EE4+EF4)*44/12</f>
        <v>260.72987866106189</v>
      </c>
      <c r="EO4" s="62">
        <f ca="1">AVERAGE(OFFSET($EN$3,0,0,'Données projet'!$E$15+1,1))-AVERAGE(OFFSET($H$3,0,0,'Données projet'!$E$15+1,1))</f>
        <v>439.06700232017681</v>
      </c>
      <c r="EP4" s="62">
        <f>$EP$3</f>
        <v>278.21741231699929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3.65</v>
      </c>
      <c r="FE4" s="13">
        <f>IF('Données projet'!$A$218&gt;35,FE3+FD4-FM3,IF(A4&lt;'Données projet'!$A$218,$FB$205^A4,IF(A4='Données projet'!$A$218,'Données projet'!$B$218,FE3+FD4-FM3)))</f>
        <v>1.2392705892426346</v>
      </c>
      <c r="FF4" s="18">
        <f>FE4*VLOOKUP('Données projet'!$B$16,Paramètres!$A$1:$I$89,3,0)*VLOOKUP('Données projet'!$B$16,Paramètres!$A$1:$I$89,5,0)</f>
        <v>1.1986225139154763</v>
      </c>
      <c r="FG4" s="14">
        <f>EXP(-1.0587+0.8836*LN(FF4)+0.284)</f>
        <v>0.54084878793982472</v>
      </c>
      <c r="FH4" s="22">
        <f t="shared" ref="FH4:FH67" si="22">(FF4+FG4)*0.475*44/12</f>
        <v>3.0295791840646493</v>
      </c>
      <c r="FI4" s="62">
        <f t="shared" ref="FI4:FI67" si="23">FH4+(EZ4+FA4)*44/12</f>
        <v>260.91846807295349</v>
      </c>
      <c r="FJ4" s="62">
        <f ca="1">AVERAGE(OFFSET($FI$3,0,0,'Données projet'!$E$16+1,1))-AVERAGE(OFFSET($H$3,0,0,'Données projet'!$E$16+1,1))</f>
        <v>466.4945858005575</v>
      </c>
      <c r="FK4" s="62">
        <f>$FK$3</f>
        <v>294.45557293177131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3.65</v>
      </c>
      <c r="FZ4" s="13">
        <f>IF('Données projet'!$A$244&gt;35,FZ3+FY4-GH3,IF(A4&lt;'Données projet'!$A$244,$FW$205^A4,IF(A4='Données projet'!$A$244,'Données projet'!$B$244,FZ3+FY4-GH3)))</f>
        <v>1.2392705892426346</v>
      </c>
      <c r="GA4" s="18">
        <f>FZ4*VLOOKUP('Données projet'!$B$17,Paramètres!$A$1:$I$89,3,0)*VLOOKUP('Données projet'!$B$17,Paramètres!$A$1:$I$89,5,0)</f>
        <v>1.1792898927232911</v>
      </c>
      <c r="GB4" s="14">
        <f>EXP(-1.0587+0.8836*LN(GA4)+0.284)</f>
        <v>0.53313354102797472</v>
      </c>
      <c r="GC4" s="22">
        <f t="shared" ref="GC4:GC67" si="25">(GA4+GB4)*0.475*44/12</f>
        <v>2.9824708137834541</v>
      </c>
      <c r="GD4" s="62">
        <f t="shared" ref="GD4:GD67" si="26">GC4+(FU4+FV4)*44/12</f>
        <v>260.87135970267229</v>
      </c>
      <c r="GE4" s="62">
        <f ca="1">AVERAGE(OFFSET($GD$3,0,0,'Données projet'!$E$17+1,1))-AVERAGE(OFFSET($H$3,0,0,'Données projet'!$E$17+1,1))</f>
        <v>459.64120566196812</v>
      </c>
      <c r="GF4" s="62">
        <f>$GF$3</f>
        <v>290.39826583283588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3.4</v>
      </c>
      <c r="N5" s="14">
        <f>IF('Données projet'!$A$36&gt;35,N4+M5-V4,IF(A5&lt;'Données projet'!$A$36,$K$205^A5,IF(A5='Données projet'!$A$36,'Données projet'!$B$36,N4+M5-V4)))</f>
        <v>2.0243974584998852</v>
      </c>
      <c r="O5" s="14">
        <f>N5*VLOOKUP('Données projet'!$B$9,Paramètres!$A$1:$I$89,3,0)*VLOOKUP('Données projet'!$B$9,Paramètres!$A$1:$I$89,5,0)</f>
        <v>1.1053210123409374</v>
      </c>
      <c r="P5" s="14">
        <f t="shared" ref="P5:P68" si="33">EXP(-1.0587+0.8836*LN(O5)+0.284)</f>
        <v>0.50347561165148746</v>
      </c>
      <c r="Q5" s="22">
        <f t="shared" si="2"/>
        <v>2.801987453453473</v>
      </c>
      <c r="R5" s="62">
        <f t="shared" si="0"/>
        <v>261.91309856456462</v>
      </c>
      <c r="S5" s="62">
        <f ca="1">AVERAGE(OFFSET($R$3,0,0,'Données projet'!$E$9+1,1))-AVERAGE(OFFSET($H$3,0,0,'Données projet'!$E$9+1,1))</f>
        <v>170.27677128684815</v>
      </c>
      <c r="T5" s="62">
        <f t="shared" ref="T5:T68" si="34">$T$3</f>
        <v>243.47439640666289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6.6</v>
      </c>
      <c r="AI5" s="14">
        <f>IF('Données projet'!$A$62&gt;35,AI4+AH5-AQ4,IF(A5&lt;'Données projet'!$A$62,$AF$205^A5,IF(A5='Données projet'!$A$62,'Données projet'!$B$62,AI4+AH5-AQ4)))</f>
        <v>1.629511362483081</v>
      </c>
      <c r="AJ5" s="14">
        <f>AI5*VLOOKUP('Données projet'!$B$10,Paramètres!$A$1:$I$89,3,0)*VLOOKUP('Données projet'!$B$10,Paramètres!$A$1:$I$89,5,0)</f>
        <v>1.4235411262652198</v>
      </c>
      <c r="AK5" s="14">
        <f t="shared" ref="AK5:AK68" si="35">EXP(-1.0587+0.8836*LN(AJ5)+0.284)</f>
        <v>0.62960738463416654</v>
      </c>
      <c r="AL5" s="22">
        <f t="shared" si="4"/>
        <v>3.5759003231497637</v>
      </c>
      <c r="AM5" s="62">
        <f t="shared" si="5"/>
        <v>262.68701143426091</v>
      </c>
      <c r="AN5" s="62">
        <f ca="1">AVERAGE(OFFSET($AM$3,0,0,'Données projet'!$E$10+1,1))-AVERAGE(OFFSET($H$3,0,0,'Données projet'!$E$10+1,1))</f>
        <v>327.826081588335</v>
      </c>
      <c r="AO5" s="62">
        <f t="shared" ref="AO5:AO68" si="36">$AO$3</f>
        <v>348.84706693879735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1.9</v>
      </c>
      <c r="BD5" s="13">
        <f>IF('Données projet'!$A$88&gt;35,BD4+BC5-BL4,IF(A5&lt;'Données projet'!$A$88,$BA$205^A5,IF(A5='Données projet'!$A$88,'Données projet'!$B$88,BD4+BC5-BL4)))</f>
        <v>1.8019831273171425</v>
      </c>
      <c r="BE5" s="14">
        <f>BD5*VLOOKUP('Données projet'!$B$11,Paramètres!$A$1:$I$89,3,0)*VLOOKUP('Données projet'!$B$11,Paramètres!$A$1:$I$89,5,0)</f>
        <v>1.3212140289489287</v>
      </c>
      <c r="BF5" s="14">
        <f t="shared" ref="BF5:BF68" si="37">EXP(-1.0587+0.8836*LN(BE5)+0.284)</f>
        <v>0.58944591680017422</v>
      </c>
      <c r="BG5" s="22">
        <f t="shared" si="7"/>
        <v>3.327732738846354</v>
      </c>
      <c r="BH5" s="62">
        <f t="shared" si="8"/>
        <v>262.43884384995749</v>
      </c>
      <c r="BI5" s="62">
        <f ca="1">AVERAGE(OFFSET($BH$3,0,0,'Données projet'!$E$11+1,1))-AVERAGE(OFFSET($H$3,0,0,'Données projet'!$E$11+1,1))</f>
        <v>376.5422416541544</v>
      </c>
      <c r="BJ5" s="62">
        <f t="shared" ref="BJ5:BJ68" si="38">$BJ$3</f>
        <v>365.76175372075869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10.163529411764706</v>
      </c>
      <c r="BY5" s="13">
        <f>IF('Données projet'!$A$114&gt;35,BY4+BX5-CG4,IF(A5&lt;'Données projet'!$A$114,$BV$205^A5,IF(A5='Données projet'!$A$114,'Données projet'!$B$114,BY4+BX5-CG4)))</f>
        <v>1.8333041681616651</v>
      </c>
      <c r="BZ5" s="14">
        <f>BY5*VLOOKUP('Données projet'!$B$12,Paramètres!$A$1:$I$89,3,0)*VLOOKUP('Données projet'!$B$12,Paramètres!$A$1:$I$89,5,0)</f>
        <v>1.0248170300023709</v>
      </c>
      <c r="CA5" s="14">
        <f t="shared" ref="CA5:CA68" si="39">EXP(-1.0587+0.8836*LN(BZ5)+0.284)</f>
        <v>0.47093304471840119</v>
      </c>
      <c r="CB5" s="22">
        <f t="shared" si="10"/>
        <v>2.6050980468053448</v>
      </c>
      <c r="CC5" s="62">
        <f t="shared" si="11"/>
        <v>261.71620915791647</v>
      </c>
      <c r="CD5" s="62">
        <f ca="1">AVERAGE(OFFSET($CC$3,0,0,'Données projet'!$E$12+1,1))-AVERAGE(OFFSET($H$3,0,0,'Données projet'!$E$12+1,1))</f>
        <v>405.09126081846171</v>
      </c>
      <c r="CE5" s="62">
        <f t="shared" ref="CE5:CE68" si="40">$CE$3</f>
        <v>534.22295841722166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4.4000000000000004</v>
      </c>
      <c r="CT5" s="13">
        <f>IF('Données projet'!$A$140&gt;35,CT4+CS5-DB4,IF(A5&lt;'Données projet'!$A$140,$CQ$205^A5,IF(A5='Données projet'!$A$140,'Données projet'!$B$140,CT4+CS5-DB4)))</f>
        <v>3.4432540924015451</v>
      </c>
      <c r="CU5" s="18">
        <f>CT5*VLOOKUP('Données projet'!$B$13,Paramètres!$A$1:$I$89,3,0)*VLOOKUP('Données projet'!$B$13,Paramètres!$A$1:$I$89,5,0)</f>
        <v>3.115456302804918</v>
      </c>
      <c r="CV5" s="14">
        <f t="shared" ref="CV5:CV68" si="41">EXP(-1.0587+0.8836*LN(CU5)+0.284)</f>
        <v>1.2578469684295466</v>
      </c>
      <c r="CW5" s="22">
        <f t="shared" si="13"/>
        <v>7.6168365307333579</v>
      </c>
      <c r="CX5" s="62">
        <f t="shared" si="14"/>
        <v>266.72794764184448</v>
      </c>
      <c r="CY5" s="62">
        <f ca="1">AVERAGE(OFFSET($CX$3,0,0,'Données projet'!$E$13+1,1))-AVERAGE(OFFSET($H$3,0,0,'Données projet'!$E$13+1,1))</f>
        <v>244.82163392718377</v>
      </c>
      <c r="CZ5" s="62">
        <f t="shared" ref="CZ5:CZ68" si="42">$CZ$3</f>
        <v>342.30266518164211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2.4666666666666668</v>
      </c>
      <c r="DO5" s="13">
        <f>IF('Données projet'!$A$166&gt;35,DO4+DN5-DW4,IF(A5&lt;'Données projet'!$A$166,$DL$205^A5,IF(A5='Données projet'!$A$166,'Données projet'!$B$166,DO4+DN5-DW4)))</f>
        <v>1.6184286699097237</v>
      </c>
      <c r="DP5" s="18">
        <f>DO5*VLOOKUP('Données projet'!$B$14,Paramètres!$A$1:$I$89,3,0)*VLOOKUP('Données projet'!$B$14,Paramètres!$A$1:$I$89,5,0)</f>
        <v>1.2876218497801761</v>
      </c>
      <c r="DQ5" s="14">
        <f t="shared" ref="DQ5:DQ68" si="43">EXP(-1.0587+0.8836*LN(DP5)+0.284)</f>
        <v>0.57618379541883336</v>
      </c>
      <c r="DR5" s="22">
        <f t="shared" si="16"/>
        <v>3.2461281653882743</v>
      </c>
      <c r="DS5" s="62">
        <f t="shared" si="17"/>
        <v>262.3572392764994</v>
      </c>
      <c r="DT5" s="62">
        <f ca="1">AVERAGE(OFFSET($DS$3,0,0,'Données projet'!$E$14+1,1))-AVERAGE(OFFSET($H$3,0,0,'Données projet'!$E$14+1,1))</f>
        <v>298.89893065707554</v>
      </c>
      <c r="DU5" s="62">
        <f t="shared" ref="DU5:DU68" si="44">$DU$3</f>
        <v>294.28794439094878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3.65</v>
      </c>
      <c r="EJ5" s="13">
        <f>IF('Données projet'!$A$192&gt;35,EJ4+EI5-ER4,IF(A5&lt;'Données projet'!$A$192,$EG$205^A5,IF(A5='Données projet'!$A$192,'Données projet'!$B$192,EJ4+EI5-ER4)))</f>
        <v>1.5357915933617867</v>
      </c>
      <c r="EK5" s="18">
        <f>EJ5*VLOOKUP('Données projet'!$B$15,Paramètres!$A$1:$I$89,3,0)*VLOOKUP('Données projet'!$B$15,Paramètres!$A$1:$I$89,5,0)</f>
        <v>1.3895842336737447</v>
      </c>
      <c r="EL5" s="14">
        <f t="shared" ref="EL5:EL68" si="45">EXP(-1.0587+0.8836*LN(EK5)+0.284)</f>
        <v>0.61631841327304715</v>
      </c>
      <c r="EM5" s="22">
        <f t="shared" si="19"/>
        <v>3.4936137767656628</v>
      </c>
      <c r="EN5" s="62">
        <f t="shared" si="20"/>
        <v>262.60472488787678</v>
      </c>
      <c r="EO5" s="62">
        <f ca="1">AVERAGE(OFFSET($EN$3,0,0,'Données projet'!$E$15+1,1))-AVERAGE(OFFSET($H$3,0,0,'Données projet'!$E$15+1,1))</f>
        <v>439.06700232017681</v>
      </c>
      <c r="EP5" s="62">
        <f t="shared" ref="EP5:EP68" si="46">$EP$3</f>
        <v>278.21741231699929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3.65</v>
      </c>
      <c r="FE5" s="13">
        <f>IF('Données projet'!$A$218&gt;35,FE4+FD5-FM4,IF(A5&lt;'Données projet'!$A$218,$FB$205^A5,IF(A5='Données projet'!$A$218,'Données projet'!$B$218,FE4+FD5-FM4)))</f>
        <v>1.5357915933617867</v>
      </c>
      <c r="FF5" s="18">
        <f>FE5*VLOOKUP('Données projet'!$B$16,Paramètres!$A$1:$I$89,3,0)*VLOOKUP('Données projet'!$B$16,Paramètres!$A$1:$I$89,5,0)</f>
        <v>1.4854176290995202</v>
      </c>
      <c r="FG5" s="14">
        <f t="shared" ref="FG5:FG68" si="47">EXP(-1.0587+0.8836*LN(FF5)+0.284)</f>
        <v>0.65372856897250708</v>
      </c>
      <c r="FH5" s="22">
        <f t="shared" si="22"/>
        <v>3.725679628308781</v>
      </c>
      <c r="FI5" s="62">
        <f t="shared" si="23"/>
        <v>262.83679073941994</v>
      </c>
      <c r="FJ5" s="62">
        <f ca="1">AVERAGE(OFFSET($FI$3,0,0,'Données projet'!$E$16+1,1))-AVERAGE(OFFSET($H$3,0,0,'Données projet'!$E$16+1,1))</f>
        <v>466.4945858005575</v>
      </c>
      <c r="FK5" s="62">
        <f t="shared" ref="FK5:FK68" si="48">$FK$3</f>
        <v>294.45557293177131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3.65</v>
      </c>
      <c r="FZ5" s="13">
        <f>IF('Données projet'!$A$244&gt;35,FZ4+FY5-GH4,IF(A5&lt;'Données projet'!$A$244,$FW$205^A5,IF(A5='Données projet'!$A$244,'Données projet'!$B$244,FZ4+FY5-GH4)))</f>
        <v>1.5357915933617867</v>
      </c>
      <c r="GA5" s="18">
        <f>FZ5*VLOOKUP('Données projet'!$B$17,Paramètres!$A$1:$I$89,3,0)*VLOOKUP('Données projet'!$B$17,Paramètres!$A$1:$I$89,5,0)</f>
        <v>1.4614592802430761</v>
      </c>
      <c r="GB5" s="14">
        <f t="shared" ref="GB5:GB68" si="49">EXP(-1.0587+0.8836*LN(GA5)+0.284)</f>
        <v>0.64440308385463263</v>
      </c>
      <c r="GC5" s="22">
        <f t="shared" si="25"/>
        <v>3.6677102841368421</v>
      </c>
      <c r="GD5" s="62">
        <f t="shared" si="26"/>
        <v>262.77882139524797</v>
      </c>
      <c r="GE5" s="62">
        <f ca="1">AVERAGE(OFFSET($GD$3,0,0,'Données projet'!$E$17+1,1))-AVERAGE(OFFSET($H$3,0,0,'Données projet'!$E$17+1,1))</f>
        <v>459.64120566196812</v>
      </c>
      <c r="GF5" s="62">
        <f t="shared" ref="GF5:GF68" si="50">$GF$3</f>
        <v>290.39826583283588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3.4</v>
      </c>
      <c r="N6" s="14">
        <f>IF('Données projet'!$A$36&gt;35,N5+M6-V5,IF(A6&lt;'Données projet'!$A$36,$K$205^A6,IF(A6='Données projet'!$A$36,'Données projet'!$B$36,N5+M6-V5)))</f>
        <v>2.8803394661274377</v>
      </c>
      <c r="O6" s="14">
        <f>N6*VLOOKUP('Données projet'!$B$9,Paramètres!$A$1:$I$89,3,0)*VLOOKUP('Données projet'!$B$9,Paramètres!$A$1:$I$89,5,0)</f>
        <v>1.572665348505581</v>
      </c>
      <c r="P6" s="14">
        <f t="shared" si="33"/>
        <v>0.68754307993896846</v>
      </c>
      <c r="Q6" s="22">
        <f t="shared" si="2"/>
        <v>3.9365296795409237</v>
      </c>
      <c r="R6" s="62">
        <f t="shared" si="0"/>
        <v>264.26986301287423</v>
      </c>
      <c r="S6" s="62">
        <f ca="1">AVERAGE(OFFSET($R$3,0,0,'Données projet'!$E$9+1,1))-AVERAGE(OFFSET($H$3,0,0,'Données projet'!$E$9+1,1))</f>
        <v>170.27677128684815</v>
      </c>
      <c r="T6" s="62">
        <f t="shared" si="34"/>
        <v>243.47439640666289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6.6</v>
      </c>
      <c r="AI6" s="14">
        <f>IF('Données projet'!$A$62&gt;35,AI5+AH6-AQ5,IF(A6&lt;'Données projet'!$A$62,$AF$205^A6,IF(A6='Données projet'!$A$62,'Données projet'!$B$62,AI5+AH6-AQ5)))</f>
        <v>2.0801089837784965</v>
      </c>
      <c r="AJ6" s="14">
        <f>AI6*VLOOKUP('Données projet'!$B$10,Paramètres!$A$1:$I$89,3,0)*VLOOKUP('Données projet'!$B$10,Paramètres!$A$1:$I$89,5,0)</f>
        <v>1.8171832082288948</v>
      </c>
      <c r="AK6" s="14">
        <f t="shared" si="35"/>
        <v>0.7811901694881791</v>
      </c>
      <c r="AL6" s="22">
        <f t="shared" si="4"/>
        <v>4.5255002995239044</v>
      </c>
      <c r="AM6" s="62">
        <f t="shared" si="5"/>
        <v>264.85883363285723</v>
      </c>
      <c r="AN6" s="62">
        <f ca="1">AVERAGE(OFFSET($AM$3,0,0,'Données projet'!$E$10+1,1))-AVERAGE(OFFSET($H$3,0,0,'Données projet'!$E$10+1,1))</f>
        <v>327.826081588335</v>
      </c>
      <c r="AO6" s="62">
        <f t="shared" si="36"/>
        <v>348.84706693879735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1.9</v>
      </c>
      <c r="BD6" s="13">
        <f>IF('Données projet'!$A$88&gt;35,BD5+BC6-BL5,IF(A6&lt;'Données projet'!$A$88,$BA$205^A6,IF(A6='Données projet'!$A$88,'Données projet'!$B$88,BD5+BC6-BL5)))</f>
        <v>2.4189454814875879</v>
      </c>
      <c r="BE6" s="14">
        <f>BD6*VLOOKUP('Données projet'!$B$11,Paramètres!$A$1:$I$89,3,0)*VLOOKUP('Données projet'!$B$11,Paramètres!$A$1:$I$89,5,0)</f>
        <v>1.7735708270266992</v>
      </c>
      <c r="BF6" s="14">
        <f t="shared" si="37"/>
        <v>0.76460059525341872</v>
      </c>
      <c r="BG6" s="22">
        <f t="shared" si="7"/>
        <v>4.4206485604712045</v>
      </c>
      <c r="BH6" s="62">
        <f t="shared" si="8"/>
        <v>264.75398189380451</v>
      </c>
      <c r="BI6" s="62">
        <f ca="1">AVERAGE(OFFSET($BH$3,0,0,'Données projet'!$E$11+1,1))-AVERAGE(OFFSET($H$3,0,0,'Données projet'!$E$11+1,1))</f>
        <v>376.5422416541544</v>
      </c>
      <c r="BJ6" s="62">
        <f t="shared" si="38"/>
        <v>365.76175372075869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10.163529411764706</v>
      </c>
      <c r="BY6" s="13">
        <f>IF('Données projet'!$A$114&gt;35,BY5+BX6-CG5,IF(A6&lt;'Données projet'!$A$114,$BV$205^A6,IF(A6='Données projet'!$A$114,'Données projet'!$B$114,BY5+BX6-CG5)))</f>
        <v>2.4822858335751139</v>
      </c>
      <c r="BZ6" s="14">
        <f>BY6*VLOOKUP('Données projet'!$B$12,Paramètres!$A$1:$I$89,3,0)*VLOOKUP('Données projet'!$B$12,Paramètres!$A$1:$I$89,5,0)</f>
        <v>1.3875977809684887</v>
      </c>
      <c r="CA6" s="14">
        <f t="shared" si="39"/>
        <v>0.61553985638332231</v>
      </c>
      <c r="CB6" s="22">
        <f t="shared" si="10"/>
        <v>3.4887980517210706</v>
      </c>
      <c r="CC6" s="62">
        <f t="shared" si="11"/>
        <v>263.82213138505438</v>
      </c>
      <c r="CD6" s="62">
        <f ca="1">AVERAGE(OFFSET($CC$3,0,0,'Données projet'!$E$12+1,1))-AVERAGE(OFFSET($H$3,0,0,'Données projet'!$E$12+1,1))</f>
        <v>405.09126081846171</v>
      </c>
      <c r="CE6" s="62">
        <f t="shared" si="40"/>
        <v>534.22295841722166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4.4000000000000004</v>
      </c>
      <c r="CT6" s="13">
        <f>IF('Données projet'!$A$140&gt;35,CT5+CS6-DB5,IF(A6&lt;'Données projet'!$A$140,$CQ$205^A6,IF(A6='Données projet'!$A$140,'Données projet'!$B$140,CT5+CS6-DB5)))</f>
        <v>6.3893048289839696</v>
      </c>
      <c r="CU6" s="18">
        <f>CT6*VLOOKUP('Données projet'!$B$13,Paramètres!$A$1:$I$89,3,0)*VLOOKUP('Données projet'!$B$13,Paramètres!$A$1:$I$89,5,0)</f>
        <v>5.7810430092646952</v>
      </c>
      <c r="CV6" s="14">
        <f t="shared" si="41"/>
        <v>2.1720046143040199</v>
      </c>
      <c r="CW6" s="22">
        <f t="shared" si="13"/>
        <v>13.851557944382177</v>
      </c>
      <c r="CX6" s="62">
        <f t="shared" si="14"/>
        <v>274.18489127771551</v>
      </c>
      <c r="CY6" s="62">
        <f ca="1">AVERAGE(OFFSET($CX$3,0,0,'Données projet'!$E$13+1,1))-AVERAGE(OFFSET($H$3,0,0,'Données projet'!$E$13+1,1))</f>
        <v>244.82163392718377</v>
      </c>
      <c r="CZ6" s="62">
        <f t="shared" si="42"/>
        <v>342.30266518164211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2.4666666666666668</v>
      </c>
      <c r="DO6" s="13">
        <f>IF('Données projet'!$A$166&gt;35,DO5+DN6-DW5,IF(A6&lt;'Données projet'!$A$166,$DL$205^A6,IF(A6='Données projet'!$A$166,'Données projet'!$B$166,DO5+DN6-DW5)))</f>
        <v>2.0589241364785171</v>
      </c>
      <c r="DP6" s="18">
        <f>DO6*VLOOKUP('Données projet'!$B$14,Paramètres!$A$1:$I$89,3,0)*VLOOKUP('Données projet'!$B$14,Paramètres!$A$1:$I$89,5,0)</f>
        <v>1.6380800429823084</v>
      </c>
      <c r="DQ6" s="14">
        <f t="shared" si="43"/>
        <v>0.71275221602487127</v>
      </c>
      <c r="DR6" s="22">
        <f t="shared" si="16"/>
        <v>4.0943661844375043</v>
      </c>
      <c r="DS6" s="62">
        <f t="shared" si="17"/>
        <v>264.4276995177708</v>
      </c>
      <c r="DT6" s="62">
        <f ca="1">AVERAGE(OFFSET($DS$3,0,0,'Données projet'!$E$14+1,1))-AVERAGE(OFFSET($H$3,0,0,'Données projet'!$E$14+1,1))</f>
        <v>298.89893065707554</v>
      </c>
      <c r="DU6" s="62">
        <f t="shared" si="44"/>
        <v>294.28794439094878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3.65</v>
      </c>
      <c r="EJ6" s="13">
        <f>IF('Données projet'!$A$192&gt;35,EJ5+EI6-ER5,IF(A6&lt;'Données projet'!$A$192,$EG$205^A6,IF(A6='Données projet'!$A$192,'Données projet'!$B$192,EJ5+EI6-ER5)))</f>
        <v>1.9032613528593461</v>
      </c>
      <c r="EK6" s="18">
        <f>EJ6*VLOOKUP('Données projet'!$B$15,Paramètres!$A$1:$I$89,3,0)*VLOOKUP('Données projet'!$B$15,Paramètres!$A$1:$I$89,5,0)</f>
        <v>1.7220708720671365</v>
      </c>
      <c r="EL6" s="14">
        <f t="shared" si="45"/>
        <v>0.74494935243383209</v>
      </c>
      <c r="EM6" s="22">
        <f t="shared" si="19"/>
        <v>4.2967268910058536</v>
      </c>
      <c r="EN6" s="62">
        <f t="shared" si="20"/>
        <v>264.63006022433916</v>
      </c>
      <c r="EO6" s="62">
        <f ca="1">AVERAGE(OFFSET($EN$3,0,0,'Données projet'!$E$15+1,1))-AVERAGE(OFFSET($H$3,0,0,'Données projet'!$E$15+1,1))</f>
        <v>439.06700232017681</v>
      </c>
      <c r="EP6" s="62">
        <f t="shared" si="46"/>
        <v>278.21741231699929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3.65</v>
      </c>
      <c r="FE6" s="13">
        <f>IF('Données projet'!$A$218&gt;35,FE5+FD6-FM5,IF(A6&lt;'Données projet'!$A$218,$FB$205^A6,IF(A6='Données projet'!$A$218,'Données projet'!$B$218,FE5+FD6-FM5)))</f>
        <v>1.9032613528593461</v>
      </c>
      <c r="FF6" s="18">
        <f>FE6*VLOOKUP('Données projet'!$B$16,Paramètres!$A$1:$I$89,3,0)*VLOOKUP('Données projet'!$B$16,Paramètres!$A$1:$I$89,5,0)</f>
        <v>1.8408343804855598</v>
      </c>
      <c r="FG6" s="14">
        <f t="shared" si="47"/>
        <v>0.79016732850363813</v>
      </c>
      <c r="FH6" s="22">
        <f t="shared" si="22"/>
        <v>4.5823279764895188</v>
      </c>
      <c r="FI6" s="62">
        <f t="shared" si="23"/>
        <v>264.91566130982284</v>
      </c>
      <c r="FJ6" s="62">
        <f ca="1">AVERAGE(OFFSET($FI$3,0,0,'Données projet'!$E$16+1,1))-AVERAGE(OFFSET($H$3,0,0,'Données projet'!$E$16+1,1))</f>
        <v>466.4945858005575</v>
      </c>
      <c r="FK6" s="62">
        <f t="shared" si="48"/>
        <v>294.45557293177131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3.65</v>
      </c>
      <c r="FZ6" s="13">
        <f>IF('Données projet'!$A$244&gt;35,FZ5+FY6-GH5,IF(A6&lt;'Données projet'!$A$244,$FW$205^A6,IF(A6='Données projet'!$A$244,'Données projet'!$B$244,FZ5+FY6-GH5)))</f>
        <v>1.9032613528593461</v>
      </c>
      <c r="GA6" s="18">
        <f>FZ6*VLOOKUP('Données projet'!$B$17,Paramètres!$A$1:$I$89,3,0)*VLOOKUP('Données projet'!$B$17,Paramètres!$A$1:$I$89,5,0)</f>
        <v>1.8111435033809535</v>
      </c>
      <c r="GB6" s="14">
        <f t="shared" si="49"/>
        <v>0.77889553465474304</v>
      </c>
      <c r="GC6" s="22">
        <f t="shared" si="25"/>
        <v>4.5109846579121706</v>
      </c>
      <c r="GD6" s="62">
        <f t="shared" si="26"/>
        <v>264.84431799124548</v>
      </c>
      <c r="GE6" s="62">
        <f ca="1">AVERAGE(OFFSET($GD$3,0,0,'Données projet'!$E$17+1,1))-AVERAGE(OFFSET($H$3,0,0,'Données projet'!$E$17+1,1))</f>
        <v>459.64120566196812</v>
      </c>
      <c r="GF6" s="62">
        <f t="shared" si="50"/>
        <v>290.39826583283588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3.4</v>
      </c>
      <c r="N7" s="14">
        <f>IF('Données projet'!$A$36&gt;35,N6+M7-V6,IF(A7&lt;'Données projet'!$A$36,$K$205^A7,IF(A7='Données projet'!$A$36,'Données projet'!$B$36,N6+M7-V6)))</f>
        <v>4.0981850699807945</v>
      </c>
      <c r="O7" s="14">
        <f>N7*VLOOKUP('Données projet'!$B$9,Paramètres!$A$1:$I$89,3,0)*VLOOKUP('Données projet'!$B$9,Paramètres!$A$1:$I$89,5,0)</f>
        <v>2.2376090482095137</v>
      </c>
      <c r="P7" s="14">
        <f t="shared" si="33"/>
        <v>0.93890443912739685</v>
      </c>
      <c r="Q7" s="22">
        <f t="shared" si="2"/>
        <v>5.5324276571117856</v>
      </c>
      <c r="R7" s="62">
        <f t="shared" si="0"/>
        <v>267.08798321266733</v>
      </c>
      <c r="S7" s="62">
        <f ca="1">AVERAGE(OFFSET($R$3,0,0,'Données projet'!$E$9+1,1))-AVERAGE(OFFSET($H$3,0,0,'Données projet'!$E$9+1,1))</f>
        <v>170.27677128684815</v>
      </c>
      <c r="T7" s="62">
        <f t="shared" si="34"/>
        <v>243.47439640666289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6.6</v>
      </c>
      <c r="AI7" s="14">
        <f>IF('Données projet'!$A$62&gt;35,AI6+AH7-AQ6,IF(A7&lt;'Données projet'!$A$62,$AF$205^A7,IF(A7='Données projet'!$A$62,'Données projet'!$B$62,AI6+AH7-AQ6)))</f>
        <v>2.655307280461467</v>
      </c>
      <c r="AJ7" s="14">
        <f>AI7*VLOOKUP('Données projet'!$B$10,Paramètres!$A$1:$I$89,3,0)*VLOOKUP('Données projet'!$B$10,Paramètres!$A$1:$I$89,5,0)</f>
        <v>2.3196764402111376</v>
      </c>
      <c r="AK7" s="14">
        <f t="shared" si="35"/>
        <v>0.96926766711854973</v>
      </c>
      <c r="AL7" s="22">
        <f t="shared" si="4"/>
        <v>5.7282443202658717</v>
      </c>
      <c r="AM7" s="62">
        <f t="shared" si="5"/>
        <v>267.28379987582139</v>
      </c>
      <c r="AN7" s="62">
        <f ca="1">AVERAGE(OFFSET($AM$3,0,0,'Données projet'!$E$10+1,1))-AVERAGE(OFFSET($H$3,0,0,'Données projet'!$E$10+1,1))</f>
        <v>327.826081588335</v>
      </c>
      <c r="AO7" s="62">
        <f t="shared" si="36"/>
        <v>348.84706693879735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1.9</v>
      </c>
      <c r="BD7" s="13">
        <f>IF('Données projet'!$A$88&gt;35,BD6+BC7-BL6,IF(A7&lt;'Données projet'!$A$88,$BA$205^A7,IF(A7='Données projet'!$A$88,'Données projet'!$B$88,BD6+BC7-BL6)))</f>
        <v>3.247143191135669</v>
      </c>
      <c r="BE7" s="14">
        <f>BD7*VLOOKUP('Données projet'!$B$11,Paramètres!$A$1:$I$89,3,0)*VLOOKUP('Données projet'!$B$11,Paramètres!$A$1:$I$89,5,0)</f>
        <v>2.3808053877406725</v>
      </c>
      <c r="BF7" s="14">
        <f t="shared" si="37"/>
        <v>0.99180273134383279</v>
      </c>
      <c r="BG7" s="22">
        <f t="shared" si="7"/>
        <v>5.8739591407388465</v>
      </c>
      <c r="BH7" s="62">
        <f t="shared" si="8"/>
        <v>267.4295146962944</v>
      </c>
      <c r="BI7" s="62">
        <f ca="1">AVERAGE(OFFSET($BH$3,0,0,'Données projet'!$E$11+1,1))-AVERAGE(OFFSET($H$3,0,0,'Données projet'!$E$11+1,1))</f>
        <v>376.5422416541544</v>
      </c>
      <c r="BJ7" s="62">
        <f t="shared" si="38"/>
        <v>365.76175372075869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10.163529411764706</v>
      </c>
      <c r="BY7" s="13">
        <f>IF('Données projet'!$A$114&gt;35,BY6+BX7-CG6,IF(A7&lt;'Données projet'!$A$114,$BV$205^A7,IF(A7='Données projet'!$A$114,'Données projet'!$B$114,BY6+BX7-CG6)))</f>
        <v>3.3610041729989346</v>
      </c>
      <c r="BZ7" s="14">
        <f>BY7*VLOOKUP('Données projet'!$B$12,Paramètres!$A$1:$I$89,3,0)*VLOOKUP('Données projet'!$B$12,Paramètres!$A$1:$I$89,5,0)</f>
        <v>1.8788013327064044</v>
      </c>
      <c r="CA7" s="14">
        <f t="shared" si="39"/>
        <v>0.80455028383697591</v>
      </c>
      <c r="CB7" s="22">
        <f t="shared" si="10"/>
        <v>4.6735040654797206</v>
      </c>
      <c r="CC7" s="62">
        <f t="shared" si="11"/>
        <v>266.22905962103528</v>
      </c>
      <c r="CD7" s="62">
        <f ca="1">AVERAGE(OFFSET($CC$3,0,0,'Données projet'!$E$12+1,1))-AVERAGE(OFFSET($H$3,0,0,'Données projet'!$E$12+1,1))</f>
        <v>405.09126081846171</v>
      </c>
      <c r="CE7" s="62">
        <f t="shared" si="40"/>
        <v>534.22295841722166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4.4000000000000004</v>
      </c>
      <c r="CT7" s="13">
        <f>IF('Données projet'!$A$140&gt;35,CT6+CS7-DB6,IF(A7&lt;'Données projet'!$A$140,$CQ$205^A7,IF(A7='Données projet'!$A$140,'Données projet'!$B$140,CT6+CS7-DB6)))</f>
        <v>11.855998744839988</v>
      </c>
      <c r="CU7" s="18">
        <f>CT7*VLOOKUP('Données projet'!$B$13,Paramètres!$A$1:$I$89,3,0)*VLOOKUP('Données projet'!$B$13,Paramètres!$A$1:$I$89,5,0)</f>
        <v>10.727307664331221</v>
      </c>
      <c r="CV7" s="14">
        <f t="shared" si="41"/>
        <v>3.7505389470771635</v>
      </c>
      <c r="CW7" s="22">
        <f t="shared" si="13"/>
        <v>25.215582848202938</v>
      </c>
      <c r="CX7" s="62">
        <f t="shared" si="14"/>
        <v>286.77113840375847</v>
      </c>
      <c r="CY7" s="62">
        <f ca="1">AVERAGE(OFFSET($CX$3,0,0,'Données projet'!$E$13+1,1))-AVERAGE(OFFSET($H$3,0,0,'Données projet'!$E$13+1,1))</f>
        <v>244.82163392718377</v>
      </c>
      <c r="CZ7" s="62">
        <f t="shared" si="42"/>
        <v>342.30266518164211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2.4666666666666668</v>
      </c>
      <c r="DO7" s="13">
        <f>IF('Données projet'!$A$166&gt;35,DO6+DN7-DW6,IF(A7&lt;'Données projet'!$A$166,$DL$205^A7,IF(A7='Données projet'!$A$166,'Données projet'!$B$166,DO6+DN7-DW6)))</f>
        <v>2.6193113595857573</v>
      </c>
      <c r="DP7" s="18">
        <f>DO7*VLOOKUP('Données projet'!$B$14,Paramètres!$A$1:$I$89,3,0)*VLOOKUP('Données projet'!$B$14,Paramètres!$A$1:$I$89,5,0)</f>
        <v>2.0839241176864287</v>
      </c>
      <c r="DQ7" s="14">
        <f t="shared" si="43"/>
        <v>0.88169040068036508</v>
      </c>
      <c r="DR7" s="22">
        <f t="shared" si="16"/>
        <v>5.1651119528221656</v>
      </c>
      <c r="DS7" s="62">
        <f t="shared" si="17"/>
        <v>266.72066750837769</v>
      </c>
      <c r="DT7" s="62">
        <f ca="1">AVERAGE(OFFSET($DS$3,0,0,'Données projet'!$E$14+1,1))-AVERAGE(OFFSET($H$3,0,0,'Données projet'!$E$14+1,1))</f>
        <v>298.89893065707554</v>
      </c>
      <c r="DU7" s="62">
        <f t="shared" si="44"/>
        <v>294.28794439094878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3.65</v>
      </c>
      <c r="EJ7" s="13">
        <f>IF('Données projet'!$A$192&gt;35,EJ6+EI7-ER6,IF(A7&lt;'Données projet'!$A$192,$EG$205^A7,IF(A7='Données projet'!$A$192,'Données projet'!$B$192,EJ6+EI7-ER6)))</f>
        <v>2.3586558182407358</v>
      </c>
      <c r="EK7" s="18">
        <f>EJ7*VLOOKUP('Données projet'!$B$15,Paramètres!$A$1:$I$89,3,0)*VLOOKUP('Données projet'!$B$15,Paramètres!$A$1:$I$89,5,0)</f>
        <v>2.1341117843442179</v>
      </c>
      <c r="EL7" s="14">
        <f t="shared" si="45"/>
        <v>0.90042667189585779</v>
      </c>
      <c r="EM7" s="22">
        <f t="shared" si="19"/>
        <v>5.2851544779514645</v>
      </c>
      <c r="EN7" s="62">
        <f t="shared" si="20"/>
        <v>266.84071003350698</v>
      </c>
      <c r="EO7" s="62">
        <f ca="1">AVERAGE(OFFSET($EN$3,0,0,'Données projet'!$E$15+1,1))-AVERAGE(OFFSET($H$3,0,0,'Données projet'!$E$15+1,1))</f>
        <v>439.06700232017681</v>
      </c>
      <c r="EP7" s="62">
        <f t="shared" si="46"/>
        <v>278.21741231699929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3.65</v>
      </c>
      <c r="FE7" s="13">
        <f>IF('Données projet'!$A$218&gt;35,FE6+FD7-FM6,IF(A7&lt;'Données projet'!$A$218,$FB$205^A7,IF(A7='Données projet'!$A$218,'Données projet'!$B$218,FE6+FD7-FM6)))</f>
        <v>2.3586558182407358</v>
      </c>
      <c r="FF7" s="18">
        <f>FE7*VLOOKUP('Données projet'!$B$16,Paramètres!$A$1:$I$89,3,0)*VLOOKUP('Données projet'!$B$16,Paramètres!$A$1:$I$89,5,0)</f>
        <v>2.2812919074024398</v>
      </c>
      <c r="FG7" s="14">
        <f t="shared" si="47"/>
        <v>0.95508202741684722</v>
      </c>
      <c r="FH7" s="22">
        <f t="shared" si="22"/>
        <v>5.6366846031435918</v>
      </c>
      <c r="FI7" s="62">
        <f t="shared" si="23"/>
        <v>267.19224015869912</v>
      </c>
      <c r="FJ7" s="62">
        <f ca="1">AVERAGE(OFFSET($FI$3,0,0,'Données projet'!$E$16+1,1))-AVERAGE(OFFSET($H$3,0,0,'Données projet'!$E$16+1,1))</f>
        <v>466.4945858005575</v>
      </c>
      <c r="FK7" s="62">
        <f t="shared" si="48"/>
        <v>294.45557293177131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3.65</v>
      </c>
      <c r="FZ7" s="13">
        <f>IF('Données projet'!$A$244&gt;35,FZ6+FY7-GH6,IF(A7&lt;'Données projet'!$A$244,$FW$205^A7,IF(A7='Données projet'!$A$244,'Données projet'!$B$244,FZ6+FY7-GH6)))</f>
        <v>2.3586558182407358</v>
      </c>
      <c r="GA7" s="18">
        <f>FZ7*VLOOKUP('Données projet'!$B$17,Paramètres!$A$1:$I$89,3,0)*VLOOKUP('Données projet'!$B$17,Paramètres!$A$1:$I$89,5,0)</f>
        <v>2.2444968766378843</v>
      </c>
      <c r="GB7" s="14">
        <f t="shared" si="49"/>
        <v>0.94145771351081142</v>
      </c>
      <c r="GC7" s="22">
        <f t="shared" si="25"/>
        <v>5.5488709111756451</v>
      </c>
      <c r="GD7" s="62">
        <f t="shared" si="26"/>
        <v>267.10442646673118</v>
      </c>
      <c r="GE7" s="62">
        <f ca="1">AVERAGE(OFFSET($GD$3,0,0,'Données projet'!$E$17+1,1))-AVERAGE(OFFSET($H$3,0,0,'Données projet'!$E$17+1,1))</f>
        <v>459.64120566196812</v>
      </c>
      <c r="GF7" s="62">
        <f t="shared" si="50"/>
        <v>290.39826583283588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3.4</v>
      </c>
      <c r="N8" s="14">
        <f>IF('Données projet'!$A$36&gt;35,N7+M8-V7,IF(A8&lt;'Données projet'!$A$36,$K$205^A8,IF(A8='Données projet'!$A$36,'Données projet'!$B$36,N7+M8-V7)))</f>
        <v>5.8309518948453016</v>
      </c>
      <c r="O8" s="14">
        <f>N8*VLOOKUP('Données projet'!$B$9,Paramètres!$A$1:$I$89,3,0)*VLOOKUP('Données projet'!$B$9,Paramètres!$A$1:$I$89,5,0)</f>
        <v>3.1836997345855345</v>
      </c>
      <c r="P8" s="14">
        <f t="shared" si="33"/>
        <v>1.282161905973054</v>
      </c>
      <c r="Q8" s="22">
        <f t="shared" si="2"/>
        <v>7.7780423573062087</v>
      </c>
      <c r="R8" s="62">
        <f t="shared" si="0"/>
        <v>270.55582013508399</v>
      </c>
      <c r="S8" s="62">
        <f ca="1">AVERAGE(OFFSET($R$3,0,0,'Données projet'!$E$9+1,1))-AVERAGE(OFFSET($H$3,0,0,'Données projet'!$E$9+1,1))</f>
        <v>170.27677128684815</v>
      </c>
      <c r="T8" s="62">
        <f t="shared" si="34"/>
        <v>243.47439640666289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6.6</v>
      </c>
      <c r="AI8" s="14">
        <f>IF('Données projet'!$A$62&gt;35,AI7+AH8-AQ7,IF(A8&lt;'Données projet'!$A$62,$AF$205^A8,IF(A8='Données projet'!$A$62,'Données projet'!$B$62,AI7+AH8-AQ7)))</f>
        <v>3.3895612242701949</v>
      </c>
      <c r="AJ8" s="14">
        <f>AI8*VLOOKUP('Données projet'!$B$10,Paramètres!$A$1:$I$89,3,0)*VLOOKUP('Données projet'!$B$10,Paramètres!$A$1:$I$89,5,0)</f>
        <v>2.9611206855224426</v>
      </c>
      <c r="AK8" s="14">
        <f t="shared" si="35"/>
        <v>1.2026262582604759</v>
      </c>
      <c r="AL8" s="22">
        <f t="shared" si="4"/>
        <v>7.2518592604219156</v>
      </c>
      <c r="AM8" s="62">
        <f t="shared" si="5"/>
        <v>270.02963703819967</v>
      </c>
      <c r="AN8" s="62">
        <f ca="1">AVERAGE(OFFSET($AM$3,0,0,'Données projet'!$E$10+1,1))-AVERAGE(OFFSET($H$3,0,0,'Données projet'!$E$10+1,1))</f>
        <v>327.826081588335</v>
      </c>
      <c r="AO8" s="62">
        <f t="shared" si="36"/>
        <v>348.84706693879735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1.9</v>
      </c>
      <c r="BD8" s="13">
        <f>IF('Données projet'!$A$88&gt;35,BD7+BC8-BL7,IF(A8&lt;'Données projet'!$A$88,$BA$205^A8,IF(A8='Données projet'!$A$88,'Données projet'!$B$88,BD7+BC8-BL7)))</f>
        <v>4.3588989435406749</v>
      </c>
      <c r="BE8" s="14">
        <f>BD8*VLOOKUP('Données projet'!$B$11,Paramètres!$A$1:$I$89,3,0)*VLOOKUP('Données projet'!$B$11,Paramètres!$A$1:$I$89,5,0)</f>
        <v>3.1959447054040226</v>
      </c>
      <c r="BF8" s="14">
        <f t="shared" si="37"/>
        <v>1.2865182998910156</v>
      </c>
      <c r="BG8" s="22">
        <f t="shared" si="7"/>
        <v>7.8069564008888577</v>
      </c>
      <c r="BH8" s="62">
        <f t="shared" si="8"/>
        <v>270.58473417866662</v>
      </c>
      <c r="BI8" s="62">
        <f ca="1">AVERAGE(OFFSET($BH$3,0,0,'Données projet'!$E$11+1,1))-AVERAGE(OFFSET($H$3,0,0,'Données projet'!$E$11+1,1))</f>
        <v>376.5422416541544</v>
      </c>
      <c r="BJ8" s="62">
        <f t="shared" si="38"/>
        <v>365.76175372075869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10.163529411764706</v>
      </c>
      <c r="BY8" s="13">
        <f>IF('Données projet'!$A$114&gt;35,BY7+BX8-CG7,IF(A8&lt;'Données projet'!$A$114,$BV$205^A8,IF(A8='Données projet'!$A$114,'Données projet'!$B$114,BY7+BX8-CG7)))</f>
        <v>4.5507849652619088</v>
      </c>
      <c r="BZ8" s="14">
        <f>BY8*VLOOKUP('Données projet'!$B$12,Paramètres!$A$1:$I$89,3,0)*VLOOKUP('Données projet'!$B$12,Paramètres!$A$1:$I$89,5,0)</f>
        <v>2.5438887955814073</v>
      </c>
      <c r="CA8" s="14">
        <f t="shared" si="39"/>
        <v>1.0515991003823111</v>
      </c>
      <c r="CB8" s="22">
        <f t="shared" si="10"/>
        <v>6.2621414188034761</v>
      </c>
      <c r="CC8" s="62">
        <f t="shared" si="11"/>
        <v>269.03991919658125</v>
      </c>
      <c r="CD8" s="62">
        <f ca="1">AVERAGE(OFFSET($CC$3,0,0,'Données projet'!$E$12+1,1))-AVERAGE(OFFSET($H$3,0,0,'Données projet'!$E$12+1,1))</f>
        <v>405.09126081846171</v>
      </c>
      <c r="CE8" s="62">
        <f t="shared" si="40"/>
        <v>534.22295841722166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>
        <f>VLOOKUP(A8,'Données projet'!$A$139:$I$159,2,0)</f>
        <v>22</v>
      </c>
      <c r="CR8" s="13">
        <f>VLOOKUP(A8,'Données projet'!$A$139:$I$159,9,0)</f>
        <v>4.4000000000000004</v>
      </c>
      <c r="CS8" s="13">
        <f t="array" ref="CS8">INDEX(CR:CR,MIN(IF(ISNUMBER(CR8:CR204),ROW(CR8:CR204),"")))</f>
        <v>4.4000000000000004</v>
      </c>
      <c r="CT8" s="13">
        <f>IF('Données projet'!$A$140&gt;35,CT7+CS8-DB7,IF(A8&lt;'Données projet'!$A$140,$CQ$205^A8,IF(A8='Données projet'!$A$140,'Données projet'!$B$140,CT7+CS8-DB7)))</f>
        <v>22</v>
      </c>
      <c r="CU8" s="18">
        <f>CT8*VLOOKUP('Données projet'!$B$13,Paramètres!$A$1:$I$89,3,0)*VLOOKUP('Données projet'!$B$13,Paramètres!$A$1:$I$89,5,0)</f>
        <v>19.9056</v>
      </c>
      <c r="CV8" s="14">
        <f t="shared" si="41"/>
        <v>6.4762948940833853</v>
      </c>
      <c r="CW8" s="22">
        <f t="shared" si="13"/>
        <v>45.948466940528562</v>
      </c>
      <c r="CX8" s="62">
        <f t="shared" si="14"/>
        <v>308.72624471830636</v>
      </c>
      <c r="CY8" s="62">
        <f ca="1">AVERAGE(OFFSET($CX$3,0,0,'Données projet'!$E$13+1,1))-AVERAGE(OFFSET($H$3,0,0,'Données projet'!$E$13+1,1))</f>
        <v>244.82163392718377</v>
      </c>
      <c r="CZ8" s="62">
        <f t="shared" si="42"/>
        <v>342.30266518164211</v>
      </c>
      <c r="DA8" s="16">
        <f>IF(ISNA(VLOOKUP(A8,'Données projet'!$A$139:$I$159,3,0)),0,VLOOKUP(A8,'Données projet'!$A$139:$I$159,3,0))</f>
        <v>1</v>
      </c>
      <c r="DB8" s="16">
        <f>IF(ISNA(VLOOKUP(A8,'Données projet'!$A$139:$I$159,4,0)),0,VLOOKUP(A8,'Données projet'!$A$139:$I$159,4,0))</f>
        <v>2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2.4666666666666668</v>
      </c>
      <c r="DO8" s="13">
        <f>IF('Données projet'!$A$166&gt;35,DO7+DN8-DW7,IF(A8&lt;'Données projet'!$A$166,$DL$205^A8,IF(A8='Données projet'!$A$166,'Données projet'!$B$166,DO7+DN8-DW7)))</f>
        <v>3.332221851645953</v>
      </c>
      <c r="DP8" s="18">
        <f>DO8*VLOOKUP('Données projet'!$B$14,Paramètres!$A$1:$I$89,3,0)*VLOOKUP('Données projet'!$B$14,Paramètres!$A$1:$I$89,5,0)</f>
        <v>2.6511157051695204</v>
      </c>
      <c r="DQ8" s="14">
        <f t="shared" si="43"/>
        <v>1.0906707059957799</v>
      </c>
      <c r="DR8" s="22">
        <f t="shared" si="16"/>
        <v>6.5169446661128978</v>
      </c>
      <c r="DS8" s="62">
        <f t="shared" si="17"/>
        <v>269.29472244389069</v>
      </c>
      <c r="DT8" s="62">
        <f ca="1">AVERAGE(OFFSET($DS$3,0,0,'Données projet'!$E$14+1,1))-AVERAGE(OFFSET($H$3,0,0,'Données projet'!$E$14+1,1))</f>
        <v>298.89893065707554</v>
      </c>
      <c r="DU8" s="62">
        <f t="shared" si="44"/>
        <v>294.28794439094878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3.65</v>
      </c>
      <c r="EJ8" s="13">
        <f>IF('Données projet'!$A$192&gt;35,EJ7+EI8-ER7,IF(A8&lt;'Données projet'!$A$192,$EG$205^A8,IF(A8='Données projet'!$A$192,'Données projet'!$B$192,EJ7+EI8-ER7)))</f>
        <v>2.9230127856917649</v>
      </c>
      <c r="EK8" s="18">
        <f>EJ8*VLOOKUP('Données projet'!$B$15,Paramètres!$A$1:$I$89,3,0)*VLOOKUP('Données projet'!$B$15,Paramètres!$A$1:$I$89,5,0)</f>
        <v>2.6447419684939089</v>
      </c>
      <c r="EL8" s="14">
        <f t="shared" si="45"/>
        <v>1.0883534414958294</v>
      </c>
      <c r="EM8" s="22">
        <f t="shared" si="19"/>
        <v>6.5018078390654601</v>
      </c>
      <c r="EN8" s="62">
        <f t="shared" si="20"/>
        <v>269.27958561684324</v>
      </c>
      <c r="EO8" s="62">
        <f ca="1">AVERAGE(OFFSET($EN$3,0,0,'Données projet'!$E$15+1,1))-AVERAGE(OFFSET($H$3,0,0,'Données projet'!$E$15+1,1))</f>
        <v>439.06700232017681</v>
      </c>
      <c r="EP8" s="62">
        <f t="shared" si="46"/>
        <v>278.21741231699929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3.65</v>
      </c>
      <c r="FE8" s="13">
        <f>IF('Données projet'!$A$218&gt;35,FE7+FD8-FM7,IF(A8&lt;'Données projet'!$A$218,$FB$205^A8,IF(A8='Données projet'!$A$218,'Données projet'!$B$218,FE7+FD8-FM7)))</f>
        <v>2.9230127856917649</v>
      </c>
      <c r="FF8" s="18">
        <f>FE8*VLOOKUP('Données projet'!$B$16,Paramètres!$A$1:$I$89,3,0)*VLOOKUP('Données projet'!$B$16,Paramètres!$A$1:$I$89,5,0)</f>
        <v>2.8271379663210752</v>
      </c>
      <c r="FG8" s="14">
        <f t="shared" si="47"/>
        <v>1.1544158385061292</v>
      </c>
      <c r="FH8" s="22">
        <f t="shared" si="22"/>
        <v>6.9345395434073795</v>
      </c>
      <c r="FI8" s="62">
        <f t="shared" si="23"/>
        <v>269.71231732118514</v>
      </c>
      <c r="FJ8" s="62">
        <f ca="1">AVERAGE(OFFSET($FI$3,0,0,'Données projet'!$E$16+1,1))-AVERAGE(OFFSET($H$3,0,0,'Données projet'!$E$16+1,1))</f>
        <v>466.4945858005575</v>
      </c>
      <c r="FK8" s="62">
        <f t="shared" si="48"/>
        <v>294.45557293177131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3.65</v>
      </c>
      <c r="FZ8" s="13">
        <f>IF('Données projet'!$A$244&gt;35,FZ7+FY8-GH7,IF(A8&lt;'Données projet'!$A$244,$FW$205^A8,IF(A8='Données projet'!$A$244,'Données projet'!$B$244,FZ7+FY8-GH7)))</f>
        <v>2.9230127856917649</v>
      </c>
      <c r="GA8" s="18">
        <f>FZ8*VLOOKUP('Données projet'!$B$17,Paramètres!$A$1:$I$89,3,0)*VLOOKUP('Données projet'!$B$17,Paramètres!$A$1:$I$89,5,0)</f>
        <v>2.7815389668642836</v>
      </c>
      <c r="GB8" s="14">
        <f t="shared" si="49"/>
        <v>1.1379480134288988</v>
      </c>
      <c r="GC8" s="22">
        <f t="shared" si="25"/>
        <v>6.8264398240106265</v>
      </c>
      <c r="GD8" s="62">
        <f t="shared" si="26"/>
        <v>269.60421760178838</v>
      </c>
      <c r="GE8" s="62">
        <f ca="1">AVERAGE(OFFSET($GD$3,0,0,'Données projet'!$E$17+1,1))-AVERAGE(OFFSET($H$3,0,0,'Données projet'!$E$17+1,1))</f>
        <v>459.64120566196812</v>
      </c>
      <c r="GF8" s="62">
        <f t="shared" si="50"/>
        <v>290.39826583283588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3.4</v>
      </c>
      <c r="N9" s="14">
        <f>IF('Données projet'!$A$36&gt;35,N8+M9-V8,IF(A9&lt;'Données projet'!$A$36,$K$205^A9,IF(A9='Données projet'!$A$36,'Données projet'!$B$36,N8+M9-V8)))</f>
        <v>8.2963554401312951</v>
      </c>
      <c r="O9" s="14">
        <f>N9*VLOOKUP('Données projet'!$B$9,Paramètres!$A$1:$I$89,3,0)*VLOOKUP('Données projet'!$B$9,Paramètres!$A$1:$I$89,5,0)</f>
        <v>4.5298100703116866</v>
      </c>
      <c r="P9" s="14">
        <f t="shared" si="33"/>
        <v>1.750912110561865</v>
      </c>
      <c r="Q9" s="22">
        <f t="shared" si="2"/>
        <v>10.938924465021435</v>
      </c>
      <c r="R9" s="62">
        <f t="shared" si="0"/>
        <v>274.93892446502144</v>
      </c>
      <c r="S9" s="62">
        <f ca="1">AVERAGE(OFFSET($R$3,0,0,'Données projet'!$E$9+1,1))-AVERAGE(OFFSET($H$3,0,0,'Données projet'!$E$9+1,1))</f>
        <v>170.27677128684815</v>
      </c>
      <c r="T9" s="62">
        <f t="shared" si="34"/>
        <v>243.47439640666289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6.6</v>
      </c>
      <c r="AI9" s="14">
        <f>IF('Données projet'!$A$62&gt;35,AI8+AH9-AQ8,IF(A9&lt;'Données projet'!$A$62,$AF$205^A9,IF(A9='Données projet'!$A$62,'Données projet'!$B$62,AI8+AH9-AQ8)))</f>
        <v>4.32685338439601</v>
      </c>
      <c r="AJ9" s="14">
        <f>AI9*VLOOKUP('Données projet'!$B$10,Paramètres!$A$1:$I$89,3,0)*VLOOKUP('Données projet'!$B$10,Paramètres!$A$1:$I$89,5,0)</f>
        <v>3.7799391166083551</v>
      </c>
      <c r="AK9" s="14">
        <f t="shared" si="35"/>
        <v>1.4921677118944865</v>
      </c>
      <c r="AL9" s="22">
        <f t="shared" si="4"/>
        <v>9.1822527263091143</v>
      </c>
      <c r="AM9" s="62">
        <f t="shared" si="5"/>
        <v>273.18225272630912</v>
      </c>
      <c r="AN9" s="62">
        <f ca="1">AVERAGE(OFFSET($AM$3,0,0,'Données projet'!$E$10+1,1))-AVERAGE(OFFSET($H$3,0,0,'Données projet'!$E$10+1,1))</f>
        <v>327.826081588335</v>
      </c>
      <c r="AO9" s="62">
        <f t="shared" si="36"/>
        <v>348.84706693879735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1.9</v>
      </c>
      <c r="BD9" s="13">
        <f>IF('Données projet'!$A$88&gt;35,BD8+BC9-BL8,IF(A9&lt;'Données projet'!$A$88,$BA$205^A9,IF(A9='Données projet'!$A$88,'Données projet'!$B$88,BD8+BC9-BL8)))</f>
        <v>5.8512972424092187</v>
      </c>
      <c r="BE9" s="14">
        <f>BD9*VLOOKUP('Données projet'!$B$11,Paramètres!$A$1:$I$89,3,0)*VLOOKUP('Données projet'!$B$11,Paramètres!$A$1:$I$89,5,0)</f>
        <v>4.290171138134439</v>
      </c>
      <c r="BF9" s="14">
        <f t="shared" si="37"/>
        <v>1.6688090117596963</v>
      </c>
      <c r="BG9" s="22">
        <f t="shared" si="7"/>
        <v>10.378557094398952</v>
      </c>
      <c r="BH9" s="62">
        <f t="shared" si="8"/>
        <v>274.37855709439896</v>
      </c>
      <c r="BI9" s="62">
        <f ca="1">AVERAGE(OFFSET($BH$3,0,0,'Données projet'!$E$11+1,1))-AVERAGE(OFFSET($H$3,0,0,'Données projet'!$E$11+1,1))</f>
        <v>376.5422416541544</v>
      </c>
      <c r="BJ9" s="62">
        <f t="shared" si="38"/>
        <v>365.76175372075869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10.163529411764706</v>
      </c>
      <c r="BY9" s="13">
        <f>IF('Données projet'!$A$114&gt;35,BY8+BX9-CG8,IF(A9&lt;'Données projet'!$A$114,$BV$205^A9,IF(A9='Données projet'!$A$114,'Données projet'!$B$114,BY8+BX9-CG8)))</f>
        <v>6.1617429595676967</v>
      </c>
      <c r="BZ9" s="14">
        <f>BY9*VLOOKUP('Données projet'!$B$12,Paramètres!$A$1:$I$89,3,0)*VLOOKUP('Données projet'!$B$12,Paramètres!$A$1:$I$89,5,0)</f>
        <v>3.4444143143983426</v>
      </c>
      <c r="CA9" s="14">
        <f t="shared" si="39"/>
        <v>1.3745078339304442</v>
      </c>
      <c r="CB9" s="22">
        <f t="shared" si="10"/>
        <v>8.3929560750059693</v>
      </c>
      <c r="CC9" s="62">
        <f t="shared" si="11"/>
        <v>272.39295607500594</v>
      </c>
      <c r="CD9" s="62">
        <f ca="1">AVERAGE(OFFSET($CC$3,0,0,'Données projet'!$E$12+1,1))-AVERAGE(OFFSET($H$3,0,0,'Données projet'!$E$12+1,1))</f>
        <v>405.09126081846171</v>
      </c>
      <c r="CE9" s="62">
        <f t="shared" si="40"/>
        <v>534.22295841722166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8.4</v>
      </c>
      <c r="CT9" s="13">
        <f>IF('Données projet'!$A$140&gt;35,CT8+CS9-DB8,IF(A9&lt;'Données projet'!$A$140,$CQ$205^A9,IF(A9='Données projet'!$A$140,'Données projet'!$B$140,CT8+CS9-DB8)))</f>
        <v>28.4</v>
      </c>
      <c r="CU9" s="18">
        <f>CT9*VLOOKUP('Données projet'!$B$13,Paramètres!$A$1:$I$89,3,0)*VLOOKUP('Données projet'!$B$13,Paramètres!$A$1:$I$89,5,0)</f>
        <v>25.696319999999996</v>
      </c>
      <c r="CV9" s="14">
        <f t="shared" si="41"/>
        <v>8.1154764225027609</v>
      </c>
      <c r="CW9" s="22">
        <f t="shared" si="13"/>
        <v>58.88887876919231</v>
      </c>
      <c r="CX9" s="62">
        <f t="shared" si="14"/>
        <v>322.88887876919233</v>
      </c>
      <c r="CY9" s="62">
        <f ca="1">AVERAGE(OFFSET($CX$3,0,0,'Données projet'!$E$13+1,1))-AVERAGE(OFFSET($H$3,0,0,'Données projet'!$E$13+1,1))</f>
        <v>244.82163392718377</v>
      </c>
      <c r="CZ9" s="62">
        <f t="shared" si="42"/>
        <v>342.30266518164211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2.4666666666666668</v>
      </c>
      <c r="DO9" s="13">
        <f>IF('Données projet'!$A$166&gt;35,DO8+DN9-DW8,IF(A9&lt;'Données projet'!$A$166,$DL$205^A9,IF(A9='Données projet'!$A$166,'Données projet'!$B$166,DO8+DN9-DW8)))</f>
        <v>4.2391685997738069</v>
      </c>
      <c r="DP9" s="18">
        <f>DO9*VLOOKUP('Données projet'!$B$14,Paramètres!$A$1:$I$89,3,0)*VLOOKUP('Données projet'!$B$14,Paramètres!$A$1:$I$89,5,0)</f>
        <v>3.3726825379800407</v>
      </c>
      <c r="DQ9" s="14">
        <f t="shared" si="43"/>
        <v>1.3491840083541735</v>
      </c>
      <c r="DR9" s="22">
        <f t="shared" si="16"/>
        <v>8.2239175681987557</v>
      </c>
      <c r="DS9" s="62">
        <f t="shared" si="17"/>
        <v>272.22391756819877</v>
      </c>
      <c r="DT9" s="62">
        <f ca="1">AVERAGE(OFFSET($DS$3,0,0,'Données projet'!$E$14+1,1))-AVERAGE(OFFSET($H$3,0,0,'Données projet'!$E$14+1,1))</f>
        <v>298.89893065707554</v>
      </c>
      <c r="DU9" s="62">
        <f t="shared" si="44"/>
        <v>294.28794439094878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3.65</v>
      </c>
      <c r="EJ9" s="13">
        <f>IF('Données projet'!$A$192&gt;35,EJ8+EI9-ER8,IF(A9&lt;'Données projet'!$A$192,$EG$205^A9,IF(A9='Données projet'!$A$192,'Données projet'!$B$192,EJ8+EI9-ER8)))</f>
        <v>3.6224037772879885</v>
      </c>
      <c r="EK9" s="18">
        <f>EJ9*VLOOKUP('Données projet'!$B$15,Paramètres!$A$1:$I$89,3,0)*VLOOKUP('Données projet'!$B$15,Paramètres!$A$1:$I$89,5,0)</f>
        <v>3.2775509376901719</v>
      </c>
      <c r="EL9" s="14">
        <f t="shared" si="45"/>
        <v>1.315502139804245</v>
      </c>
      <c r="EM9" s="22">
        <f t="shared" si="19"/>
        <v>7.9995674433027766</v>
      </c>
      <c r="EN9" s="62">
        <f t="shared" si="20"/>
        <v>271.99956744330279</v>
      </c>
      <c r="EO9" s="62">
        <f ca="1">AVERAGE(OFFSET($EN$3,0,0,'Données projet'!$E$15+1,1))-AVERAGE(OFFSET($H$3,0,0,'Données projet'!$E$15+1,1))</f>
        <v>439.06700232017681</v>
      </c>
      <c r="EP9" s="62">
        <f t="shared" si="46"/>
        <v>278.21741231699929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3.65</v>
      </c>
      <c r="FE9" s="13">
        <f>IF('Données projet'!$A$218&gt;35,FE8+FD9-FM8,IF(A9&lt;'Données projet'!$A$218,$FB$205^A9,IF(A9='Données projet'!$A$218,'Données projet'!$B$218,FE8+FD9-FM8)))</f>
        <v>3.6224037772879885</v>
      </c>
      <c r="FF9" s="18">
        <f>FE9*VLOOKUP('Données projet'!$B$16,Paramètres!$A$1:$I$89,3,0)*VLOOKUP('Données projet'!$B$16,Paramètres!$A$1:$I$89,5,0)</f>
        <v>3.5035889333929422</v>
      </c>
      <c r="FG9" s="14">
        <f t="shared" si="47"/>
        <v>1.3953523257036018</v>
      </c>
      <c r="FH9" s="22">
        <f t="shared" si="22"/>
        <v>8.5323226929264795</v>
      </c>
      <c r="FI9" s="62">
        <f t="shared" si="23"/>
        <v>272.53232269292647</v>
      </c>
      <c r="FJ9" s="62">
        <f ca="1">AVERAGE(OFFSET($FI$3,0,0,'Données projet'!$E$16+1,1))-AVERAGE(OFFSET($H$3,0,0,'Données projet'!$E$16+1,1))</f>
        <v>466.4945858005575</v>
      </c>
      <c r="FK9" s="62">
        <f t="shared" si="48"/>
        <v>294.45557293177131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3.65</v>
      </c>
      <c r="FZ9" s="13">
        <f>IF('Données projet'!$A$244&gt;35,FZ8+FY9-GH8,IF(A9&lt;'Données projet'!$A$244,$FW$205^A9,IF(A9='Données projet'!$A$244,'Données projet'!$B$244,FZ8+FY9-GH8)))</f>
        <v>3.6224037772879885</v>
      </c>
      <c r="GA9" s="18">
        <f>FZ9*VLOOKUP('Données projet'!$B$17,Paramètres!$A$1:$I$89,3,0)*VLOOKUP('Données projet'!$B$17,Paramètres!$A$1:$I$89,5,0)</f>
        <v>3.4470794344672502</v>
      </c>
      <c r="GB9" s="14">
        <f t="shared" si="49"/>
        <v>1.3754475242842723</v>
      </c>
      <c r="GC9" s="22">
        <f t="shared" si="25"/>
        <v>8.3992344531589023</v>
      </c>
      <c r="GD9" s="62">
        <f t="shared" si="26"/>
        <v>272.3992344531589</v>
      </c>
      <c r="GE9" s="62">
        <f ca="1">AVERAGE(OFFSET($GD$3,0,0,'Données projet'!$E$17+1,1))-AVERAGE(OFFSET($H$3,0,0,'Données projet'!$E$17+1,1))</f>
        <v>459.64120566196812</v>
      </c>
      <c r="GF9" s="62">
        <f t="shared" si="50"/>
        <v>290.39826583283588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3.4</v>
      </c>
      <c r="N10" s="14">
        <f>IF('Données projet'!$A$36&gt;35,N9+M10-V9,IF(A10&lt;'Données projet'!$A$36,$K$205^A10,IF(A10='Données projet'!$A$36,'Données projet'!$B$36,N9+M10-V9)))</f>
        <v>11.804164196559917</v>
      </c>
      <c r="O10" s="14">
        <f>N10*VLOOKUP('Données projet'!$B$9,Paramètres!$A$1:$I$89,3,0)*VLOOKUP('Données projet'!$B$9,Paramètres!$A$1:$I$89,5,0)</f>
        <v>6.4450736513217146</v>
      </c>
      <c r="P10" s="14">
        <f t="shared" si="33"/>
        <v>2.391034396381944</v>
      </c>
      <c r="Q10" s="22">
        <f t="shared" si="2"/>
        <v>15.389554849750539</v>
      </c>
      <c r="R10" s="62">
        <f t="shared" si="0"/>
        <v>280.61177707197277</v>
      </c>
      <c r="S10" s="62">
        <f ca="1">AVERAGE(OFFSET($R$3,0,0,'Données projet'!$E$9+1,1))-AVERAGE(OFFSET($H$3,0,0,'Données projet'!$E$9+1,1))</f>
        <v>170.27677128684815</v>
      </c>
      <c r="T10" s="62">
        <f t="shared" si="34"/>
        <v>243.47439640666289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6.6</v>
      </c>
      <c r="AI10" s="14">
        <f>IF('Données projet'!$A$62&gt;35,AI9+AH10-AQ9,IF(A10&lt;'Données projet'!$A$62,$AF$205^A10,IF(A10='Données projet'!$A$62,'Données projet'!$B$62,AI9+AH10-AQ9)))</f>
        <v>5.5233285287803451</v>
      </c>
      <c r="AJ10" s="14">
        <f>AI10*VLOOKUP('Données projet'!$B$10,Paramètres!$A$1:$I$89,3,0)*VLOOKUP('Données projet'!$B$10,Paramètres!$A$1:$I$89,5,0)</f>
        <v>4.8251798027425101</v>
      </c>
      <c r="AK10" s="14">
        <f t="shared" si="35"/>
        <v>1.8514184811173284</v>
      </c>
      <c r="AL10" s="22">
        <f t="shared" si="4"/>
        <v>11.628408677722552</v>
      </c>
      <c r="AM10" s="62">
        <f t="shared" si="5"/>
        <v>276.8506308999448</v>
      </c>
      <c r="AN10" s="62">
        <f ca="1">AVERAGE(OFFSET($AM$3,0,0,'Données projet'!$E$10+1,1))-AVERAGE(OFFSET($H$3,0,0,'Données projet'!$E$10+1,1))</f>
        <v>327.826081588335</v>
      </c>
      <c r="AO10" s="62">
        <f t="shared" si="36"/>
        <v>348.84706693879735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1.9</v>
      </c>
      <c r="BD10" s="13">
        <f>IF('Données projet'!$A$88&gt;35,BD9+BC10-BL9,IF(A10&lt;'Données projet'!$A$88,$BA$205^A10,IF(A10='Données projet'!$A$88,'Données projet'!$B$88,BD9+BC10-BL9)))</f>
        <v>7.8546623499408135</v>
      </c>
      <c r="BE10" s="14">
        <f>BD10*VLOOKUP('Données projet'!$B$11,Paramètres!$A$1:$I$89,3,0)*VLOOKUP('Données projet'!$B$11,Paramètres!$A$1:$I$89,5,0)</f>
        <v>5.7590384349766044</v>
      </c>
      <c r="BF10" s="14">
        <f t="shared" si="37"/>
        <v>2.1646979432521807</v>
      </c>
      <c r="BG10" s="22">
        <f t="shared" si="7"/>
        <v>13.800507525415135</v>
      </c>
      <c r="BH10" s="62">
        <f t="shared" si="8"/>
        <v>279.02272974763736</v>
      </c>
      <c r="BI10" s="62">
        <f ca="1">AVERAGE(OFFSET($BH$3,0,0,'Données projet'!$E$11+1,1))-AVERAGE(OFFSET($H$3,0,0,'Données projet'!$E$11+1,1))</f>
        <v>376.5422416541544</v>
      </c>
      <c r="BJ10" s="62">
        <f t="shared" si="38"/>
        <v>365.76175372075869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10.163529411764706</v>
      </c>
      <c r="BY10" s="13">
        <f>IF('Données projet'!$A$114&gt;35,BY9+BX10-CG9,IF(A10&lt;'Données projet'!$A$114,$BV$205^A10,IF(A10='Données projet'!$A$114,'Données projet'!$B$114,BY9+BX10-CG9)))</f>
        <v>8.3429730452220969</v>
      </c>
      <c r="BZ10" s="14">
        <f>BY10*VLOOKUP('Données projet'!$B$12,Paramètres!$A$1:$I$89,3,0)*VLOOKUP('Données projet'!$B$12,Paramètres!$A$1:$I$89,5,0)</f>
        <v>4.6637219322791523</v>
      </c>
      <c r="CA10" s="14">
        <f t="shared" si="39"/>
        <v>1.7965703706377396</v>
      </c>
      <c r="CB10" s="22">
        <f t="shared" si="10"/>
        <v>11.251675760913587</v>
      </c>
      <c r="CC10" s="62">
        <f t="shared" si="11"/>
        <v>276.47389798313583</v>
      </c>
      <c r="CD10" s="62">
        <f ca="1">AVERAGE(OFFSET($CC$3,0,0,'Données projet'!$E$12+1,1))-AVERAGE(OFFSET($H$3,0,0,'Données projet'!$E$12+1,1))</f>
        <v>405.09126081846171</v>
      </c>
      <c r="CE10" s="62">
        <f t="shared" si="40"/>
        <v>534.22295841722166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8.4</v>
      </c>
      <c r="CT10" s="13">
        <f>IF('Données projet'!$A$140&gt;35,CT9+CS10-DB9,IF(A10&lt;'Données projet'!$A$140,$CQ$205^A10,IF(A10='Données projet'!$A$140,'Données projet'!$B$140,CT9+CS10-DB9)))</f>
        <v>36.799999999999997</v>
      </c>
      <c r="CU10" s="18">
        <f>CT10*VLOOKUP('Données projet'!$B$13,Paramètres!$A$1:$I$89,3,0)*VLOOKUP('Données projet'!$B$13,Paramètres!$A$1:$I$89,5,0)</f>
        <v>33.296639999999996</v>
      </c>
      <c r="CV10" s="14">
        <f t="shared" si="41"/>
        <v>10.203403646313538</v>
      </c>
      <c r="CW10" s="22">
        <f t="shared" si="13"/>
        <v>75.762576017329408</v>
      </c>
      <c r="CX10" s="62">
        <f t="shared" si="14"/>
        <v>340.98479823955165</v>
      </c>
      <c r="CY10" s="62">
        <f ca="1">AVERAGE(OFFSET($CX$3,0,0,'Données projet'!$E$13+1,1))-AVERAGE(OFFSET($H$3,0,0,'Données projet'!$E$13+1,1))</f>
        <v>244.82163392718377</v>
      </c>
      <c r="CZ10" s="62">
        <f t="shared" si="42"/>
        <v>342.30266518164211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2.4666666666666668</v>
      </c>
      <c r="DO10" s="13">
        <f>IF('Données projet'!$A$166&gt;35,DO9+DN10-DW9,IF(A10&lt;'Données projet'!$A$166,$DL$205^A10,IF(A10='Données projet'!$A$166,'Données projet'!$B$166,DO9+DN10-DW9)))</f>
        <v>5.3929633792034757</v>
      </c>
      <c r="DP10" s="18">
        <f>DO10*VLOOKUP('Données projet'!$B$14,Paramètres!$A$1:$I$89,3,0)*VLOOKUP('Données projet'!$B$14,Paramètres!$A$1:$I$89,5,0)</f>
        <v>4.2906416644942853</v>
      </c>
      <c r="DQ10" s="14">
        <f t="shared" si="43"/>
        <v>1.6689707336887791</v>
      </c>
      <c r="DR10" s="22">
        <f t="shared" si="16"/>
        <v>10.379658260168837</v>
      </c>
      <c r="DS10" s="62">
        <f t="shared" si="17"/>
        <v>275.60188048239104</v>
      </c>
      <c r="DT10" s="62">
        <f ca="1">AVERAGE(OFFSET($DS$3,0,0,'Données projet'!$E$14+1,1))-AVERAGE(OFFSET($H$3,0,0,'Données projet'!$E$14+1,1))</f>
        <v>298.89893065707554</v>
      </c>
      <c r="DU10" s="62">
        <f t="shared" si="44"/>
        <v>294.28794439094878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3.65</v>
      </c>
      <c r="EJ10" s="13">
        <f>IF('Données projet'!$A$192&gt;35,EJ9+EI10-ER9,IF(A10&lt;'Données projet'!$A$192,$EG$205^A10,IF(A10='Données projet'!$A$192,'Données projet'!$B$192,EJ9+EI10-ER9)))</f>
        <v>4.4891384635544309</v>
      </c>
      <c r="EK10" s="18">
        <f>EJ10*VLOOKUP('Données projet'!$B$15,Paramètres!$A$1:$I$89,3,0)*VLOOKUP('Données projet'!$B$15,Paramètres!$A$1:$I$89,5,0)</f>
        <v>4.0617724818240486</v>
      </c>
      <c r="EL10" s="14">
        <f t="shared" si="45"/>
        <v>1.590058719758437</v>
      </c>
      <c r="EM10" s="22">
        <f t="shared" si="19"/>
        <v>9.8436060094228282</v>
      </c>
      <c r="EN10" s="62">
        <f t="shared" si="20"/>
        <v>275.06582823164507</v>
      </c>
      <c r="EO10" s="62">
        <f ca="1">AVERAGE(OFFSET($EN$3,0,0,'Données projet'!$E$15+1,1))-AVERAGE(OFFSET($H$3,0,0,'Données projet'!$E$15+1,1))</f>
        <v>439.06700232017681</v>
      </c>
      <c r="EP10" s="62">
        <f t="shared" si="46"/>
        <v>278.21741231699929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3.65</v>
      </c>
      <c r="FE10" s="13">
        <f>IF('Données projet'!$A$218&gt;35,FE9+FD10-FM9,IF(A10&lt;'Données projet'!$A$218,$FB$205^A10,IF(A10='Données projet'!$A$218,'Données projet'!$B$218,FE9+FD10-FM9)))</f>
        <v>4.4891384635544309</v>
      </c>
      <c r="FF10" s="18">
        <f>FE10*VLOOKUP('Données projet'!$B$16,Paramètres!$A$1:$I$89,3,0)*VLOOKUP('Données projet'!$B$16,Paramètres!$A$1:$I$89,5,0)</f>
        <v>4.3418947219498456</v>
      </c>
      <c r="FG10" s="14">
        <f t="shared" si="47"/>
        <v>1.6865743243491664</v>
      </c>
      <c r="FH10" s="22">
        <f t="shared" si="22"/>
        <v>10.499583588970779</v>
      </c>
      <c r="FI10" s="62">
        <f t="shared" si="23"/>
        <v>275.72180581119301</v>
      </c>
      <c r="FJ10" s="62">
        <f ca="1">AVERAGE(OFFSET($FI$3,0,0,'Données projet'!$E$16+1,1))-AVERAGE(OFFSET($H$3,0,0,'Données projet'!$E$16+1,1))</f>
        <v>466.4945858005575</v>
      </c>
      <c r="FK10" s="62">
        <f t="shared" si="48"/>
        <v>294.45557293177131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3.65</v>
      </c>
      <c r="FZ10" s="13">
        <f>IF('Données projet'!$A$244&gt;35,FZ9+FY10-GH9,IF(A10&lt;'Données projet'!$A$244,$FW$205^A10,IF(A10='Données projet'!$A$244,'Données projet'!$B$244,FZ9+FY10-GH9)))</f>
        <v>4.4891384635544309</v>
      </c>
      <c r="GA10" s="18">
        <f>FZ10*VLOOKUP('Données projet'!$B$17,Paramètres!$A$1:$I$89,3,0)*VLOOKUP('Données projet'!$B$17,Paramètres!$A$1:$I$89,5,0)</f>
        <v>4.2718641619183968</v>
      </c>
      <c r="GB10" s="14">
        <f t="shared" si="49"/>
        <v>1.6625152201453717</v>
      </c>
      <c r="GC10" s="22">
        <f t="shared" si="25"/>
        <v>10.335710757094397</v>
      </c>
      <c r="GD10" s="62">
        <f t="shared" si="26"/>
        <v>275.5579329793166</v>
      </c>
      <c r="GE10" s="62">
        <f ca="1">AVERAGE(OFFSET($GD$3,0,0,'Données projet'!$E$17+1,1))-AVERAGE(OFFSET($H$3,0,0,'Données projet'!$E$17+1,1))</f>
        <v>459.64120566196812</v>
      </c>
      <c r="GF10" s="62">
        <f t="shared" si="50"/>
        <v>290.39826583283588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3.4</v>
      </c>
      <c r="N11" s="14">
        <f>IF('Données projet'!$A$36&gt;35,N10+M11-V10,IF(A11&lt;'Données projet'!$A$36,$K$205^A11,IF(A11='Données projet'!$A$36,'Données projet'!$B$36,N10+M11-V10)))</f>
        <v>16.795120867813488</v>
      </c>
      <c r="O11" s="14">
        <f>N11*VLOOKUP('Données projet'!$B$9,Paramètres!$A$1:$I$89,3,0)*VLOOKUP('Données projet'!$B$9,Paramètres!$A$1:$I$89,5,0)</f>
        <v>9.1701359938261628</v>
      </c>
      <c r="P11" s="14">
        <f t="shared" si="33"/>
        <v>3.2651813019026847</v>
      </c>
      <c r="Q11" s="22">
        <f t="shared" si="2"/>
        <v>21.658177623394408</v>
      </c>
      <c r="R11" s="62">
        <f t="shared" si="0"/>
        <v>288.10262206783887</v>
      </c>
      <c r="S11" s="62">
        <f ca="1">AVERAGE(OFFSET($R$3,0,0,'Données projet'!$E$9+1,1))-AVERAGE(OFFSET($H$3,0,0,'Données projet'!$E$9+1,1))</f>
        <v>170.27677128684815</v>
      </c>
      <c r="T11" s="62">
        <f t="shared" si="34"/>
        <v>243.47439640666289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6.6</v>
      </c>
      <c r="AI11" s="14">
        <f>IF('Données projet'!$A$62&gt;35,AI10+AH11-AQ10,IF(A11&lt;'Données projet'!$A$62,$AF$205^A11,IF(A11='Données projet'!$A$62,'Données projet'!$B$62,AI10+AH11-AQ10)))</f>
        <v>7.0506567536716718</v>
      </c>
      <c r="AJ11" s="14">
        <f>AI11*VLOOKUP('Données projet'!$B$10,Paramètres!$A$1:$I$89,3,0)*VLOOKUP('Données projet'!$B$10,Paramètres!$A$1:$I$89,5,0)</f>
        <v>6.1594537400075735</v>
      </c>
      <c r="AK11" s="14">
        <f t="shared" si="35"/>
        <v>2.2971616158822084</v>
      </c>
      <c r="AL11" s="22">
        <f t="shared" si="4"/>
        <v>14.728605078174702</v>
      </c>
      <c r="AM11" s="62">
        <f t="shared" si="5"/>
        <v>281.17304952261918</v>
      </c>
      <c r="AN11" s="62">
        <f ca="1">AVERAGE(OFFSET($AM$3,0,0,'Données projet'!$E$10+1,1))-AVERAGE(OFFSET($H$3,0,0,'Données projet'!$E$10+1,1))</f>
        <v>327.826081588335</v>
      </c>
      <c r="AO11" s="62">
        <f t="shared" si="36"/>
        <v>348.84706693879735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1.9</v>
      </c>
      <c r="BD11" s="13">
        <f>IF('Données projet'!$A$88&gt;35,BD10+BC11-BL10,IF(A11&lt;'Données projet'!$A$88,$BA$205^A11,IF(A11='Données projet'!$A$88,'Données projet'!$B$88,BD10+BC11-BL10)))</f>
        <v>10.543938903738736</v>
      </c>
      <c r="BE11" s="14">
        <f>BD11*VLOOKUP('Données projet'!$B$11,Paramètres!$A$1:$I$89,3,0)*VLOOKUP('Données projet'!$B$11,Paramètres!$A$1:$I$89,5,0)</f>
        <v>7.730816004221241</v>
      </c>
      <c r="BF11" s="14">
        <f t="shared" si="37"/>
        <v>2.8079409641844508</v>
      </c>
      <c r="BG11" s="22">
        <f t="shared" si="7"/>
        <v>18.355001719973249</v>
      </c>
      <c r="BH11" s="62">
        <f t="shared" si="8"/>
        <v>284.7994461644177</v>
      </c>
      <c r="BI11" s="62">
        <f ca="1">AVERAGE(OFFSET($BH$3,0,0,'Données projet'!$E$11+1,1))-AVERAGE(OFFSET($H$3,0,0,'Données projet'!$E$11+1,1))</f>
        <v>376.5422416541544</v>
      </c>
      <c r="BJ11" s="62">
        <f t="shared" si="38"/>
        <v>365.76175372075869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10.163529411764706</v>
      </c>
      <c r="BY11" s="13">
        <f>IF('Données projet'!$A$114&gt;35,BY10+BX11-CG10,IF(A11&lt;'Données projet'!$A$114,$BV$205^A11,IF(A11='Données projet'!$A$114,'Données projet'!$B$114,BY10+BX11-CG10)))</f>
        <v>11.296349050916252</v>
      </c>
      <c r="BZ11" s="14">
        <f>BY11*VLOOKUP('Données projet'!$B$12,Paramètres!$A$1:$I$89,3,0)*VLOOKUP('Données projet'!$B$12,Paramètres!$A$1:$I$89,5,0)</f>
        <v>6.3146591194621848</v>
      </c>
      <c r="CA11" s="14">
        <f t="shared" si="39"/>
        <v>2.3482333217583955</v>
      </c>
      <c r="CB11" s="22">
        <f t="shared" si="10"/>
        <v>15.087871001792513</v>
      </c>
      <c r="CC11" s="62">
        <f t="shared" si="11"/>
        <v>281.53231544623696</v>
      </c>
      <c r="CD11" s="62">
        <f ca="1">AVERAGE(OFFSET($CC$3,0,0,'Données projet'!$E$12+1,1))-AVERAGE(OFFSET($H$3,0,0,'Données projet'!$E$12+1,1))</f>
        <v>405.09126081846171</v>
      </c>
      <c r="CE11" s="62">
        <f t="shared" si="40"/>
        <v>534.22295841722166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8.4</v>
      </c>
      <c r="CT11" s="13">
        <f>IF('Données projet'!$A$140&gt;35,CT10+CS11-DB10,IF(A11&lt;'Données projet'!$A$140,$CQ$205^A11,IF(A11='Données projet'!$A$140,'Données projet'!$B$140,CT10+CS11-DB10)))</f>
        <v>45.199999999999996</v>
      </c>
      <c r="CU11" s="18">
        <f>CT11*VLOOKUP('Données projet'!$B$13,Paramètres!$A$1:$I$89,3,0)*VLOOKUP('Données projet'!$B$13,Paramètres!$A$1:$I$89,5,0)</f>
        <v>40.896959999999993</v>
      </c>
      <c r="CV11" s="14">
        <f t="shared" si="41"/>
        <v>12.236078544211829</v>
      </c>
      <c r="CW11" s="22">
        <f t="shared" si="13"/>
        <v>92.540042131168903</v>
      </c>
      <c r="CX11" s="62">
        <f t="shared" si="14"/>
        <v>358.98448657561335</v>
      </c>
      <c r="CY11" s="62">
        <f ca="1">AVERAGE(OFFSET($CX$3,0,0,'Données projet'!$E$13+1,1))-AVERAGE(OFFSET($H$3,0,0,'Données projet'!$E$13+1,1))</f>
        <v>244.82163392718377</v>
      </c>
      <c r="CZ11" s="62">
        <f t="shared" si="42"/>
        <v>342.30266518164211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2.4666666666666668</v>
      </c>
      <c r="DO11" s="13">
        <f>IF('Données projet'!$A$166&gt;35,DO10+DN11-DW10,IF(A11&lt;'Données projet'!$A$166,$DL$205^A11,IF(A11='Données projet'!$A$166,'Données projet'!$B$166,DO10+DN11-DW10)))</f>
        <v>6.8607919984549888</v>
      </c>
      <c r="DP11" s="18">
        <f>DO11*VLOOKUP('Données projet'!$B$14,Paramètres!$A$1:$I$89,3,0)*VLOOKUP('Données projet'!$B$14,Paramètres!$A$1:$I$89,5,0)</f>
        <v>5.4584461139707896</v>
      </c>
      <c r="DQ11" s="14">
        <f t="shared" si="43"/>
        <v>2.0645540509389519</v>
      </c>
      <c r="DR11" s="22">
        <f t="shared" si="16"/>
        <v>13.102558620551131</v>
      </c>
      <c r="DS11" s="62">
        <f t="shared" si="17"/>
        <v>279.54700306499558</v>
      </c>
      <c r="DT11" s="62">
        <f ca="1">AVERAGE(OFFSET($DS$3,0,0,'Données projet'!$E$14+1,1))-AVERAGE(OFFSET($H$3,0,0,'Données projet'!$E$14+1,1))</f>
        <v>298.89893065707554</v>
      </c>
      <c r="DU11" s="62">
        <f t="shared" si="44"/>
        <v>294.28794439094878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3.65</v>
      </c>
      <c r="EJ11" s="13">
        <f>IF('Données projet'!$A$192&gt;35,EJ10+EI11-ER10,IF(A11&lt;'Données projet'!$A$192,$EG$205^A11,IF(A11='Données projet'!$A$192,'Données projet'!$B$192,EJ10+EI11-ER10)))</f>
        <v>5.563257268920875</v>
      </c>
      <c r="EK11" s="18">
        <f>EJ11*VLOOKUP('Données projet'!$B$15,Paramètres!$A$1:$I$89,3,0)*VLOOKUP('Données projet'!$B$15,Paramètres!$A$1:$I$89,5,0)</f>
        <v>5.0336351769196082</v>
      </c>
      <c r="EL11" s="14">
        <f t="shared" si="45"/>
        <v>1.9219176128866391</v>
      </c>
      <c r="EM11" s="22">
        <f t="shared" si="19"/>
        <v>12.11425444224588</v>
      </c>
      <c r="EN11" s="62">
        <f t="shared" si="20"/>
        <v>278.55869888669031</v>
      </c>
      <c r="EO11" s="62">
        <f ca="1">AVERAGE(OFFSET($EN$3,0,0,'Données projet'!$E$15+1,1))-AVERAGE(OFFSET($H$3,0,0,'Données projet'!$E$15+1,1))</f>
        <v>439.06700232017681</v>
      </c>
      <c r="EP11" s="62">
        <f t="shared" si="46"/>
        <v>278.21741231699929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3.65</v>
      </c>
      <c r="FE11" s="13">
        <f>IF('Données projet'!$A$218&gt;35,FE10+FD11-FM10,IF(A11&lt;'Données projet'!$A$218,$FB$205^A11,IF(A11='Données projet'!$A$218,'Données projet'!$B$218,FE10+FD11-FM10)))</f>
        <v>5.563257268920875</v>
      </c>
      <c r="FF11" s="18">
        <f>FE11*VLOOKUP('Données projet'!$B$16,Paramètres!$A$1:$I$89,3,0)*VLOOKUP('Données projet'!$B$16,Paramètres!$A$1:$I$89,5,0)</f>
        <v>5.3807824305002701</v>
      </c>
      <c r="FG11" s="14">
        <f t="shared" si="47"/>
        <v>2.0385768519929188</v>
      </c>
      <c r="FH11" s="22">
        <f t="shared" si="22"/>
        <v>12.922050750342303</v>
      </c>
      <c r="FI11" s="62">
        <f t="shared" si="23"/>
        <v>279.36649519478675</v>
      </c>
      <c r="FJ11" s="62">
        <f ca="1">AVERAGE(OFFSET($FI$3,0,0,'Données projet'!$E$16+1,1))-AVERAGE(OFFSET($H$3,0,0,'Données projet'!$E$16+1,1))</f>
        <v>466.4945858005575</v>
      </c>
      <c r="FK11" s="62">
        <f t="shared" si="48"/>
        <v>294.45557293177131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3.65</v>
      </c>
      <c r="FZ11" s="13">
        <f>IF('Données projet'!$A$244&gt;35,FZ10+FY11-GH10,IF(A11&lt;'Données projet'!$A$244,$FW$205^A11,IF(A11='Données projet'!$A$244,'Données projet'!$B$244,FZ10+FY11-GH10)))</f>
        <v>5.563257268920875</v>
      </c>
      <c r="GA11" s="18">
        <f>FZ11*VLOOKUP('Données projet'!$B$17,Paramètres!$A$1:$I$89,3,0)*VLOOKUP('Données projet'!$B$17,Paramètres!$A$1:$I$89,5,0)</f>
        <v>5.2939956171051046</v>
      </c>
      <c r="GB11" s="14">
        <f t="shared" si="49"/>
        <v>2.0094964063810909</v>
      </c>
      <c r="GC11" s="22">
        <f t="shared" si="25"/>
        <v>12.72024860757179</v>
      </c>
      <c r="GD11" s="62">
        <f t="shared" si="26"/>
        <v>279.16469305201622</v>
      </c>
      <c r="GE11" s="62">
        <f ca="1">AVERAGE(OFFSET($GD$3,0,0,'Données projet'!$E$17+1,1))-AVERAGE(OFFSET($H$3,0,0,'Données projet'!$E$17+1,1))</f>
        <v>459.64120566196812</v>
      </c>
      <c r="GF11" s="62">
        <f t="shared" si="50"/>
        <v>290.39826583283588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3.4</v>
      </c>
      <c r="N12" s="14">
        <f>IF('Données projet'!$A$36&gt;35,N11+M12-V11,IF(A12&lt;'Données projet'!$A$36,$K$205^A12,IF(A12='Données projet'!$A$36,'Données projet'!$B$36,N11+M12-V11)))</f>
        <v>23.896319999231235</v>
      </c>
      <c r="O12" s="14">
        <f>N12*VLOOKUP('Données projet'!$B$9,Paramètres!$A$1:$I$89,3,0)*VLOOKUP('Données projet'!$B$9,Paramètres!$A$1:$I$89,5,0)</f>
        <v>13.047390719580255</v>
      </c>
      <c r="P12" s="14">
        <f t="shared" si="33"/>
        <v>4.4589107335417264</v>
      </c>
      <c r="Q12" s="22">
        <f t="shared" si="2"/>
        <v>30.490141697520784</v>
      </c>
      <c r="R12" s="62">
        <f t="shared" si="0"/>
        <v>298.15680836418744</v>
      </c>
      <c r="S12" s="62">
        <f ca="1">AVERAGE(OFFSET($R$3,0,0,'Données projet'!$E$9+1,1))-AVERAGE(OFFSET($H$3,0,0,'Données projet'!$E$9+1,1))</f>
        <v>170.27677128684815</v>
      </c>
      <c r="T12" s="62">
        <f t="shared" si="34"/>
        <v>243.47439640666289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6.6</v>
      </c>
      <c r="AI12" s="14">
        <f>IF('Données projet'!$A$62&gt;35,AI11+AH12-AQ11,IF(A12&lt;'Données projet'!$A$62,$AF$205^A12,IF(A12='Données projet'!$A$62,'Données projet'!$B$62,AI11+AH12-AQ11)))</f>
        <v>9.0003265963745314</v>
      </c>
      <c r="AJ12" s="14">
        <f>AI12*VLOOKUP('Données projet'!$B$10,Paramètres!$A$1:$I$89,3,0)*VLOOKUP('Données projet'!$B$10,Paramètres!$A$1:$I$89,5,0)</f>
        <v>7.8626853145927917</v>
      </c>
      <c r="AK12" s="14">
        <f t="shared" si="35"/>
        <v>2.8502208135558442</v>
      </c>
      <c r="AL12" s="22">
        <f t="shared" si="4"/>
        <v>18.658311506525539</v>
      </c>
      <c r="AM12" s="62">
        <f t="shared" si="5"/>
        <v>286.32497817319222</v>
      </c>
      <c r="AN12" s="62">
        <f ca="1">AVERAGE(OFFSET($AM$3,0,0,'Données projet'!$E$10+1,1))-AVERAGE(OFFSET($H$3,0,0,'Données projet'!$E$10+1,1))</f>
        <v>327.826081588335</v>
      </c>
      <c r="AO12" s="62">
        <f t="shared" si="36"/>
        <v>348.84706693879735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1.9</v>
      </c>
      <c r="BD12" s="13">
        <f>IF('Données projet'!$A$88&gt;35,BD11+BC12-BL11,IF(A12&lt;'Données projet'!$A$88,$BA$205^A12,IF(A12='Données projet'!$A$88,'Données projet'!$B$88,BD11+BC12-BL11)))</f>
        <v>14.153969025366564</v>
      </c>
      <c r="BE12" s="14">
        <f>BD12*VLOOKUP('Données projet'!$B$11,Paramètres!$A$1:$I$89,3,0)*VLOOKUP('Données projet'!$B$11,Paramètres!$A$1:$I$89,5,0)</f>
        <v>10.377690089398765</v>
      </c>
      <c r="BF12" s="14">
        <f t="shared" si="37"/>
        <v>3.6423245482922235</v>
      </c>
      <c r="BG12" s="22">
        <f t="shared" si="7"/>
        <v>24.418192160645134</v>
      </c>
      <c r="BH12" s="62">
        <f t="shared" si="8"/>
        <v>292.08485882731179</v>
      </c>
      <c r="BI12" s="62">
        <f ca="1">AVERAGE(OFFSET($BH$3,0,0,'Données projet'!$E$11+1,1))-AVERAGE(OFFSET($H$3,0,0,'Données projet'!$E$11+1,1))</f>
        <v>376.5422416541544</v>
      </c>
      <c r="BJ12" s="62">
        <f t="shared" si="38"/>
        <v>365.76175372075869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10.163529411764706</v>
      </c>
      <c r="BY12" s="13">
        <f>IF('Données projet'!$A$114&gt;35,BY11+BX12-CG11,IF(A12&lt;'Données projet'!$A$114,$BV$205^A12,IF(A12='Données projet'!$A$114,'Données projet'!$B$114,BY11+BX12-CG11)))</f>
        <v>15.295207258666087</v>
      </c>
      <c r="BZ12" s="14">
        <f>BY12*VLOOKUP('Données projet'!$B$12,Paramètres!$A$1:$I$89,3,0)*VLOOKUP('Données projet'!$B$12,Paramètres!$A$1:$I$89,5,0)</f>
        <v>8.5500208575943439</v>
      </c>
      <c r="CA12" s="14">
        <f t="shared" si="39"/>
        <v>3.0692923714750222</v>
      </c>
      <c r="CB12" s="22">
        <f t="shared" si="10"/>
        <v>20.236970540629144</v>
      </c>
      <c r="CC12" s="62">
        <f t="shared" si="11"/>
        <v>287.90363720729584</v>
      </c>
      <c r="CD12" s="62">
        <f ca="1">AVERAGE(OFFSET($CC$3,0,0,'Données projet'!$E$12+1,1))-AVERAGE(OFFSET($H$3,0,0,'Données projet'!$E$12+1,1))</f>
        <v>405.09126081846171</v>
      </c>
      <c r="CE12" s="62">
        <f t="shared" si="40"/>
        <v>534.22295841722166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8.4</v>
      </c>
      <c r="CT12" s="13">
        <f>IF('Données projet'!$A$140&gt;35,CT11+CS12-DB11,IF(A12&lt;'Données projet'!$A$140,$CQ$205^A12,IF(A12='Données projet'!$A$140,'Données projet'!$B$140,CT11+CS12-DB11)))</f>
        <v>53.599999999999994</v>
      </c>
      <c r="CU12" s="18">
        <f>CT12*VLOOKUP('Données projet'!$B$13,Paramètres!$A$1:$I$89,3,0)*VLOOKUP('Données projet'!$B$13,Paramètres!$A$1:$I$89,5,0)</f>
        <v>48.497279999999989</v>
      </c>
      <c r="CV12" s="14">
        <f t="shared" si="41"/>
        <v>14.224989131913244</v>
      </c>
      <c r="CW12" s="22">
        <f t="shared" si="13"/>
        <v>109.24128540474889</v>
      </c>
      <c r="CX12" s="62">
        <f t="shared" si="14"/>
        <v>376.90795207141559</v>
      </c>
      <c r="CY12" s="62">
        <f ca="1">AVERAGE(OFFSET($CX$3,0,0,'Données projet'!$E$13+1,1))-AVERAGE(OFFSET($H$3,0,0,'Données projet'!$E$13+1,1))</f>
        <v>244.82163392718377</v>
      </c>
      <c r="CZ12" s="62">
        <f t="shared" si="42"/>
        <v>342.30266518164211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2.4666666666666668</v>
      </c>
      <c r="DO12" s="13">
        <f>IF('Données projet'!$A$166&gt;35,DO11+DN12-DW11,IF(A12&lt;'Données projet'!$A$166,$DL$205^A12,IF(A12='Données projet'!$A$166,'Données projet'!$B$166,DO11+DN12-DW11)))</f>
        <v>8.7281265486761299</v>
      </c>
      <c r="DP12" s="18">
        <f>DO12*VLOOKUP('Données projet'!$B$14,Paramètres!$A$1:$I$89,3,0)*VLOOKUP('Données projet'!$B$14,Paramètres!$A$1:$I$89,5,0)</f>
        <v>6.9440974821267289</v>
      </c>
      <c r="DQ12" s="14">
        <f t="shared" si="43"/>
        <v>2.5538994442566798</v>
      </c>
      <c r="DR12" s="22">
        <f t="shared" si="16"/>
        <v>16.542344646784436</v>
      </c>
      <c r="DS12" s="62">
        <f t="shared" si="17"/>
        <v>284.20901131345113</v>
      </c>
      <c r="DT12" s="62">
        <f ca="1">AVERAGE(OFFSET($DS$3,0,0,'Données projet'!$E$14+1,1))-AVERAGE(OFFSET($H$3,0,0,'Données projet'!$E$14+1,1))</f>
        <v>298.89893065707554</v>
      </c>
      <c r="DU12" s="62">
        <f t="shared" si="44"/>
        <v>294.28794439094878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3.65</v>
      </c>
      <c r="EJ12" s="13">
        <f>IF('Données projet'!$A$192&gt;35,EJ11+EI12-ER11,IF(A12&lt;'Données projet'!$A$192,$EG$205^A12,IF(A12='Données projet'!$A$192,'Données projet'!$B$192,EJ11+EI12-ER11)))</f>
        <v>6.8943811137639424</v>
      </c>
      <c r="EK12" s="18">
        <f>EJ12*VLOOKUP('Données projet'!$B$15,Paramètres!$A$1:$I$89,3,0)*VLOOKUP('Données projet'!$B$15,Paramètres!$A$1:$I$89,5,0)</f>
        <v>6.2380360317336141</v>
      </c>
      <c r="EL12" s="14">
        <f t="shared" si="45"/>
        <v>2.3230383034439352</v>
      </c>
      <c r="EM12" s="22">
        <f t="shared" si="19"/>
        <v>14.910537800434229</v>
      </c>
      <c r="EN12" s="62">
        <f t="shared" si="20"/>
        <v>282.5772044671009</v>
      </c>
      <c r="EO12" s="62">
        <f ca="1">AVERAGE(OFFSET($EN$3,0,0,'Données projet'!$E$15+1,1))-AVERAGE(OFFSET($H$3,0,0,'Données projet'!$E$15+1,1))</f>
        <v>439.06700232017681</v>
      </c>
      <c r="EP12" s="62">
        <f t="shared" si="46"/>
        <v>278.21741231699929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3.65</v>
      </c>
      <c r="FE12" s="13">
        <f>IF('Données projet'!$A$218&gt;35,FE11+FD12-FM11,IF(A12&lt;'Données projet'!$A$218,$FB$205^A12,IF(A12='Données projet'!$A$218,'Données projet'!$B$218,FE11+FD12-FM11)))</f>
        <v>6.8943811137639424</v>
      </c>
      <c r="FF12" s="18">
        <f>FE12*VLOOKUP('Données projet'!$B$16,Paramètres!$A$1:$I$89,3,0)*VLOOKUP('Données projet'!$B$16,Paramètres!$A$1:$I$89,5,0)</f>
        <v>6.6682454132324853</v>
      </c>
      <c r="FG12" s="14">
        <f t="shared" si="47"/>
        <v>2.4640453263659414</v>
      </c>
      <c r="FH12" s="22">
        <f t="shared" si="22"/>
        <v>15.905406371467258</v>
      </c>
      <c r="FI12" s="62">
        <f t="shared" si="23"/>
        <v>283.57207303813396</v>
      </c>
      <c r="FJ12" s="62">
        <f ca="1">AVERAGE(OFFSET($FI$3,0,0,'Données projet'!$E$16+1,1))-AVERAGE(OFFSET($H$3,0,0,'Données projet'!$E$16+1,1))</f>
        <v>466.4945858005575</v>
      </c>
      <c r="FK12" s="62">
        <f t="shared" si="48"/>
        <v>294.45557293177131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3.65</v>
      </c>
      <c r="FZ12" s="13">
        <f>IF('Données projet'!$A$244&gt;35,FZ11+FY12-GH11,IF(A12&lt;'Données projet'!$A$244,$FW$205^A12,IF(A12='Données projet'!$A$244,'Données projet'!$B$244,FZ11+FY12-GH11)))</f>
        <v>6.8943811137639424</v>
      </c>
      <c r="GA12" s="18">
        <f>FZ12*VLOOKUP('Données projet'!$B$17,Paramètres!$A$1:$I$89,3,0)*VLOOKUP('Données projet'!$B$17,Paramètres!$A$1:$I$89,5,0)</f>
        <v>6.560693067857768</v>
      </c>
      <c r="GB12" s="14">
        <f t="shared" si="49"/>
        <v>2.4288955423249754</v>
      </c>
      <c r="GC12" s="22">
        <f t="shared" si="25"/>
        <v>15.65686682940161</v>
      </c>
      <c r="GD12" s="62">
        <f t="shared" si="26"/>
        <v>283.32353349606831</v>
      </c>
      <c r="GE12" s="62">
        <f ca="1">AVERAGE(OFFSET($GD$3,0,0,'Données projet'!$E$17+1,1))-AVERAGE(OFFSET($H$3,0,0,'Données projet'!$E$17+1,1))</f>
        <v>459.64120566196812</v>
      </c>
      <c r="GF12" s="62">
        <f t="shared" si="50"/>
        <v>290.39826583283588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34</v>
      </c>
      <c r="L13" s="13">
        <f>VLOOKUP(A13,'Données projet'!$A$35:$I$55,9,0)</f>
        <v>3.4</v>
      </c>
      <c r="M13" s="13">
        <f t="array" ref="M13">INDEX(L:L,MIN(IF(ISNUMBER(L13:L209),ROW(L13:L209),"")))</f>
        <v>3.4</v>
      </c>
      <c r="N13" s="14">
        <f>IF('Données projet'!$A$36&gt;35,N12+M13-V12,IF(A13&lt;'Données projet'!$A$36,$K$205^A13,IF(A13='Données projet'!$A$36,'Données projet'!$B$36,N12+M13-V12)))</f>
        <v>34</v>
      </c>
      <c r="O13" s="14">
        <f>N13*VLOOKUP('Données projet'!$B$9,Paramètres!$A$1:$I$89,3,0)*VLOOKUP('Données projet'!$B$9,Paramètres!$A$1:$I$89,5,0)</f>
        <v>18.564</v>
      </c>
      <c r="P13" s="14">
        <f t="shared" si="33"/>
        <v>6.0890600219069162</v>
      </c>
      <c r="Q13" s="22">
        <f t="shared" si="2"/>
        <v>42.937412871487879</v>
      </c>
      <c r="R13" s="62">
        <f t="shared" si="0"/>
        <v>311.82630176037674</v>
      </c>
      <c r="S13" s="62">
        <f ca="1">AVERAGE(OFFSET($R$3,0,0,'Données projet'!$E$9+1,1))-AVERAGE(OFFSET($H$3,0,0,'Données projet'!$E$9+1,1))</f>
        <v>170.27677128684815</v>
      </c>
      <c r="T13" s="62">
        <f t="shared" si="34"/>
        <v>243.47439640666289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5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1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3.0909941722472518</v>
      </c>
      <c r="AC13" s="24">
        <f t="shared" si="3"/>
        <v>3.0909941722472518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6.6</v>
      </c>
      <c r="AI13" s="14">
        <f>IF('Données projet'!$A$62&gt;35,AI12+AH13-AQ12,IF(A13&lt;'Données projet'!$A$62,$AF$205^A13,IF(A13='Données projet'!$A$62,'Données projet'!$B$62,AI12+AH13-AQ12)))</f>
        <v>11.489125293076063</v>
      </c>
      <c r="AJ13" s="14">
        <f>AI13*VLOOKUP('Données projet'!$B$10,Paramètres!$A$1:$I$89,3,0)*VLOOKUP('Données projet'!$B$10,Paramètres!$A$1:$I$89,5,0)</f>
        <v>10.036899856031249</v>
      </c>
      <c r="AK13" s="14">
        <f t="shared" si="35"/>
        <v>3.5364332356333024</v>
      </c>
      <c r="AL13" s="22">
        <f t="shared" si="4"/>
        <v>23.640221801315761</v>
      </c>
      <c r="AM13" s="62">
        <f t="shared" si="5"/>
        <v>292.52911069020462</v>
      </c>
      <c r="AN13" s="62">
        <f ca="1">AVERAGE(OFFSET($AM$3,0,0,'Données projet'!$E$10+1,1))-AVERAGE(OFFSET($H$3,0,0,'Données projet'!$E$10+1,1))</f>
        <v>327.826081588335</v>
      </c>
      <c r="AO13" s="62">
        <f t="shared" si="36"/>
        <v>348.84706693879735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19</v>
      </c>
      <c r="BB13" s="13">
        <f>VLOOKUP(A13,'Données projet'!$A$87:$I$107,9,0)</f>
        <v>1.9</v>
      </c>
      <c r="BC13" s="13">
        <f t="array" ref="BC13">INDEX(BB:BB,MIN(IF(ISNUMBER(BB13:BB209),ROW(BB13:BB209),"")))</f>
        <v>1.9</v>
      </c>
      <c r="BD13" s="13">
        <f>IF('Données projet'!$A$88&gt;35,BD12+BC13-BL12,IF(A13&lt;'Données projet'!$A$88,$BA$205^A13,IF(A13='Données projet'!$A$88,'Données projet'!$B$88,BD12+BC13-BL12)))</f>
        <v>19</v>
      </c>
      <c r="BE13" s="14">
        <f>BD13*VLOOKUP('Données projet'!$B$11,Paramètres!$A$1:$I$89,3,0)*VLOOKUP('Données projet'!$B$11,Paramètres!$A$1:$I$89,5,0)</f>
        <v>13.9308</v>
      </c>
      <c r="BF13" s="14">
        <f t="shared" si="37"/>
        <v>4.7246463812124082</v>
      </c>
      <c r="BG13" s="22">
        <f t="shared" si="7"/>
        <v>32.491569113944941</v>
      </c>
      <c r="BH13" s="62">
        <f t="shared" si="8"/>
        <v>301.38045800283379</v>
      </c>
      <c r="BI13" s="62">
        <f ca="1">AVERAGE(OFFSET($BH$3,0,0,'Données projet'!$E$11+1,1))-AVERAGE(OFFSET($H$3,0,0,'Données projet'!$E$11+1,1))</f>
        <v>376.5422416541544</v>
      </c>
      <c r="BJ13" s="62">
        <f t="shared" si="38"/>
        <v>365.76175372075869</v>
      </c>
      <c r="BK13" s="16">
        <f>IF(ISNA(VLOOKUP(A13,'Données projet'!$A$87:$I$107,3,0)),0,VLOOKUP(A13,'Données projet'!$A$87:$I$107,3,0))</f>
        <v>1</v>
      </c>
      <c r="BL13" s="16">
        <f>IF(ISNA(VLOOKUP(A13,'Données projet'!$A$87:$I$107,4,0)),0,VLOOKUP(A13,'Données projet'!$A$87:$I$107,4,0))</f>
        <v>7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10.163529411764706</v>
      </c>
      <c r="BY13" s="13">
        <f>IF('Données projet'!$A$114&gt;35,BY12+BX13-CG12,IF(A13&lt;'Données projet'!$A$114,$BV$205^A13,IF(A13='Données projet'!$A$114,'Données projet'!$B$114,BY12+BX13-CG12)))</f>
        <v>20.709643800053833</v>
      </c>
      <c r="BZ13" s="14">
        <f>BY13*VLOOKUP('Données projet'!$B$12,Paramètres!$A$1:$I$89,3,0)*VLOOKUP('Données projet'!$B$12,Paramètres!$A$1:$I$89,5,0)</f>
        <v>11.576690884230093</v>
      </c>
      <c r="CA13" s="14">
        <f t="shared" si="39"/>
        <v>4.0117630451391877</v>
      </c>
      <c r="CB13" s="22">
        <f t="shared" si="10"/>
        <v>27.149890593651492</v>
      </c>
      <c r="CC13" s="62">
        <f t="shared" si="11"/>
        <v>296.03877948254035</v>
      </c>
      <c r="CD13" s="62">
        <f ca="1">AVERAGE(OFFSET($CC$3,0,0,'Données projet'!$E$12+1,1))-AVERAGE(OFFSET($H$3,0,0,'Données projet'!$E$12+1,1))</f>
        <v>405.09126081846171</v>
      </c>
      <c r="CE13" s="62">
        <f t="shared" si="40"/>
        <v>534.22295841722166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62</v>
      </c>
      <c r="CR13" s="13">
        <f>VLOOKUP(A13,'Données projet'!$A$139:$I$159,9,0)</f>
        <v>8.4</v>
      </c>
      <c r="CS13" s="13">
        <f t="array" ref="CS13">INDEX(CR:CR,MIN(IF(ISNUMBER(CR13:CR209),ROW(CR13:CR209),"")))</f>
        <v>8.4</v>
      </c>
      <c r="CT13" s="13">
        <f>IF('Données projet'!$A$140&gt;35,CT12+CS13-DB12,IF(A13&lt;'Données projet'!$A$140,$CQ$205^A13,IF(A13='Données projet'!$A$140,'Données projet'!$B$140,CT12+CS13-DB12)))</f>
        <v>61.999999999999993</v>
      </c>
      <c r="CU13" s="18">
        <f>CT13*VLOOKUP('Données projet'!$B$13,Paramètres!$A$1:$I$89,3,0)*VLOOKUP('Données projet'!$B$13,Paramètres!$A$1:$I$89,5,0)</f>
        <v>56.097599999999993</v>
      </c>
      <c r="CV13" s="14">
        <f t="shared" si="41"/>
        <v>16.177791426098278</v>
      </c>
      <c r="CW13" s="22">
        <f t="shared" si="13"/>
        <v>125.87964006712114</v>
      </c>
      <c r="CX13" s="62">
        <f t="shared" si="14"/>
        <v>394.76852895601002</v>
      </c>
      <c r="CY13" s="62">
        <f ca="1">AVERAGE(OFFSET($CX$3,0,0,'Données projet'!$E$13+1,1))-AVERAGE(OFFSET($H$3,0,0,'Données projet'!$E$13+1,1))</f>
        <v>244.82163392718377</v>
      </c>
      <c r="CZ13" s="62">
        <f t="shared" si="42"/>
        <v>342.30266518164211</v>
      </c>
      <c r="DA13" s="16">
        <f>IF(ISNA(VLOOKUP(A13,'Données projet'!$A$139:$I$159,3,0)),0,VLOOKUP(A13,'Données projet'!$A$139:$I$159,3,0))</f>
        <v>2</v>
      </c>
      <c r="DB13" s="16">
        <f>IF(ISNA(VLOOKUP(A13,'Données projet'!$A$139:$I$159,4,0)),0,VLOOKUP(A13,'Données projet'!$A$139:$I$159,4,0))</f>
        <v>15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2.4666666666666668</v>
      </c>
      <c r="DO13" s="13">
        <f>IF('Données projet'!$A$166&gt;35,DO12+DN13-DW12,IF(A13&lt;'Données projet'!$A$166,$DL$205^A13,IF(A13='Données projet'!$A$166,'Données projet'!$B$166,DO12+DN13-DW12)))</f>
        <v>11.103702468586782</v>
      </c>
      <c r="DP13" s="18">
        <f>DO13*VLOOKUP('Données projet'!$B$14,Paramètres!$A$1:$I$89,3,0)*VLOOKUP('Données projet'!$B$14,Paramètres!$A$1:$I$89,5,0)</f>
        <v>8.8341056840076444</v>
      </c>
      <c r="DQ13" s="14">
        <f t="shared" si="43"/>
        <v>3.1592306185484516</v>
      </c>
      <c r="DR13" s="22">
        <f t="shared" si="16"/>
        <v>20.888394060285197</v>
      </c>
      <c r="DS13" s="62">
        <f t="shared" si="17"/>
        <v>289.77728294917404</v>
      </c>
      <c r="DT13" s="62">
        <f ca="1">AVERAGE(OFFSET($DS$3,0,0,'Données projet'!$E$14+1,1))-AVERAGE(OFFSET($H$3,0,0,'Données projet'!$E$14+1,1))</f>
        <v>298.89893065707554</v>
      </c>
      <c r="DU13" s="62">
        <f t="shared" si="44"/>
        <v>294.28794439094878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3.65</v>
      </c>
      <c r="EJ13" s="13">
        <f>IF('Données projet'!$A$192&gt;35,EJ12+EI13-ER12,IF(A13&lt;'Données projet'!$A$192,$EG$205^A13,IF(A13='Données projet'!$A$192,'Données projet'!$B$192,EJ12+EI13-ER12)))</f>
        <v>8.5440037453175322</v>
      </c>
      <c r="EK13" s="18">
        <f>EJ13*VLOOKUP('Données projet'!$B$15,Paramètres!$A$1:$I$89,3,0)*VLOOKUP('Données projet'!$B$15,Paramètres!$A$1:$I$89,5,0)</f>
        <v>7.7306145887633031</v>
      </c>
      <c r="EL13" s="14">
        <f t="shared" si="45"/>
        <v>2.8078763226288115</v>
      </c>
      <c r="EM13" s="22">
        <f t="shared" si="19"/>
        <v>18.354538337341264</v>
      </c>
      <c r="EN13" s="62">
        <f t="shared" si="20"/>
        <v>287.2434272262301</v>
      </c>
      <c r="EO13" s="62">
        <f ca="1">AVERAGE(OFFSET($EN$3,0,0,'Données projet'!$E$15+1,1))-AVERAGE(OFFSET($H$3,0,0,'Données projet'!$E$15+1,1))</f>
        <v>439.06700232017681</v>
      </c>
      <c r="EP13" s="62">
        <f t="shared" si="46"/>
        <v>278.21741231699929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3.65</v>
      </c>
      <c r="FE13" s="13">
        <f>IF('Données projet'!$A$218&gt;35,FE12+FD13-FM12,IF(A13&lt;'Données projet'!$A$218,$FB$205^A13,IF(A13='Données projet'!$A$218,'Données projet'!$B$218,FE12+FD13-FM12)))</f>
        <v>8.5440037453175322</v>
      </c>
      <c r="FF13" s="18">
        <f>FE13*VLOOKUP('Données projet'!$B$16,Paramètres!$A$1:$I$89,3,0)*VLOOKUP('Données projet'!$B$16,Paramètres!$A$1:$I$89,5,0)</f>
        <v>8.2637604224711172</v>
      </c>
      <c r="FG13" s="14">
        <f t="shared" si="47"/>
        <v>2.9783127206856603</v>
      </c>
      <c r="FH13" s="22">
        <f t="shared" si="22"/>
        <v>19.579944057664719</v>
      </c>
      <c r="FI13" s="62">
        <f t="shared" si="23"/>
        <v>288.46883294655356</v>
      </c>
      <c r="FJ13" s="62">
        <f ca="1">AVERAGE(OFFSET($FI$3,0,0,'Données projet'!$E$16+1,1))-AVERAGE(OFFSET($H$3,0,0,'Données projet'!$E$16+1,1))</f>
        <v>466.4945858005575</v>
      </c>
      <c r="FK13" s="62">
        <f t="shared" si="48"/>
        <v>294.45557293177131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3.65</v>
      </c>
      <c r="FZ13" s="13">
        <f>IF('Données projet'!$A$244&gt;35,FZ12+FY13-GH12,IF(A13&lt;'Données projet'!$A$244,$FW$205^A13,IF(A13='Données projet'!$A$244,'Données projet'!$B$244,FZ12+FY13-GH12)))</f>
        <v>8.5440037453175322</v>
      </c>
      <c r="GA13" s="18">
        <f>FZ13*VLOOKUP('Données projet'!$B$17,Paramètres!$A$1:$I$89,3,0)*VLOOKUP('Données projet'!$B$17,Paramètres!$A$1:$I$89,5,0)</f>
        <v>8.1304739640441639</v>
      </c>
      <c r="GB13" s="14">
        <f t="shared" si="49"/>
        <v>2.9358268752272259</v>
      </c>
      <c r="GC13" s="22">
        <f t="shared" si="25"/>
        <v>19.273807295064337</v>
      </c>
      <c r="GD13" s="62">
        <f t="shared" si="26"/>
        <v>288.16269618395319</v>
      </c>
      <c r="GE13" s="62">
        <f ca="1">AVERAGE(OFFSET($GD$3,0,0,'Données projet'!$E$17+1,1))-AVERAGE(OFFSET($H$3,0,0,'Données projet'!$E$17+1,1))</f>
        <v>459.64120566196812</v>
      </c>
      <c r="GF13" s="62">
        <f t="shared" si="50"/>
        <v>290.39826583283588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11.2</v>
      </c>
      <c r="N14" s="14">
        <f>IF('Données projet'!$A$36&gt;35,N13+M14-V13,IF(A14&lt;'Données projet'!$A$36,$K$205^A14,IF(A14='Données projet'!$A$36,'Données projet'!$B$36,N13+M14-V13)))</f>
        <v>40.200000000000003</v>
      </c>
      <c r="O14" s="14">
        <f>N14*VLOOKUP('Données projet'!$B$9,Paramètres!$A$1:$I$89,3,0)*VLOOKUP('Données projet'!$B$9,Paramètres!$A$1:$I$89,5,0)</f>
        <v>21.949200000000001</v>
      </c>
      <c r="P14" s="14">
        <f t="shared" si="33"/>
        <v>7.0604051729439155</v>
      </c>
      <c r="Q14" s="22">
        <f t="shared" si="2"/>
        <v>50.525062342877327</v>
      </c>
      <c r="R14" s="62">
        <f t="shared" si="0"/>
        <v>320.63617345398848</v>
      </c>
      <c r="S14" s="62">
        <f ca="1">AVERAGE(OFFSET($R$3,0,0,'Données projet'!$E$9+1,1))-AVERAGE(OFFSET($H$3,0,0,'Données projet'!$E$9+1,1))</f>
        <v>170.27677128684815</v>
      </c>
      <c r="T14" s="62">
        <f t="shared" si="34"/>
        <v>243.47439640666289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2.1856629398041312</v>
      </c>
      <c r="AC14" s="24">
        <f t="shared" si="3"/>
        <v>2.1856629398041312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6.6</v>
      </c>
      <c r="AI14" s="14">
        <f>IF('Données projet'!$A$62&gt;35,AI13+AH14-AQ13,IF(A14&lt;'Données projet'!$A$62,$AF$205^A14,IF(A14='Données projet'!$A$62,'Données projet'!$B$62,AI13+AH14-AQ13)))</f>
        <v>14.666134454850974</v>
      </c>
      <c r="AJ14" s="14">
        <f>AI14*VLOOKUP('Données projet'!$B$10,Paramètres!$A$1:$I$89,3,0)*VLOOKUP('Données projet'!$B$10,Paramètres!$A$1:$I$89,5,0)</f>
        <v>12.812335059757812</v>
      </c>
      <c r="AK14" s="14">
        <f t="shared" si="35"/>
        <v>4.3878565375042955</v>
      </c>
      <c r="AL14" s="22">
        <f t="shared" si="4"/>
        <v>29.957000365231504</v>
      </c>
      <c r="AM14" s="62">
        <f t="shared" si="5"/>
        <v>300.06811147634266</v>
      </c>
      <c r="AN14" s="62">
        <f ca="1">AVERAGE(OFFSET($AM$3,0,0,'Données projet'!$E$10+1,1))-AVERAGE(OFFSET($H$3,0,0,'Données projet'!$E$10+1,1))</f>
        <v>327.826081588335</v>
      </c>
      <c r="AO14" s="62">
        <f t="shared" si="36"/>
        <v>348.84706693879735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14.4</v>
      </c>
      <c r="BD14" s="13">
        <f>IF('Données projet'!$A$88&gt;35,BD13+BC14-BL13,IF(A14&lt;'Données projet'!$A$88,$BA$205^A14,IF(A14='Données projet'!$A$88,'Données projet'!$B$88,BD13+BC14-BL13)))</f>
        <v>26.4</v>
      </c>
      <c r="BE14" s="14">
        <f>BD14*VLOOKUP('Données projet'!$B$11,Paramètres!$A$1:$I$89,3,0)*VLOOKUP('Données projet'!$B$11,Paramètres!$A$1:$I$89,5,0)</f>
        <v>19.356480000000001</v>
      </c>
      <c r="BF14" s="14">
        <f t="shared" si="37"/>
        <v>6.3181780007167561</v>
      </c>
      <c r="BG14" s="22">
        <f t="shared" si="7"/>
        <v>44.716696017915012</v>
      </c>
      <c r="BH14" s="62">
        <f t="shared" si="8"/>
        <v>314.82780712902616</v>
      </c>
      <c r="BI14" s="62">
        <f ca="1">AVERAGE(OFFSET($BH$3,0,0,'Données projet'!$E$11+1,1))-AVERAGE(OFFSET($H$3,0,0,'Données projet'!$E$11+1,1))</f>
        <v>376.5422416541544</v>
      </c>
      <c r="BJ14" s="62">
        <f t="shared" si="38"/>
        <v>365.76175372075869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10.163529411764706</v>
      </c>
      <c r="BY14" s="13">
        <f>IF('Données projet'!$A$114&gt;35,BY13+BX14-CG13,IF(A14&lt;'Données projet'!$A$114,$BV$205^A14,IF(A14='Données projet'!$A$114,'Données projet'!$B$114,BY13+BX14-CG13)))</f>
        <v>28.040767220209094</v>
      </c>
      <c r="BZ14" s="14">
        <f>BY14*VLOOKUP('Données projet'!$B$12,Paramètres!$A$1:$I$89,3,0)*VLOOKUP('Données projet'!$B$12,Paramètres!$A$1:$I$89,5,0)</f>
        <v>15.674788876096885</v>
      </c>
      <c r="CA14" s="14">
        <f t="shared" si="39"/>
        <v>5.2436329884760928</v>
      </c>
      <c r="CB14" s="22">
        <f t="shared" si="10"/>
        <v>36.432918080797933</v>
      </c>
      <c r="CC14" s="62">
        <f t="shared" si="11"/>
        <v>306.54402919190909</v>
      </c>
      <c r="CD14" s="62">
        <f ca="1">AVERAGE(OFFSET($CC$3,0,0,'Données projet'!$E$12+1,1))-AVERAGE(OFFSET($H$3,0,0,'Données projet'!$E$12+1,1))</f>
        <v>405.09126081846171</v>
      </c>
      <c r="CE14" s="62">
        <f t="shared" si="40"/>
        <v>534.22295841722166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8.4</v>
      </c>
      <c r="CT14" s="13">
        <f>IF('Données projet'!$A$140&gt;35,CT13+CS14-DB13,IF(A14&lt;'Données projet'!$A$140,$CQ$205^A14,IF(A14='Données projet'!$A$140,'Données projet'!$B$140,CT13+CS14-DB13)))</f>
        <v>55.399999999999991</v>
      </c>
      <c r="CU14" s="18">
        <f>CT14*VLOOKUP('Données projet'!$B$13,Paramètres!$A$1:$I$89,3,0)*VLOOKUP('Données projet'!$B$13,Paramètres!$A$1:$I$89,5,0)</f>
        <v>50.125919999999986</v>
      </c>
      <c r="CV14" s="14">
        <f t="shared" si="41"/>
        <v>14.646274290627822</v>
      </c>
      <c r="CW14" s="22">
        <f t="shared" si="13"/>
        <v>112.81157172284342</v>
      </c>
      <c r="CX14" s="62">
        <f t="shared" si="14"/>
        <v>382.92268283395458</v>
      </c>
      <c r="CY14" s="62">
        <f ca="1">AVERAGE(OFFSET($CX$3,0,0,'Données projet'!$E$13+1,1))-AVERAGE(OFFSET($H$3,0,0,'Données projet'!$E$13+1,1))</f>
        <v>244.82163392718377</v>
      </c>
      <c r="CZ14" s="62">
        <f t="shared" si="42"/>
        <v>342.30266518164211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2.4666666666666668</v>
      </c>
      <c r="DO14" s="13">
        <f>IF('Données projet'!$A$166&gt;35,DO13+DN14-DW13,IF(A14&lt;'Données projet'!$A$166,$DL$205^A14,IF(A14='Données projet'!$A$166,'Données projet'!$B$166,DO13+DN14-DW13)))</f>
        <v>14.125850240977657</v>
      </c>
      <c r="DP14" s="18">
        <f>DO14*VLOOKUP('Données projet'!$B$14,Paramètres!$A$1:$I$89,3,0)*VLOOKUP('Données projet'!$B$14,Paramètres!$A$1:$I$89,5,0)</f>
        <v>11.238526451721825</v>
      </c>
      <c r="DQ14" s="14">
        <f t="shared" si="43"/>
        <v>3.9080387928425129</v>
      </c>
      <c r="DR14" s="22">
        <f t="shared" si="16"/>
        <v>26.380267800949554</v>
      </c>
      <c r="DS14" s="62">
        <f t="shared" si="17"/>
        <v>296.49137891206067</v>
      </c>
      <c r="DT14" s="62">
        <f ca="1">AVERAGE(OFFSET($DS$3,0,0,'Données projet'!$E$14+1,1))-AVERAGE(OFFSET($H$3,0,0,'Données projet'!$E$14+1,1))</f>
        <v>298.89893065707554</v>
      </c>
      <c r="DU14" s="62">
        <f t="shared" si="44"/>
        <v>294.28794439094878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3.65</v>
      </c>
      <c r="EJ14" s="13">
        <f>IF('Données projet'!$A$192&gt;35,EJ13+EI14-ER13,IF(A14&lt;'Données projet'!$A$192,$EG$205^A14,IF(A14='Données projet'!$A$192,'Données projet'!$B$192,EJ13+EI14-ER13)))</f>
        <v>10.588332555950936</v>
      </c>
      <c r="EK14" s="18">
        <f>EJ14*VLOOKUP('Données projet'!$B$15,Paramètres!$A$1:$I$89,3,0)*VLOOKUP('Données projet'!$B$15,Paramètres!$A$1:$I$89,5,0)</f>
        <v>9.5803232966244067</v>
      </c>
      <c r="EL14" s="14">
        <f t="shared" si="45"/>
        <v>3.3939041949894282</v>
      </c>
      <c r="EM14" s="22">
        <f t="shared" si="19"/>
        <v>22.596779547894098</v>
      </c>
      <c r="EN14" s="62">
        <f t="shared" si="20"/>
        <v>292.70789065900522</v>
      </c>
      <c r="EO14" s="62">
        <f ca="1">AVERAGE(OFFSET($EN$3,0,0,'Données projet'!$E$15+1,1))-AVERAGE(OFFSET($H$3,0,0,'Données projet'!$E$15+1,1))</f>
        <v>439.06700232017681</v>
      </c>
      <c r="EP14" s="62">
        <f t="shared" si="46"/>
        <v>278.21741231699929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3.65</v>
      </c>
      <c r="FE14" s="13">
        <f>IF('Données projet'!$A$218&gt;35,FE13+FD14-FM13,IF(A14&lt;'Données projet'!$A$218,$FB$205^A14,IF(A14='Données projet'!$A$218,'Données projet'!$B$218,FE13+FD14-FM13)))</f>
        <v>10.588332555950936</v>
      </c>
      <c r="FF14" s="18">
        <f>FE14*VLOOKUP('Données projet'!$B$16,Paramètres!$A$1:$I$89,3,0)*VLOOKUP('Données projet'!$B$16,Paramètres!$A$1:$I$89,5,0)</f>
        <v>10.241035248115747</v>
      </c>
      <c r="FG14" s="14">
        <f t="shared" si="47"/>
        <v>3.5999121311945652</v>
      </c>
      <c r="FH14" s="22">
        <f t="shared" si="22"/>
        <v>24.106316685632123</v>
      </c>
      <c r="FI14" s="62">
        <f t="shared" si="23"/>
        <v>294.21742779674327</v>
      </c>
      <c r="FJ14" s="62">
        <f ca="1">AVERAGE(OFFSET($FI$3,0,0,'Données projet'!$E$16+1,1))-AVERAGE(OFFSET($H$3,0,0,'Données projet'!$E$16+1,1))</f>
        <v>466.4945858005575</v>
      </c>
      <c r="FK14" s="62">
        <f t="shared" si="48"/>
        <v>294.45557293177131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3.65</v>
      </c>
      <c r="FZ14" s="13">
        <f>IF('Données projet'!$A$244&gt;35,FZ13+FY14-GH13,IF(A14&lt;'Données projet'!$A$244,$FW$205^A14,IF(A14='Données projet'!$A$244,'Données projet'!$B$244,FZ13+FY14-GH13)))</f>
        <v>10.588332555950936</v>
      </c>
      <c r="GA14" s="18">
        <f>FZ14*VLOOKUP('Données projet'!$B$17,Paramètres!$A$1:$I$89,3,0)*VLOOKUP('Données projet'!$B$17,Paramètres!$A$1:$I$89,5,0)</f>
        <v>10.075857260242911</v>
      </c>
      <c r="GB14" s="14">
        <f t="shared" si="49"/>
        <v>3.5485591253776776</v>
      </c>
      <c r="GC14" s="22">
        <f t="shared" si="25"/>
        <v>23.729191871622522</v>
      </c>
      <c r="GD14" s="62">
        <f t="shared" si="26"/>
        <v>293.84030298273365</v>
      </c>
      <c r="GE14" s="62">
        <f ca="1">AVERAGE(OFFSET($GD$3,0,0,'Données projet'!$E$17+1,1))-AVERAGE(OFFSET($H$3,0,0,'Données projet'!$E$17+1,1))</f>
        <v>459.64120566196812</v>
      </c>
      <c r="GF14" s="62">
        <f t="shared" si="50"/>
        <v>290.39826583283588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11.2</v>
      </c>
      <c r="N15" s="14">
        <f>IF('Données projet'!$A$36&gt;35,N14+M15-V14,IF(A15&lt;'Données projet'!$A$36,$K$205^A15,IF(A15='Données projet'!$A$36,'Données projet'!$B$36,N14+M15-V14)))</f>
        <v>51.400000000000006</v>
      </c>
      <c r="O15" s="14">
        <f>N15*VLOOKUP('Données projet'!$B$9,Paramètres!$A$1:$I$89,3,0)*VLOOKUP('Données projet'!$B$9,Paramètres!$A$1:$I$89,5,0)</f>
        <v>28.064400000000003</v>
      </c>
      <c r="P15" s="14">
        <f t="shared" si="33"/>
        <v>8.7728862017683937</v>
      </c>
      <c r="Q15" s="22">
        <f t="shared" si="2"/>
        <v>64.158273468079955</v>
      </c>
      <c r="R15" s="62">
        <f t="shared" si="0"/>
        <v>335.49160680141324</v>
      </c>
      <c r="S15" s="62">
        <f ca="1">AVERAGE(OFFSET($R$3,0,0,'Données projet'!$E$9+1,1))-AVERAGE(OFFSET($H$3,0,0,'Données projet'!$E$9+1,1))</f>
        <v>170.27677128684815</v>
      </c>
      <c r="T15" s="62">
        <f t="shared" si="34"/>
        <v>243.47439640666289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1.5454970861236261</v>
      </c>
      <c r="AC15" s="24">
        <f t="shared" si="3"/>
        <v>1.5454970861236261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6.6</v>
      </c>
      <c r="AI15" s="14">
        <f>IF('Données projet'!$A$62&gt;35,AI14+AH15-AQ14,IF(A15&lt;'Données projet'!$A$62,$AF$205^A15,IF(A15='Données projet'!$A$62,'Données projet'!$B$62,AI14+AH15-AQ14)))</f>
        <v>18.721660210059202</v>
      </c>
      <c r="AJ15" s="14">
        <f>AI15*VLOOKUP('Données projet'!$B$10,Paramètres!$A$1:$I$89,3,0)*VLOOKUP('Données projet'!$B$10,Paramètres!$A$1:$I$89,5,0)</f>
        <v>16.35524235950772</v>
      </c>
      <c r="AK15" s="14">
        <f t="shared" si="35"/>
        <v>5.4442664998513175</v>
      </c>
      <c r="AL15" s="22">
        <f t="shared" si="4"/>
        <v>37.967477930050322</v>
      </c>
      <c r="AM15" s="62">
        <f t="shared" si="5"/>
        <v>309.30081126338365</v>
      </c>
      <c r="AN15" s="62">
        <f ca="1">AVERAGE(OFFSET($AM$3,0,0,'Données projet'!$E$10+1,1))-AVERAGE(OFFSET($H$3,0,0,'Données projet'!$E$10+1,1))</f>
        <v>327.826081588335</v>
      </c>
      <c r="AO15" s="62">
        <f t="shared" si="36"/>
        <v>348.84706693879735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14.4</v>
      </c>
      <c r="BD15" s="13">
        <f>IF('Données projet'!$A$88&gt;35,BD14+BC15-BL14,IF(A15&lt;'Données projet'!$A$88,$BA$205^A15,IF(A15='Données projet'!$A$88,'Données projet'!$B$88,BD14+BC15-BL14)))</f>
        <v>40.799999999999997</v>
      </c>
      <c r="BE15" s="14">
        <f>BD15*VLOOKUP('Données projet'!$B$11,Paramètres!$A$1:$I$89,3,0)*VLOOKUP('Données projet'!$B$11,Paramètres!$A$1:$I$89,5,0)</f>
        <v>29.914559999999998</v>
      </c>
      <c r="BF15" s="14">
        <f t="shared" si="37"/>
        <v>9.2820081914942723</v>
      </c>
      <c r="BG15" s="22">
        <f t="shared" si="7"/>
        <v>68.267356266852531</v>
      </c>
      <c r="BH15" s="62">
        <f t="shared" si="8"/>
        <v>339.60068960018583</v>
      </c>
      <c r="BI15" s="62">
        <f ca="1">AVERAGE(OFFSET($BH$3,0,0,'Données projet'!$E$11+1,1))-AVERAGE(OFFSET($H$3,0,0,'Données projet'!$E$11+1,1))</f>
        <v>376.5422416541544</v>
      </c>
      <c r="BJ15" s="62">
        <f t="shared" si="38"/>
        <v>365.76175372075869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10.163529411764706</v>
      </c>
      <c r="BY15" s="13">
        <f>IF('Données projet'!$A$114&gt;35,BY14+BX15-CG14,IF(A15&lt;'Données projet'!$A$114,$BV$205^A15,IF(A15='Données projet'!$A$114,'Données projet'!$B$114,BY14+BX15-CG14)))</f>
        <v>37.967076299782079</v>
      </c>
      <c r="BZ15" s="14">
        <f>BY15*VLOOKUP('Données projet'!$B$12,Paramètres!$A$1:$I$89,3,0)*VLOOKUP('Données projet'!$B$12,Paramètres!$A$1:$I$89,5,0)</f>
        <v>21.223595651578183</v>
      </c>
      <c r="CA15" s="14">
        <f t="shared" si="39"/>
        <v>6.8537664384614088</v>
      </c>
      <c r="CB15" s="22">
        <f t="shared" si="10"/>
        <v>48.901405640152291</v>
      </c>
      <c r="CC15" s="62">
        <f t="shared" si="11"/>
        <v>320.23473897348561</v>
      </c>
      <c r="CD15" s="62">
        <f ca="1">AVERAGE(OFFSET($CC$3,0,0,'Données projet'!$E$12+1,1))-AVERAGE(OFFSET($H$3,0,0,'Données projet'!$E$12+1,1))</f>
        <v>405.09126081846171</v>
      </c>
      <c r="CE15" s="62">
        <f t="shared" si="40"/>
        <v>534.22295841722166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8.4</v>
      </c>
      <c r="CT15" s="13">
        <f>IF('Données projet'!$A$140&gt;35,CT14+CS15-DB14,IF(A15&lt;'Données projet'!$A$140,$CQ$205^A15,IF(A15='Données projet'!$A$140,'Données projet'!$B$140,CT14+CS15-DB14)))</f>
        <v>63.79999999999999</v>
      </c>
      <c r="CU15" s="18">
        <f>CT15*VLOOKUP('Données projet'!$B$13,Paramètres!$A$1:$I$89,3,0)*VLOOKUP('Données projet'!$B$13,Paramètres!$A$1:$I$89,5,0)</f>
        <v>57.72623999999999</v>
      </c>
      <c r="CV15" s="14">
        <f t="shared" si="41"/>
        <v>16.59210497713789</v>
      </c>
      <c r="CW15" s="22">
        <f t="shared" si="13"/>
        <v>129.43778416851515</v>
      </c>
      <c r="CX15" s="62">
        <f t="shared" si="14"/>
        <v>400.77111750184849</v>
      </c>
      <c r="CY15" s="62">
        <f ca="1">AVERAGE(OFFSET($CX$3,0,0,'Données projet'!$E$13+1,1))-AVERAGE(OFFSET($H$3,0,0,'Données projet'!$E$13+1,1))</f>
        <v>244.82163392718377</v>
      </c>
      <c r="CZ15" s="62">
        <f t="shared" si="42"/>
        <v>342.30266518164211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2.4666666666666668</v>
      </c>
      <c r="DO15" s="13">
        <f>IF('Données projet'!$A$166&gt;35,DO14+DN15-DW14,IF(A15&lt;'Données projet'!$A$166,$DL$205^A15,IF(A15='Données projet'!$A$166,'Données projet'!$B$166,DO14+DN15-DW14)))</f>
        <v>17.970550417308221</v>
      </c>
      <c r="DP15" s="18">
        <f>DO15*VLOOKUP('Données projet'!$B$14,Paramètres!$A$1:$I$89,3,0)*VLOOKUP('Données projet'!$B$14,Paramètres!$A$1:$I$89,5,0)</f>
        <v>14.297369912010421</v>
      </c>
      <c r="DQ15" s="14">
        <f t="shared" si="43"/>
        <v>4.8343312187127445</v>
      </c>
      <c r="DR15" s="22">
        <f t="shared" si="16"/>
        <v>33.321046136009507</v>
      </c>
      <c r="DS15" s="62">
        <f t="shared" si="17"/>
        <v>304.65437946934281</v>
      </c>
      <c r="DT15" s="62">
        <f ca="1">AVERAGE(OFFSET($DS$3,0,0,'Données projet'!$E$14+1,1))-AVERAGE(OFFSET($H$3,0,0,'Données projet'!$E$14+1,1))</f>
        <v>298.89893065707554</v>
      </c>
      <c r="DU15" s="62">
        <f t="shared" si="44"/>
        <v>294.28794439094878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3.65</v>
      </c>
      <c r="EJ15" s="13">
        <f>IF('Données projet'!$A$192&gt;35,EJ14+EI15-ER14,IF(A15&lt;'Données projet'!$A$192,$EG$205^A15,IF(A15='Données projet'!$A$192,'Données projet'!$B$192,EJ14+EI15-ER14)))</f>
        <v>13.121809125710287</v>
      </c>
      <c r="EK15" s="18">
        <f>EJ15*VLOOKUP('Données projet'!$B$15,Paramètres!$A$1:$I$89,3,0)*VLOOKUP('Données projet'!$B$15,Paramètres!$A$1:$I$89,5,0)</f>
        <v>11.872612896942668</v>
      </c>
      <c r="EL15" s="14">
        <f t="shared" si="45"/>
        <v>4.1022411108131784</v>
      </c>
      <c r="EM15" s="22">
        <f t="shared" si="19"/>
        <v>27.822870730174767</v>
      </c>
      <c r="EN15" s="62">
        <f t="shared" si="20"/>
        <v>299.15620406350808</v>
      </c>
      <c r="EO15" s="62">
        <f ca="1">AVERAGE(OFFSET($EN$3,0,0,'Données projet'!$E$15+1,1))-AVERAGE(OFFSET($H$3,0,0,'Données projet'!$E$15+1,1))</f>
        <v>439.06700232017681</v>
      </c>
      <c r="EP15" s="62">
        <f t="shared" si="46"/>
        <v>278.21741231699929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3.65</v>
      </c>
      <c r="FE15" s="13">
        <f>IF('Données projet'!$A$218&gt;35,FE14+FD15-FM14,IF(A15&lt;'Données projet'!$A$218,$FB$205^A15,IF(A15='Données projet'!$A$218,'Données projet'!$B$218,FE14+FD15-FM14)))</f>
        <v>13.121809125710287</v>
      </c>
      <c r="FF15" s="18">
        <f>FE15*VLOOKUP('Données projet'!$B$16,Paramètres!$A$1:$I$89,3,0)*VLOOKUP('Données projet'!$B$16,Paramètres!$A$1:$I$89,5,0)</f>
        <v>12.69141378638699</v>
      </c>
      <c r="FG15" s="14">
        <f t="shared" si="47"/>
        <v>4.3512446702837533</v>
      </c>
      <c r="FH15" s="22">
        <f t="shared" si="22"/>
        <v>29.682630145368211</v>
      </c>
      <c r="FI15" s="62">
        <f t="shared" si="23"/>
        <v>301.01596347870151</v>
      </c>
      <c r="FJ15" s="62">
        <f ca="1">AVERAGE(OFFSET($FI$3,0,0,'Données projet'!$E$16+1,1))-AVERAGE(OFFSET($H$3,0,0,'Données projet'!$E$16+1,1))</f>
        <v>466.4945858005575</v>
      </c>
      <c r="FK15" s="62">
        <f t="shared" si="48"/>
        <v>294.45557293177131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3.65</v>
      </c>
      <c r="FZ15" s="13">
        <f>IF('Données projet'!$A$244&gt;35,FZ14+FY15-GH14,IF(A15&lt;'Données projet'!$A$244,$FW$205^A15,IF(A15='Données projet'!$A$244,'Données projet'!$B$244,FZ14+FY15-GH14)))</f>
        <v>13.121809125710287</v>
      </c>
      <c r="GA15" s="18">
        <f>FZ15*VLOOKUP('Données projet'!$B$17,Paramètres!$A$1:$I$89,3,0)*VLOOKUP('Données projet'!$B$17,Paramètres!$A$1:$I$89,5,0)</f>
        <v>12.486713564025909</v>
      </c>
      <c r="GB15" s="14">
        <f t="shared" si="49"/>
        <v>4.289173851685848</v>
      </c>
      <c r="GC15" s="22">
        <f t="shared" si="25"/>
        <v>29.218003915697977</v>
      </c>
      <c r="GD15" s="62">
        <f t="shared" si="26"/>
        <v>300.55133724903129</v>
      </c>
      <c r="GE15" s="62">
        <f ca="1">AVERAGE(OFFSET($GD$3,0,0,'Données projet'!$E$17+1,1))-AVERAGE(OFFSET($H$3,0,0,'Données projet'!$E$17+1,1))</f>
        <v>459.64120566196812</v>
      </c>
      <c r="GF15" s="62">
        <f t="shared" si="50"/>
        <v>290.39826583283588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11.2</v>
      </c>
      <c r="N16" s="14">
        <f>IF('Données projet'!$A$36&gt;35,N15+M16-V15,IF(A16&lt;'Données projet'!$A$36,$K$205^A16,IF(A16='Données projet'!$A$36,'Données projet'!$B$36,N15+M16-V15)))</f>
        <v>62.600000000000009</v>
      </c>
      <c r="O16" s="14">
        <f>N16*VLOOKUP('Données projet'!$B$9,Paramètres!$A$1:$I$89,3,0)*VLOOKUP('Données projet'!$B$9,Paramètres!$A$1:$I$89,5,0)</f>
        <v>34.179600000000001</v>
      </c>
      <c r="P16" s="14">
        <f t="shared" si="33"/>
        <v>10.442117235140335</v>
      </c>
      <c r="Q16" s="22">
        <f t="shared" si="2"/>
        <v>77.716157517869419</v>
      </c>
      <c r="R16" s="62">
        <f t="shared" si="0"/>
        <v>350.27171307342496</v>
      </c>
      <c r="S16" s="62">
        <f ca="1">AVERAGE(OFFSET($R$3,0,0,'Données projet'!$E$9+1,1))-AVERAGE(OFFSET($H$3,0,0,'Données projet'!$E$9+1,1))</f>
        <v>170.27677128684815</v>
      </c>
      <c r="T16" s="62">
        <f t="shared" si="34"/>
        <v>243.47439640666289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1.0928314699020658</v>
      </c>
      <c r="AC16" s="24">
        <f t="shared" si="3"/>
        <v>1.0928314699020658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6.6</v>
      </c>
      <c r="AI16" s="14">
        <f>IF('Données projet'!$A$62&gt;35,AI15+AH16-AQ15,IF(A16&lt;'Données projet'!$A$62,$AF$205^A16,IF(A16='Données projet'!$A$62,'Données projet'!$B$62,AI15+AH16-AQ15)))</f>
        <v>23.89863273788427</v>
      </c>
      <c r="AJ16" s="14">
        <f>AI16*VLOOKUP('Données projet'!$B$10,Paramètres!$A$1:$I$89,3,0)*VLOOKUP('Données projet'!$B$10,Paramètres!$A$1:$I$89,5,0)</f>
        <v>20.8778455598157</v>
      </c>
      <c r="AK16" s="14">
        <f t="shared" si="35"/>
        <v>6.7550152262411558</v>
      </c>
      <c r="AL16" s="22">
        <f t="shared" si="4"/>
        <v>48.127232535715684</v>
      </c>
      <c r="AM16" s="62">
        <f t="shared" si="5"/>
        <v>320.68278809127122</v>
      </c>
      <c r="AN16" s="62">
        <f ca="1">AVERAGE(OFFSET($AM$3,0,0,'Données projet'!$E$10+1,1))-AVERAGE(OFFSET($H$3,0,0,'Données projet'!$E$10+1,1))</f>
        <v>327.826081588335</v>
      </c>
      <c r="AO16" s="62">
        <f t="shared" si="36"/>
        <v>348.84706693879735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14.4</v>
      </c>
      <c r="BD16" s="13">
        <f>IF('Données projet'!$A$88&gt;35,BD15+BC16-BL15,IF(A16&lt;'Données projet'!$A$88,$BA$205^A16,IF(A16='Données projet'!$A$88,'Données projet'!$B$88,BD15+BC16-BL15)))</f>
        <v>55.199999999999996</v>
      </c>
      <c r="BE16" s="14">
        <f>BD16*VLOOKUP('Données projet'!$B$11,Paramètres!$A$1:$I$89,3,0)*VLOOKUP('Données projet'!$B$11,Paramètres!$A$1:$I$89,5,0)</f>
        <v>40.472639999999991</v>
      </c>
      <c r="BF16" s="14">
        <f t="shared" si="37"/>
        <v>12.123834417890356</v>
      </c>
      <c r="BG16" s="22">
        <f t="shared" si="7"/>
        <v>91.605526277825675</v>
      </c>
      <c r="BH16" s="62">
        <f t="shared" si="8"/>
        <v>364.16108183338122</v>
      </c>
      <c r="BI16" s="62">
        <f ca="1">AVERAGE(OFFSET($BH$3,0,0,'Données projet'!$E$11+1,1))-AVERAGE(OFFSET($H$3,0,0,'Données projet'!$E$11+1,1))</f>
        <v>376.5422416541544</v>
      </c>
      <c r="BJ16" s="62">
        <f t="shared" si="38"/>
        <v>365.76175372075869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10.163529411764706</v>
      </c>
      <c r="BY16" s="13">
        <f>IF('Données projet'!$A$114&gt;35,BY15+BX16-CG15,IF(A16&lt;'Données projet'!$A$114,$BV$205^A16,IF(A16='Données projet'!$A$114,'Données projet'!$B$114,BY15+BX16-CG15)))</f>
        <v>51.40725542326031</v>
      </c>
      <c r="BZ16" s="14">
        <f>BY16*VLOOKUP('Données projet'!$B$12,Paramètres!$A$1:$I$89,3,0)*VLOOKUP('Données projet'!$B$12,Paramètres!$A$1:$I$89,5,0)</f>
        <v>28.736655781602511</v>
      </c>
      <c r="CA16" s="14">
        <f t="shared" si="39"/>
        <v>8.9583146830098084</v>
      </c>
      <c r="CB16" s="22">
        <f t="shared" si="10"/>
        <v>65.652073559199778</v>
      </c>
      <c r="CC16" s="62">
        <f t="shared" si="11"/>
        <v>338.20762911475532</v>
      </c>
      <c r="CD16" s="62">
        <f ca="1">AVERAGE(OFFSET($CC$3,0,0,'Données projet'!$E$12+1,1))-AVERAGE(OFFSET($H$3,0,0,'Données projet'!$E$12+1,1))</f>
        <v>405.09126081846171</v>
      </c>
      <c r="CE16" s="62">
        <f t="shared" si="40"/>
        <v>534.22295841722166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8.4</v>
      </c>
      <c r="CT16" s="13">
        <f>IF('Données projet'!$A$140&gt;35,CT15+CS16-DB15,IF(A16&lt;'Données projet'!$A$140,$CQ$205^A16,IF(A16='Données projet'!$A$140,'Données projet'!$B$140,CT15+CS16-DB15)))</f>
        <v>72.199999999999989</v>
      </c>
      <c r="CU16" s="18">
        <f>CT16*VLOOKUP('Données projet'!$B$13,Paramètres!$A$1:$I$89,3,0)*VLOOKUP('Données projet'!$B$13,Paramètres!$A$1:$I$89,5,0)</f>
        <v>65.326559999999986</v>
      </c>
      <c r="CV16" s="14">
        <f t="shared" si="41"/>
        <v>18.508251950337144</v>
      </c>
      <c r="CW16" s="22">
        <f t="shared" si="13"/>
        <v>146.0122974801705</v>
      </c>
      <c r="CX16" s="62">
        <f t="shared" si="14"/>
        <v>418.56785303572605</v>
      </c>
      <c r="CY16" s="62">
        <f ca="1">AVERAGE(OFFSET($CX$3,0,0,'Données projet'!$E$13+1,1))-AVERAGE(OFFSET($H$3,0,0,'Données projet'!$E$13+1,1))</f>
        <v>244.82163392718377</v>
      </c>
      <c r="CZ16" s="62">
        <f t="shared" si="42"/>
        <v>342.30266518164211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2.4666666666666668</v>
      </c>
      <c r="DO16" s="13">
        <f>IF('Données projet'!$A$166&gt;35,DO15+DN16-DW15,IF(A16&lt;'Données projet'!$A$166,$DL$205^A16,IF(A16='Données projet'!$A$166,'Données projet'!$B$166,DO15+DN16-DW15)))</f>
        <v>22.86168101684942</v>
      </c>
      <c r="DP16" s="18">
        <f>DO16*VLOOKUP('Données projet'!$B$14,Paramètres!$A$1:$I$89,3,0)*VLOOKUP('Données projet'!$B$14,Paramètres!$A$1:$I$89,5,0)</f>
        <v>18.188753417005401</v>
      </c>
      <c r="DQ16" s="14">
        <f t="shared" si="43"/>
        <v>5.9801756254374139</v>
      </c>
      <c r="DR16" s="22">
        <f t="shared" si="16"/>
        <v>42.094218082254564</v>
      </c>
      <c r="DS16" s="62">
        <f t="shared" si="17"/>
        <v>314.64977363781009</v>
      </c>
      <c r="DT16" s="62">
        <f ca="1">AVERAGE(OFFSET($DS$3,0,0,'Données projet'!$E$14+1,1))-AVERAGE(OFFSET($H$3,0,0,'Données projet'!$E$14+1,1))</f>
        <v>298.89893065707554</v>
      </c>
      <c r="DU16" s="62">
        <f t="shared" si="44"/>
        <v>294.28794439094878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3.65</v>
      </c>
      <c r="EJ16" s="13">
        <f>IF('Données projet'!$A$192&gt;35,EJ15+EI16-ER15,IF(A16&lt;'Données projet'!$A$192,$EG$205^A16,IF(A16='Données projet'!$A$192,'Données projet'!$B$192,EJ15+EI16-ER15)))</f>
        <v>16.261472127148366</v>
      </c>
      <c r="EK16" s="18">
        <f>EJ16*VLOOKUP('Données projet'!$B$15,Paramètres!$A$1:$I$89,3,0)*VLOOKUP('Données projet'!$B$15,Paramètres!$A$1:$I$89,5,0)</f>
        <v>14.713379980643843</v>
      </c>
      <c r="EL16" s="14">
        <f t="shared" si="45"/>
        <v>4.9584140165447881</v>
      </c>
      <c r="EM16" s="22">
        <f t="shared" si="19"/>
        <v>34.261707878436859</v>
      </c>
      <c r="EN16" s="62">
        <f t="shared" si="20"/>
        <v>306.81726343399242</v>
      </c>
      <c r="EO16" s="62">
        <f ca="1">AVERAGE(OFFSET($EN$3,0,0,'Données projet'!$E$15+1,1))-AVERAGE(OFFSET($H$3,0,0,'Données projet'!$E$15+1,1))</f>
        <v>439.06700232017681</v>
      </c>
      <c r="EP16" s="62">
        <f t="shared" si="46"/>
        <v>278.21741231699929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3.65</v>
      </c>
      <c r="FE16" s="13">
        <f>IF('Données projet'!$A$218&gt;35,FE15+FD16-FM15,IF(A16&lt;'Données projet'!$A$218,$FB$205^A16,IF(A16='Données projet'!$A$218,'Données projet'!$B$218,FE15+FD16-FM15)))</f>
        <v>16.261472127148366</v>
      </c>
      <c r="FF16" s="18">
        <f>FE16*VLOOKUP('Données projet'!$B$16,Paramètres!$A$1:$I$89,3,0)*VLOOKUP('Données projet'!$B$16,Paramètres!$A$1:$I$89,5,0)</f>
        <v>15.728095841377899</v>
      </c>
      <c r="FG16" s="14">
        <f t="shared" si="47"/>
        <v>5.2593867546400634</v>
      </c>
      <c r="FH16" s="22">
        <f t="shared" si="22"/>
        <v>36.553198854731285</v>
      </c>
      <c r="FI16" s="62">
        <f t="shared" si="23"/>
        <v>309.10875441028685</v>
      </c>
      <c r="FJ16" s="62">
        <f ca="1">AVERAGE(OFFSET($FI$3,0,0,'Données projet'!$E$16+1,1))-AVERAGE(OFFSET($H$3,0,0,'Données projet'!$E$16+1,1))</f>
        <v>466.4945858005575</v>
      </c>
      <c r="FK16" s="62">
        <f t="shared" si="48"/>
        <v>294.45557293177131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3.65</v>
      </c>
      <c r="FZ16" s="13">
        <f>IF('Données projet'!$A$244&gt;35,FZ15+FY16-GH15,IF(A16&lt;'Données projet'!$A$244,$FW$205^A16,IF(A16='Données projet'!$A$244,'Données projet'!$B$244,FZ15+FY16-GH15)))</f>
        <v>16.261472127148366</v>
      </c>
      <c r="GA16" s="18">
        <f>FZ16*VLOOKUP('Données projet'!$B$17,Paramètres!$A$1:$I$89,3,0)*VLOOKUP('Données projet'!$B$17,Paramètres!$A$1:$I$89,5,0)</f>
        <v>15.474416876194386</v>
      </c>
      <c r="GB16" s="14">
        <f t="shared" si="49"/>
        <v>5.1843612238044923</v>
      </c>
      <c r="GC16" s="22">
        <f t="shared" si="25"/>
        <v>35.980705190831372</v>
      </c>
      <c r="GD16" s="62">
        <f t="shared" si="26"/>
        <v>308.53626074638692</v>
      </c>
      <c r="GE16" s="62">
        <f ca="1">AVERAGE(OFFSET($GD$3,0,0,'Données projet'!$E$17+1,1))-AVERAGE(OFFSET($H$3,0,0,'Données projet'!$E$17+1,1))</f>
        <v>459.64120566196812</v>
      </c>
      <c r="GF16" s="62">
        <f t="shared" si="50"/>
        <v>290.39826583283588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11.2</v>
      </c>
      <c r="N17" s="14">
        <f>IF('Données projet'!$A$36&gt;35,N16+M17-V16,IF(A17&lt;'Données projet'!$A$36,$K$205^A17,IF(A17='Données projet'!$A$36,'Données projet'!$B$36,N16+M17-V16)))</f>
        <v>73.800000000000011</v>
      </c>
      <c r="O17" s="14">
        <f>N17*VLOOKUP('Données projet'!$B$9,Paramètres!$A$1:$I$89,3,0)*VLOOKUP('Données projet'!$B$9,Paramètres!$A$1:$I$89,5,0)</f>
        <v>40.294800000000002</v>
      </c>
      <c r="P17" s="14">
        <f t="shared" si="33"/>
        <v>12.076750255219567</v>
      </c>
      <c r="Q17" s="22">
        <f t="shared" si="2"/>
        <v>91.21378336117408</v>
      </c>
      <c r="R17" s="62">
        <f t="shared" si="0"/>
        <v>364.99156113895185</v>
      </c>
      <c r="S17" s="62">
        <f ca="1">AVERAGE(OFFSET($R$3,0,0,'Données projet'!$E$9+1,1))-AVERAGE(OFFSET($H$3,0,0,'Données projet'!$E$9+1,1))</f>
        <v>170.27677128684815</v>
      </c>
      <c r="T17" s="62">
        <f t="shared" si="34"/>
        <v>243.47439640666289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0.77274854306181318</v>
      </c>
      <c r="AC17" s="24">
        <f t="shared" si="3"/>
        <v>0.77274854306181318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6.6</v>
      </c>
      <c r="AI17" s="14">
        <f>IF('Données projet'!$A$62&gt;35,AI16+AH17-AQ16,IF(A17&lt;'Données projet'!$A$62,$AF$205^A17,IF(A17='Données projet'!$A$62,'Données projet'!$B$62,AI16+AH17-AQ16)))</f>
        <v>30.50715803683886</v>
      </c>
      <c r="AJ17" s="14">
        <f>AI17*VLOOKUP('Données projet'!$B$10,Paramètres!$A$1:$I$89,3,0)*VLOOKUP('Données projet'!$B$10,Paramètres!$A$1:$I$89,5,0)</f>
        <v>26.651053260982433</v>
      </c>
      <c r="AK17" s="14">
        <f t="shared" si="35"/>
        <v>8.3813367159737684</v>
      </c>
      <c r="AL17" s="22">
        <f t="shared" si="4"/>
        <v>61.014745876532061</v>
      </c>
      <c r="AM17" s="62">
        <f t="shared" si="5"/>
        <v>334.79252365430983</v>
      </c>
      <c r="AN17" s="62">
        <f ca="1">AVERAGE(OFFSET($AM$3,0,0,'Données projet'!$E$10+1,1))-AVERAGE(OFFSET($H$3,0,0,'Données projet'!$E$10+1,1))</f>
        <v>327.826081588335</v>
      </c>
      <c r="AO17" s="62">
        <f t="shared" si="36"/>
        <v>348.84706693879735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14.4</v>
      </c>
      <c r="BD17" s="13">
        <f>IF('Données projet'!$A$88&gt;35,BD16+BC17-BL16,IF(A17&lt;'Données projet'!$A$88,$BA$205^A17,IF(A17='Données projet'!$A$88,'Données projet'!$B$88,BD16+BC17-BL16)))</f>
        <v>69.599999999999994</v>
      </c>
      <c r="BE17" s="14">
        <f>BD17*VLOOKUP('Données projet'!$B$11,Paramètres!$A$1:$I$89,3,0)*VLOOKUP('Données projet'!$B$11,Paramètres!$A$1:$I$89,5,0)</f>
        <v>51.030719999999995</v>
      </c>
      <c r="BF17" s="14">
        <f t="shared" si="37"/>
        <v>14.879630660597618</v>
      </c>
      <c r="BG17" s="22">
        <f t="shared" si="7"/>
        <v>114.79386073387417</v>
      </c>
      <c r="BH17" s="62">
        <f t="shared" si="8"/>
        <v>388.57163851165194</v>
      </c>
      <c r="BI17" s="62">
        <f ca="1">AVERAGE(OFFSET($BH$3,0,0,'Données projet'!$E$11+1,1))-AVERAGE(OFFSET($H$3,0,0,'Données projet'!$E$11+1,1))</f>
        <v>376.5422416541544</v>
      </c>
      <c r="BJ17" s="62">
        <f t="shared" si="38"/>
        <v>365.76175372075869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10.163529411764706</v>
      </c>
      <c r="BY17" s="13">
        <f>IF('Données projet'!$A$114&gt;35,BY16+BX17-CG16,IF(A17&lt;'Données projet'!$A$114,$BV$205^A17,IF(A17='Données projet'!$A$114,'Données projet'!$B$114,BY16+BX17-CG16)))</f>
        <v>69.605199233302443</v>
      </c>
      <c r="BZ17" s="14">
        <f>BY17*VLOOKUP('Données projet'!$B$12,Paramètres!$A$1:$I$89,3,0)*VLOOKUP('Données projet'!$B$12,Paramètres!$A$1:$I$89,5,0)</f>
        <v>38.909306371416065</v>
      </c>
      <c r="CA17" s="14">
        <f t="shared" si="39"/>
        <v>11.709094945150285</v>
      </c>
      <c r="CB17" s="22">
        <f t="shared" si="10"/>
        <v>88.160382293019723</v>
      </c>
      <c r="CC17" s="62">
        <f t="shared" si="11"/>
        <v>361.93816007079749</v>
      </c>
      <c r="CD17" s="62">
        <f ca="1">AVERAGE(OFFSET($CC$3,0,0,'Données projet'!$E$12+1,1))-AVERAGE(OFFSET($H$3,0,0,'Données projet'!$E$12+1,1))</f>
        <v>405.09126081846171</v>
      </c>
      <c r="CE17" s="62">
        <f t="shared" si="40"/>
        <v>534.22295841722166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8.4</v>
      </c>
      <c r="CT17" s="13">
        <f>IF('Données projet'!$A$140&gt;35,CT16+CS17-DB16,IF(A17&lt;'Données projet'!$A$140,$CQ$205^A17,IF(A17='Données projet'!$A$140,'Données projet'!$B$140,CT16+CS17-DB16)))</f>
        <v>80.599999999999994</v>
      </c>
      <c r="CU17" s="18">
        <f>CT17*VLOOKUP('Données projet'!$B$13,Paramètres!$A$1:$I$89,3,0)*VLOOKUP('Données projet'!$B$13,Paramètres!$A$1:$I$89,5,0)</f>
        <v>72.926879999999983</v>
      </c>
      <c r="CV17" s="14">
        <f t="shared" si="41"/>
        <v>20.398563182833673</v>
      </c>
      <c r="CW17" s="22">
        <f t="shared" si="13"/>
        <v>162.54181354343527</v>
      </c>
      <c r="CX17" s="62">
        <f t="shared" si="14"/>
        <v>436.31959132121301</v>
      </c>
      <c r="CY17" s="62">
        <f ca="1">AVERAGE(OFFSET($CX$3,0,0,'Données projet'!$E$13+1,1))-AVERAGE(OFFSET($H$3,0,0,'Données projet'!$E$13+1,1))</f>
        <v>244.82163392718377</v>
      </c>
      <c r="CZ17" s="62">
        <f t="shared" si="42"/>
        <v>342.30266518164211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2.4666666666666668</v>
      </c>
      <c r="DO17" s="13">
        <f>IF('Données projet'!$A$166&gt;35,DO16+DN17-DW16,IF(A17&lt;'Données projet'!$A$166,$DL$205^A17,IF(A17='Données projet'!$A$166,'Données projet'!$B$166,DO16+DN17-DW16)))</f>
        <v>29.084054009429774</v>
      </c>
      <c r="DP17" s="18">
        <f>DO17*VLOOKUP('Données projet'!$B$14,Paramètres!$A$1:$I$89,3,0)*VLOOKUP('Données projet'!$B$14,Paramètres!$A$1:$I$89,5,0)</f>
        <v>23.13927336990233</v>
      </c>
      <c r="DQ17" s="14">
        <f t="shared" si="43"/>
        <v>7.3976107331343286</v>
      </c>
      <c r="DR17" s="22">
        <f t="shared" si="16"/>
        <v>53.185073146122171</v>
      </c>
      <c r="DS17" s="62">
        <f t="shared" si="17"/>
        <v>326.96285092389996</v>
      </c>
      <c r="DT17" s="62">
        <f ca="1">AVERAGE(OFFSET($DS$3,0,0,'Données projet'!$E$14+1,1))-AVERAGE(OFFSET($H$3,0,0,'Données projet'!$E$14+1,1))</f>
        <v>298.89893065707554</v>
      </c>
      <c r="DU17" s="62">
        <f t="shared" si="44"/>
        <v>294.28794439094878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3.65</v>
      </c>
      <c r="EJ17" s="13">
        <f>IF('Données projet'!$A$192&gt;35,EJ16+EI17-ER16,IF(A17&lt;'Données projet'!$A$192,$EG$205^A17,IF(A17='Données projet'!$A$192,'Données projet'!$B$192,EJ16+EI17-ER16)))</f>
        <v>20.152364144963837</v>
      </c>
      <c r="EK17" s="18">
        <f>EJ17*VLOOKUP('Données projet'!$B$15,Paramètres!$A$1:$I$89,3,0)*VLOOKUP('Données projet'!$B$15,Paramètres!$A$1:$I$89,5,0)</f>
        <v>18.233859078363277</v>
      </c>
      <c r="EL17" s="14">
        <f t="shared" si="45"/>
        <v>5.9932775513027368</v>
      </c>
      <c r="EM17" s="22">
        <f t="shared" si="19"/>
        <v>42.195596296668306</v>
      </c>
      <c r="EN17" s="62">
        <f t="shared" si="20"/>
        <v>315.9733740744461</v>
      </c>
      <c r="EO17" s="62">
        <f ca="1">AVERAGE(OFFSET($EN$3,0,0,'Données projet'!$E$15+1,1))-AVERAGE(OFFSET($H$3,0,0,'Données projet'!$E$15+1,1))</f>
        <v>439.06700232017681</v>
      </c>
      <c r="EP17" s="62">
        <f t="shared" si="46"/>
        <v>278.21741231699929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3.65</v>
      </c>
      <c r="FE17" s="13">
        <f>IF('Données projet'!$A$218&gt;35,FE16+FD17-FM16,IF(A17&lt;'Données projet'!$A$218,$FB$205^A17,IF(A17='Données projet'!$A$218,'Données projet'!$B$218,FE16+FD17-FM16)))</f>
        <v>20.152364144963837</v>
      </c>
      <c r="FF17" s="18">
        <f>FE17*VLOOKUP('Données projet'!$B$16,Paramètres!$A$1:$I$89,3,0)*VLOOKUP('Données projet'!$B$16,Paramètres!$A$1:$I$89,5,0)</f>
        <v>19.491366601009023</v>
      </c>
      <c r="FG17" s="14">
        <f t="shared" si="47"/>
        <v>6.3570658813537859</v>
      </c>
      <c r="FH17" s="22">
        <f t="shared" si="22"/>
        <v>45.01935324011523</v>
      </c>
      <c r="FI17" s="62">
        <f t="shared" si="23"/>
        <v>318.79713101789298</v>
      </c>
      <c r="FJ17" s="62">
        <f ca="1">AVERAGE(OFFSET($FI$3,0,0,'Données projet'!$E$16+1,1))-AVERAGE(OFFSET($H$3,0,0,'Données projet'!$E$16+1,1))</f>
        <v>466.4945858005575</v>
      </c>
      <c r="FK17" s="62">
        <f t="shared" si="48"/>
        <v>294.45557293177131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3.65</v>
      </c>
      <c r="FZ17" s="13">
        <f>IF('Données projet'!$A$244&gt;35,FZ16+FY17-GH16,IF(A17&lt;'Données projet'!$A$244,$FW$205^A17,IF(A17='Données projet'!$A$244,'Données projet'!$B$244,FZ16+FY17-GH16)))</f>
        <v>20.152364144963837</v>
      </c>
      <c r="GA17" s="18">
        <f>FZ17*VLOOKUP('Données projet'!$B$17,Paramètres!$A$1:$I$89,3,0)*VLOOKUP('Données projet'!$B$17,Paramètres!$A$1:$I$89,5,0)</f>
        <v>19.176989720347589</v>
      </c>
      <c r="GB17" s="14">
        <f t="shared" si="49"/>
        <v>6.2663818787208765</v>
      </c>
      <c r="GC17" s="22">
        <f t="shared" si="25"/>
        <v>44.3138722017109</v>
      </c>
      <c r="GD17" s="62">
        <f t="shared" si="26"/>
        <v>318.09164997948869</v>
      </c>
      <c r="GE17" s="62">
        <f ca="1">AVERAGE(OFFSET($GD$3,0,0,'Données projet'!$E$17+1,1))-AVERAGE(OFFSET($H$3,0,0,'Données projet'!$E$17+1,1))</f>
        <v>459.64120566196812</v>
      </c>
      <c r="GF17" s="62">
        <f t="shared" si="50"/>
        <v>290.39826583283588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85</v>
      </c>
      <c r="L18" s="13">
        <f>VLOOKUP(A18,'Données projet'!$A$35:$I$55,9,0)</f>
        <v>11.2</v>
      </c>
      <c r="M18" s="13">
        <f t="array" ref="M18">INDEX(L:L,MIN(IF(ISNUMBER(L18:L214),ROW(L18:L214),"")))</f>
        <v>11.2</v>
      </c>
      <c r="N18" s="14">
        <f>IF('Données projet'!$A$36&gt;35,N17+M18-V17,IF(A18&lt;'Données projet'!$A$36,$K$205^A18,IF(A18='Données projet'!$A$36,'Données projet'!$B$36,N17+M18-V17)))</f>
        <v>85.000000000000014</v>
      </c>
      <c r="O18" s="14">
        <f>N18*VLOOKUP('Données projet'!$B$9,Paramètres!$A$1:$I$89,3,0)*VLOOKUP('Données projet'!$B$9,Paramètres!$A$1:$I$89,5,0)</f>
        <v>46.410000000000004</v>
      </c>
      <c r="P18" s="14">
        <f t="shared" si="33"/>
        <v>13.682644606433925</v>
      </c>
      <c r="Q18" s="22">
        <f t="shared" si="2"/>
        <v>104.66135602287243</v>
      </c>
      <c r="R18" s="62">
        <f t="shared" si="0"/>
        <v>379.66135602287244</v>
      </c>
      <c r="S18" s="62">
        <f ca="1">AVERAGE(OFFSET($R$3,0,0,'Données projet'!$E$9+1,1))-AVERAGE(OFFSET($H$3,0,0,'Données projet'!$E$9+1,1))</f>
        <v>170.27677128684815</v>
      </c>
      <c r="T18" s="62">
        <f t="shared" si="34"/>
        <v>243.47439640666289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21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1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13.52859125838949</v>
      </c>
      <c r="AC18" s="24">
        <f t="shared" si="3"/>
        <v>13.52859125838949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6.6</v>
      </c>
      <c r="AI18" s="14">
        <f>IF('Données projet'!$A$62&gt;35,AI17+AH18-AQ17,IF(A18&lt;'Données projet'!$A$62,$AF$205^A18,IF(A18='Données projet'!$A$62,'Données projet'!$B$62,AI17+AH18-AQ17)))</f>
        <v>38.943093594192561</v>
      </c>
      <c r="AJ18" s="14">
        <f>AI18*VLOOKUP('Données projet'!$B$10,Paramètres!$A$1:$I$89,3,0)*VLOOKUP('Données projet'!$B$10,Paramètres!$A$1:$I$89,5,0)</f>
        <v>34.02068656388662</v>
      </c>
      <c r="AK18" s="14">
        <f t="shared" si="35"/>
        <v>10.399207521197393</v>
      </c>
      <c r="AL18" s="22">
        <f t="shared" si="4"/>
        <v>77.364648864854644</v>
      </c>
      <c r="AM18" s="62">
        <f t="shared" si="5"/>
        <v>352.36464886485464</v>
      </c>
      <c r="AN18" s="62">
        <f ca="1">AVERAGE(OFFSET($AM$3,0,0,'Données projet'!$E$10+1,1))-AVERAGE(OFFSET($H$3,0,0,'Données projet'!$E$10+1,1))</f>
        <v>327.826081588335</v>
      </c>
      <c r="AO18" s="62">
        <f t="shared" si="36"/>
        <v>348.84706693879735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84</v>
      </c>
      <c r="BB18" s="13">
        <f>VLOOKUP(A18,'Données projet'!$A$87:$I$107,9,0)</f>
        <v>14.4</v>
      </c>
      <c r="BC18" s="13">
        <f t="array" ref="BC18">INDEX(BB:BB,MIN(IF(ISNUMBER(BB18:BB214),ROW(BB18:BB214),"")))</f>
        <v>14.4</v>
      </c>
      <c r="BD18" s="13">
        <f>IF('Données projet'!$A$88&gt;35,BD17+BC18-BL17,IF(A18&lt;'Données projet'!$A$88,$BA$205^A18,IF(A18='Données projet'!$A$88,'Données projet'!$B$88,BD17+BC18-BL17)))</f>
        <v>84</v>
      </c>
      <c r="BE18" s="14">
        <f>BD18*VLOOKUP('Données projet'!$B$11,Paramètres!$A$1:$I$89,3,0)*VLOOKUP('Données projet'!$B$11,Paramètres!$A$1:$I$89,5,0)</f>
        <v>61.588799999999999</v>
      </c>
      <c r="BF18" s="14">
        <f t="shared" si="37"/>
        <v>17.56935444538782</v>
      </c>
      <c r="BG18" s="22">
        <f t="shared" si="7"/>
        <v>137.86711899238378</v>
      </c>
      <c r="BH18" s="62">
        <f t="shared" si="8"/>
        <v>412.86711899238378</v>
      </c>
      <c r="BI18" s="62">
        <f ca="1">AVERAGE(OFFSET($BH$3,0,0,'Données projet'!$E$11+1,1))-AVERAGE(OFFSET($H$3,0,0,'Données projet'!$E$11+1,1))</f>
        <v>376.5422416541544</v>
      </c>
      <c r="BJ18" s="62">
        <f t="shared" si="38"/>
        <v>365.76175372075869</v>
      </c>
      <c r="BK18" s="16">
        <f>IF(ISNA(VLOOKUP(A18,'Données projet'!$A$87:$I$107,3,0)),0,VLOOKUP(A18,'Données projet'!$A$87:$I$107,3,0))</f>
        <v>2</v>
      </c>
      <c r="BL18" s="16">
        <f>IF(ISNA(VLOOKUP(A18,'Données projet'!$A$87:$I$107,4,0)),0,VLOOKUP(A18,'Données projet'!$A$87:$I$107,4,0))</f>
        <v>42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10.163529411764706</v>
      </c>
      <c r="BY18" s="13">
        <f>IF('Données projet'!$A$114&gt;35,BY17+BX18-CG17,IF(A18&lt;'Données projet'!$A$114,$BV$205^A18,IF(A18='Données projet'!$A$114,'Données projet'!$B$114,BY17+BX18-CG17)))</f>
        <v>94.245135641214503</v>
      </c>
      <c r="BZ18" s="14">
        <f>BY18*VLOOKUP('Données projet'!$B$12,Paramètres!$A$1:$I$89,3,0)*VLOOKUP('Données projet'!$B$12,Paramètres!$A$1:$I$89,5,0)</f>
        <v>52.683030823438912</v>
      </c>
      <c r="CA18" s="14">
        <f t="shared" si="39"/>
        <v>15.304542124934633</v>
      </c>
      <c r="CB18" s="22">
        <f t="shared" si="10"/>
        <v>118.41168955175056</v>
      </c>
      <c r="CC18" s="62">
        <f t="shared" si="11"/>
        <v>393.41168955175056</v>
      </c>
      <c r="CD18" s="62">
        <f ca="1">AVERAGE(OFFSET($CC$3,0,0,'Données projet'!$E$12+1,1))-AVERAGE(OFFSET($H$3,0,0,'Données projet'!$E$12+1,1))</f>
        <v>405.09126081846171</v>
      </c>
      <c r="CE18" s="62">
        <f t="shared" si="40"/>
        <v>534.22295841722166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89</v>
      </c>
      <c r="CR18" s="13">
        <f>VLOOKUP(A18,'Données projet'!$A$139:$I$159,9,0)</f>
        <v>8.4</v>
      </c>
      <c r="CS18" s="13">
        <f t="array" ref="CS18">INDEX(CR:CR,MIN(IF(ISNUMBER(CR18:CR214),ROW(CR18:CR214),"")))</f>
        <v>8.4</v>
      </c>
      <c r="CT18" s="13">
        <f>IF('Données projet'!$A$140&gt;35,CT17+CS18-DB17,IF(A18&lt;'Données projet'!$A$140,$CQ$205^A18,IF(A18='Données projet'!$A$140,'Données projet'!$B$140,CT17+CS18-DB17)))</f>
        <v>89</v>
      </c>
      <c r="CU18" s="18">
        <f>CT18*VLOOKUP('Données projet'!$B$13,Paramètres!$A$1:$I$89,3,0)*VLOOKUP('Données projet'!$B$13,Paramètres!$A$1:$I$89,5,0)</f>
        <v>80.527199999999993</v>
      </c>
      <c r="CV18" s="14">
        <f t="shared" si="41"/>
        <v>22.266037950985503</v>
      </c>
      <c r="CW18" s="22">
        <f t="shared" si="13"/>
        <v>179.03155609796639</v>
      </c>
      <c r="CX18" s="62">
        <f t="shared" si="14"/>
        <v>454.03155609796636</v>
      </c>
      <c r="CY18" s="62">
        <f ca="1">AVERAGE(OFFSET($CX$3,0,0,'Données projet'!$E$13+1,1))-AVERAGE(OFFSET($H$3,0,0,'Données projet'!$E$13+1,1))</f>
        <v>244.82163392718377</v>
      </c>
      <c r="CZ18" s="62">
        <f t="shared" si="42"/>
        <v>342.30266518164211</v>
      </c>
      <c r="DA18" s="16">
        <f>IF(ISNA(VLOOKUP(A18,'Données projet'!$A$139:$I$159,3,0)),0,VLOOKUP(A18,'Données projet'!$A$139:$I$159,3,0))</f>
        <v>3</v>
      </c>
      <c r="DB18" s="16">
        <f>IF(ISNA(VLOOKUP(A18,'Données projet'!$A$139:$I$159,4,0)),0,VLOOKUP(A18,'Données projet'!$A$139:$I$159,4,0))</f>
        <v>13</v>
      </c>
      <c r="DC18" s="17">
        <f>IF(ISNA(VLOOKUP(A18,'Données projet'!$A$139:$I$159,5,0)),0%,VLOOKUP(A18,'Données projet'!$A$139:$I$159,5,0)*VLOOKUP('Données projet'!$B$13,Paramètres!$A$1:$I$89,7,0))</f>
        <v>0.06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0.78017908753310239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0.78017908753310239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37</v>
      </c>
      <c r="DM18" s="13">
        <f>VLOOKUP(A18,'Données projet'!$A$165:$I$185,9,0)</f>
        <v>2.4666666666666668</v>
      </c>
      <c r="DN18" s="13">
        <f t="array" ref="DN18">INDEX(DM:DM,MIN(IF(ISNUMBER(DM18:DM214),ROW(DM18:DM214),"")))</f>
        <v>2.4666666666666668</v>
      </c>
      <c r="DO18" s="13">
        <f>IF('Données projet'!$A$166&gt;35,DO17+DN18-DW17,IF(A18&lt;'Données projet'!$A$166,$DL$205^A18,IF(A18='Données projet'!$A$166,'Données projet'!$B$166,DO17+DN18-DW17)))</f>
        <v>37</v>
      </c>
      <c r="DP18" s="18">
        <f>DO18*VLOOKUP('Données projet'!$B$14,Paramètres!$A$1:$I$89,3,0)*VLOOKUP('Données projet'!$B$14,Paramètres!$A$1:$I$89,5,0)</f>
        <v>29.437200000000004</v>
      </c>
      <c r="DQ18" s="14">
        <f t="shared" si="43"/>
        <v>9.1510096001539196</v>
      </c>
      <c r="DR18" s="22">
        <f t="shared" si="16"/>
        <v>67.207798386934755</v>
      </c>
      <c r="DS18" s="62">
        <f t="shared" si="17"/>
        <v>342.20779838693477</v>
      </c>
      <c r="DT18" s="62">
        <f ca="1">AVERAGE(OFFSET($DS$3,0,0,'Données projet'!$E$14+1,1))-AVERAGE(OFFSET($H$3,0,0,'Données projet'!$E$14+1,1))</f>
        <v>298.89893065707554</v>
      </c>
      <c r="DU18" s="62">
        <f t="shared" si="44"/>
        <v>294.28794439094878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15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3.65</v>
      </c>
      <c r="EJ18" s="13">
        <f>IF('Données projet'!$A$192&gt;35,EJ17+EI18-ER17,IF(A18&lt;'Données projet'!$A$192,$EG$205^A18,IF(A18='Données projet'!$A$192,'Données projet'!$B$192,EJ17+EI18-ER17)))</f>
        <v>24.974232188561476</v>
      </c>
      <c r="EK18" s="18">
        <f>EJ18*VLOOKUP('Données projet'!$B$15,Paramètres!$A$1:$I$89,3,0)*VLOOKUP('Données projet'!$B$15,Paramètres!$A$1:$I$89,5,0)</f>
        <v>22.596685284210423</v>
      </c>
      <c r="EL18" s="14">
        <f t="shared" si="45"/>
        <v>7.2441259820371586</v>
      </c>
      <c r="EM18" s="22">
        <f t="shared" si="19"/>
        <v>51.972746288714539</v>
      </c>
      <c r="EN18" s="62">
        <f t="shared" si="20"/>
        <v>326.97274628871452</v>
      </c>
      <c r="EO18" s="62">
        <f ca="1">AVERAGE(OFFSET($EN$3,0,0,'Données projet'!$E$15+1,1))-AVERAGE(OFFSET($H$3,0,0,'Données projet'!$E$15+1,1))</f>
        <v>439.06700232017681</v>
      </c>
      <c r="EP18" s="62">
        <f t="shared" si="46"/>
        <v>278.21741231699929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3.65</v>
      </c>
      <c r="FE18" s="13">
        <f>IF('Données projet'!$A$218&gt;35,FE17+FD18-FM17,IF(A18&lt;'Données projet'!$A$218,$FB$205^A18,IF(A18='Données projet'!$A$218,'Données projet'!$B$218,FE17+FD18-FM17)))</f>
        <v>24.974232188561476</v>
      </c>
      <c r="FF18" s="18">
        <f>FE18*VLOOKUP('Données projet'!$B$16,Paramètres!$A$1:$I$89,3,0)*VLOOKUP('Données projet'!$B$16,Paramètres!$A$1:$I$89,5,0)</f>
        <v>24.155077372776663</v>
      </c>
      <c r="FG18" s="14">
        <f t="shared" si="47"/>
        <v>7.6838400568695304</v>
      </c>
      <c r="FH18" s="22">
        <f t="shared" si="22"/>
        <v>55.452781189967119</v>
      </c>
      <c r="FI18" s="62">
        <f t="shared" si="23"/>
        <v>330.45278118996714</v>
      </c>
      <c r="FJ18" s="62">
        <f ca="1">AVERAGE(OFFSET($FI$3,0,0,'Données projet'!$E$16+1,1))-AVERAGE(OFFSET($H$3,0,0,'Données projet'!$E$16+1,1))</f>
        <v>466.4945858005575</v>
      </c>
      <c r="FK18" s="62">
        <f t="shared" si="48"/>
        <v>294.45557293177131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3.65</v>
      </c>
      <c r="FZ18" s="13">
        <f>IF('Données projet'!$A$244&gt;35,FZ17+FY18-GH17,IF(A18&lt;'Données projet'!$A$244,$FW$205^A18,IF(A18='Données projet'!$A$244,'Données projet'!$B$244,FZ17+FY18-GH17)))</f>
        <v>24.974232188561476</v>
      </c>
      <c r="GA18" s="18">
        <f>FZ18*VLOOKUP('Données projet'!$B$17,Paramètres!$A$1:$I$89,3,0)*VLOOKUP('Données projet'!$B$17,Paramètres!$A$1:$I$89,5,0)</f>
        <v>23.765479350635101</v>
      </c>
      <c r="GB18" s="14">
        <f t="shared" si="49"/>
        <v>7.5742295250687146</v>
      </c>
      <c r="GC18" s="22">
        <f t="shared" si="25"/>
        <v>54.583326291850803</v>
      </c>
      <c r="GD18" s="62">
        <f t="shared" si="26"/>
        <v>329.58332629185082</v>
      </c>
      <c r="GE18" s="62">
        <f ca="1">AVERAGE(OFFSET($GD$3,0,0,'Données projet'!$E$17+1,1))-AVERAGE(OFFSET($H$3,0,0,'Données projet'!$E$17+1,1))</f>
        <v>459.64120566196812</v>
      </c>
      <c r="GF18" s="62">
        <f t="shared" si="50"/>
        <v>290.39826583283588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11.6</v>
      </c>
      <c r="N19" s="14">
        <f>IF('Données projet'!$A$36&gt;35,N18+M19-V18,IF(A19&lt;'Données projet'!$A$36,$K$205^A19,IF(A19='Données projet'!$A$36,'Données projet'!$B$36,N18+M19-V18)))</f>
        <v>75.600000000000009</v>
      </c>
      <c r="O19" s="14">
        <f>N19*VLOOKUP('Données projet'!$B$9,Paramètres!$A$1:$I$89,3,0)*VLOOKUP('Données projet'!$B$9,Paramètres!$A$1:$I$89,5,0)</f>
        <v>41.277600000000007</v>
      </c>
      <c r="P19" s="14">
        <f t="shared" si="33"/>
        <v>12.33665280707495</v>
      </c>
      <c r="Q19" s="22">
        <f t="shared" si="2"/>
        <v>93.378156972322202</v>
      </c>
      <c r="R19" s="62">
        <f t="shared" si="0"/>
        <v>369.60037919454442</v>
      </c>
      <c r="S19" s="62">
        <f ca="1">AVERAGE(OFFSET($R$3,0,0,'Données projet'!$E$9+1,1))-AVERAGE(OFFSET($H$3,0,0,'Données projet'!$E$9+1,1))</f>
        <v>170.27677128684815</v>
      </c>
      <c r="T19" s="62">
        <f t="shared" si="34"/>
        <v>243.47439640666289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9.5661586187082577</v>
      </c>
      <c r="AC19" s="24">
        <f t="shared" si="3"/>
        <v>9.5661586187082577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6.6</v>
      </c>
      <c r="AI19" s="14">
        <f>IF('Données projet'!$A$62&gt;35,AI18+AH19-AQ18,IF(A19&lt;'Données projet'!$A$62,$AF$205^A19,IF(A19='Données projet'!$A$62,'Données projet'!$B$62,AI18+AH19-AQ18)))</f>
        <v>49.711760658095955</v>
      </c>
      <c r="AJ19" s="14">
        <f>AI19*VLOOKUP('Données projet'!$B$10,Paramètres!$A$1:$I$89,3,0)*VLOOKUP('Données projet'!$B$10,Paramètres!$A$1:$I$89,5,0)</f>
        <v>43.428194110912635</v>
      </c>
      <c r="AK19" s="14">
        <f t="shared" si="35"/>
        <v>12.902896129065022</v>
      </c>
      <c r="AL19" s="22">
        <f t="shared" si="4"/>
        <v>98.109982167961064</v>
      </c>
      <c r="AM19" s="62">
        <f t="shared" si="5"/>
        <v>374.33220439018328</v>
      </c>
      <c r="AN19" s="62">
        <f ca="1">AVERAGE(OFFSET($AM$3,0,0,'Données projet'!$E$10+1,1))-AVERAGE(OFFSET($H$3,0,0,'Données projet'!$E$10+1,1))</f>
        <v>327.826081588335</v>
      </c>
      <c r="AO19" s="62">
        <f t="shared" si="36"/>
        <v>348.84706693879735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16.2</v>
      </c>
      <c r="BD19" s="13">
        <f>IF('Données projet'!$A$88&gt;35,BD18+BC19-BL18,IF(A19&lt;'Données projet'!$A$88,$BA$205^A19,IF(A19='Données projet'!$A$88,'Données projet'!$B$88,BD18+BC19-BL18)))</f>
        <v>58.2</v>
      </c>
      <c r="BE19" s="14">
        <f>BD19*VLOOKUP('Données projet'!$B$11,Paramètres!$A$1:$I$89,3,0)*VLOOKUP('Données projet'!$B$11,Paramètres!$A$1:$I$89,5,0)</f>
        <v>42.672240000000002</v>
      </c>
      <c r="BF19" s="14">
        <f t="shared" si="37"/>
        <v>12.704236692203963</v>
      </c>
      <c r="BG19" s="22">
        <f t="shared" si="7"/>
        <v>96.447363572255242</v>
      </c>
      <c r="BH19" s="62">
        <f t="shared" si="8"/>
        <v>372.66958579447748</v>
      </c>
      <c r="BI19" s="62">
        <f ca="1">AVERAGE(OFFSET($BH$3,0,0,'Données projet'!$E$11+1,1))-AVERAGE(OFFSET($H$3,0,0,'Données projet'!$E$11+1,1))</f>
        <v>376.5422416541544</v>
      </c>
      <c r="BJ19" s="62">
        <f t="shared" si="38"/>
        <v>365.76175372075869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10.163529411764706</v>
      </c>
      <c r="BY19" s="13">
        <f>IF('Données projet'!$A$114&gt;35,BY18+BX19-CG18,IF(A19&lt;'Données projet'!$A$114,$BV$205^A19,IF(A19='Données projet'!$A$114,'Données projet'!$B$114,BY18+BX19-CG18)))</f>
        <v>127.60750188013651</v>
      </c>
      <c r="BZ19" s="14">
        <f>BY19*VLOOKUP('Données projet'!$B$12,Paramètres!$A$1:$I$89,3,0)*VLOOKUP('Données projet'!$B$12,Paramètres!$A$1:$I$89,5,0)</f>
        <v>71.332593550996307</v>
      </c>
      <c r="CA19" s="14">
        <f t="shared" si="39"/>
        <v>20.004023432307392</v>
      </c>
      <c r="CB19" s="22">
        <f t="shared" si="10"/>
        <v>159.07794124592061</v>
      </c>
      <c r="CC19" s="62">
        <f t="shared" si="11"/>
        <v>435.30016346814284</v>
      </c>
      <c r="CD19" s="62">
        <f ca="1">AVERAGE(OFFSET($CC$3,0,0,'Données projet'!$E$12+1,1))-AVERAGE(OFFSET($H$3,0,0,'Données projet'!$E$12+1,1))</f>
        <v>405.09126081846171</v>
      </c>
      <c r="CE19" s="62">
        <f t="shared" si="40"/>
        <v>534.22295841722166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7.6</v>
      </c>
      <c r="CT19" s="13">
        <f>IF('Données projet'!$A$140&gt;35,CT18+CS19-DB18,IF(A19&lt;'Données projet'!$A$140,$CQ$205^A19,IF(A19='Données projet'!$A$140,'Données projet'!$B$140,CT18+CS19-DB18)))</f>
        <v>83.6</v>
      </c>
      <c r="CU19" s="18">
        <f>CT19*VLOOKUP('Données projet'!$B$13,Paramètres!$A$1:$I$89,3,0)*VLOOKUP('Données projet'!$B$13,Paramètres!$A$1:$I$89,5,0)</f>
        <v>75.641279999999995</v>
      </c>
      <c r="CV19" s="14">
        <f t="shared" si="41"/>
        <v>21.068004470152093</v>
      </c>
      <c r="CW19" s="22">
        <f t="shared" si="13"/>
        <v>168.4353371188482</v>
      </c>
      <c r="CX19" s="62">
        <f t="shared" si="14"/>
        <v>444.6575593410704</v>
      </c>
      <c r="CY19" s="62">
        <f ca="1">AVERAGE(OFFSET($CX$3,0,0,'Données projet'!$E$13+1,1))-AVERAGE(OFFSET($H$3,0,0,'Données projet'!$E$13+1,1))</f>
        <v>244.82163392718377</v>
      </c>
      <c r="CZ19" s="62">
        <f t="shared" si="42"/>
        <v>342.30266518164211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0.76488025148883421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0.76488025148883421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11.6</v>
      </c>
      <c r="DO19" s="13">
        <f>IF('Données projet'!$A$166&gt;35,DO18+DN19-DW18,IF(A19&lt;'Données projet'!$A$166,$DL$205^A19,IF(A19='Données projet'!$A$166,'Données projet'!$B$166,DO18+DN19-DW18)))</f>
        <v>33.6</v>
      </c>
      <c r="DP19" s="18">
        <f>DO19*VLOOKUP('Données projet'!$B$14,Paramètres!$A$1:$I$89,3,0)*VLOOKUP('Données projet'!$B$14,Paramètres!$A$1:$I$89,5,0)</f>
        <v>26.732160000000004</v>
      </c>
      <c r="DQ19" s="14">
        <f t="shared" si="43"/>
        <v>8.4038705306032053</v>
      </c>
      <c r="DR19" s="22">
        <f t="shared" si="16"/>
        <v>61.195253174133917</v>
      </c>
      <c r="DS19" s="62">
        <f t="shared" si="17"/>
        <v>337.41747539635617</v>
      </c>
      <c r="DT19" s="62">
        <f ca="1">AVERAGE(OFFSET($DS$3,0,0,'Données projet'!$E$14+1,1))-AVERAGE(OFFSET($H$3,0,0,'Données projet'!$E$14+1,1))</f>
        <v>298.89893065707554</v>
      </c>
      <c r="DU19" s="62">
        <f t="shared" si="44"/>
        <v>294.28794439094878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3.65</v>
      </c>
      <c r="EJ19" s="13">
        <f>IF('Données projet'!$A$192&gt;35,EJ18+EI19-ER18,IF(A19&lt;'Données projet'!$A$192,$EG$205^A19,IF(A19='Données projet'!$A$192,'Données projet'!$B$192,EJ18+EI19-ER18)))</f>
        <v>30.949831440200953</v>
      </c>
      <c r="EK19" s="18">
        <f>EJ19*VLOOKUP('Données projet'!$B$15,Paramètres!$A$1:$I$89,3,0)*VLOOKUP('Données projet'!$B$15,Paramètres!$A$1:$I$89,5,0)</f>
        <v>28.003407487093821</v>
      </c>
      <c r="EL19" s="14">
        <f t="shared" si="45"/>
        <v>8.7560372090925433</v>
      </c>
      <c r="EM19" s="22">
        <f t="shared" si="19"/>
        <v>64.022699512524582</v>
      </c>
      <c r="EN19" s="62">
        <f t="shared" si="20"/>
        <v>340.24492173474681</v>
      </c>
      <c r="EO19" s="62">
        <f ca="1">AVERAGE(OFFSET($EN$3,0,0,'Données projet'!$E$15+1,1))-AVERAGE(OFFSET($H$3,0,0,'Données projet'!$E$15+1,1))</f>
        <v>439.06700232017681</v>
      </c>
      <c r="EP19" s="62">
        <f t="shared" si="46"/>
        <v>278.21741231699929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3.65</v>
      </c>
      <c r="FE19" s="13">
        <f>IF('Données projet'!$A$218&gt;35,FE18+FD19-FM18,IF(A19&lt;'Données projet'!$A$218,$FB$205^A19,IF(A19='Données projet'!$A$218,'Données projet'!$B$218,FE18+FD19-FM18)))</f>
        <v>30.949831440200953</v>
      </c>
      <c r="FF19" s="18">
        <f>FE19*VLOOKUP('Données projet'!$B$16,Paramètres!$A$1:$I$89,3,0)*VLOOKUP('Données projet'!$B$16,Paramètres!$A$1:$I$89,5,0)</f>
        <v>29.934676968962361</v>
      </c>
      <c r="FG19" s="14">
        <f t="shared" si="47"/>
        <v>9.2875233828754098</v>
      </c>
      <c r="FH19" s="22">
        <f t="shared" si="22"/>
        <v>68.311998946117441</v>
      </c>
      <c r="FI19" s="62">
        <f t="shared" si="23"/>
        <v>344.53422116833968</v>
      </c>
      <c r="FJ19" s="62">
        <f ca="1">AVERAGE(OFFSET($FI$3,0,0,'Données projet'!$E$16+1,1))-AVERAGE(OFFSET($H$3,0,0,'Données projet'!$E$16+1,1))</f>
        <v>466.4945858005575</v>
      </c>
      <c r="FK19" s="62">
        <f t="shared" si="48"/>
        <v>294.45557293177131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3.65</v>
      </c>
      <c r="FZ19" s="13">
        <f>IF('Données projet'!$A$244&gt;35,FZ18+FY19-GH18,IF(A19&lt;'Données projet'!$A$244,$FW$205^A19,IF(A19='Données projet'!$A$244,'Données projet'!$B$244,FZ18+FY19-GH18)))</f>
        <v>30.949831440200953</v>
      </c>
      <c r="GA19" s="18">
        <f>FZ19*VLOOKUP('Données projet'!$B$17,Paramètres!$A$1:$I$89,3,0)*VLOOKUP('Données projet'!$B$17,Paramètres!$A$1:$I$89,5,0)</f>
        <v>29.451859598495226</v>
      </c>
      <c r="GB19" s="14">
        <f t="shared" si="49"/>
        <v>9.1550361929319699</v>
      </c>
      <c r="GC19" s="22">
        <f t="shared" si="25"/>
        <v>67.240343503402343</v>
      </c>
      <c r="GD19" s="62">
        <f t="shared" si="26"/>
        <v>343.46256572562459</v>
      </c>
      <c r="GE19" s="62">
        <f ca="1">AVERAGE(OFFSET($GD$3,0,0,'Données projet'!$E$17+1,1))-AVERAGE(OFFSET($H$3,0,0,'Données projet'!$E$17+1,1))</f>
        <v>459.64120566196812</v>
      </c>
      <c r="GF19" s="62">
        <f t="shared" si="50"/>
        <v>290.39826583283588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11.6</v>
      </c>
      <c r="N20" s="14">
        <f>IF('Données projet'!$A$36&gt;35,N19+M20-V19,IF(A20&lt;'Données projet'!$A$36,$K$205^A20,IF(A20='Données projet'!$A$36,'Données projet'!$B$36,N19+M20-V19)))</f>
        <v>87.2</v>
      </c>
      <c r="O20" s="14">
        <f>N20*VLOOKUP('Données projet'!$B$9,Paramètres!$A$1:$I$89,3,0)*VLOOKUP('Données projet'!$B$9,Paramètres!$A$1:$I$89,5,0)</f>
        <v>47.611200000000004</v>
      </c>
      <c r="P20" s="14">
        <f t="shared" si="33"/>
        <v>13.995094974431229</v>
      </c>
      <c r="Q20" s="22">
        <f t="shared" si="2"/>
        <v>107.29763041380107</v>
      </c>
      <c r="R20" s="62">
        <f t="shared" si="0"/>
        <v>384.74207485824553</v>
      </c>
      <c r="S20" s="62">
        <f ca="1">AVERAGE(OFFSET($R$3,0,0,'Données projet'!$E$9+1,1))-AVERAGE(OFFSET($H$3,0,0,'Données projet'!$E$9+1,1))</f>
        <v>170.27677128684815</v>
      </c>
      <c r="T20" s="62">
        <f t="shared" si="34"/>
        <v>243.47439640666289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6.7642956291947458</v>
      </c>
      <c r="AC20" s="24">
        <f t="shared" si="3"/>
        <v>6.7642956291947458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6.6</v>
      </c>
      <c r="AI20" s="14">
        <f>IF('Données projet'!$A$62&gt;35,AI19+AH20-AQ19,IF(A20&lt;'Données projet'!$A$62,$AF$205^A20,IF(A20='Données projet'!$A$62,'Données projet'!$B$62,AI19+AH20-AQ19)))</f>
        <v>63.458213501978861</v>
      </c>
      <c r="AJ20" s="14">
        <f>AI20*VLOOKUP('Données projet'!$B$10,Paramètres!$A$1:$I$89,3,0)*VLOOKUP('Données projet'!$B$10,Paramètres!$A$1:$I$89,5,0)</f>
        <v>55.437095315328747</v>
      </c>
      <c r="AK20" s="14">
        <f t="shared" si="35"/>
        <v>16.009366884744278</v>
      </c>
      <c r="AL20" s="22">
        <f t="shared" si="4"/>
        <v>124.4359216651272</v>
      </c>
      <c r="AM20" s="62">
        <f t="shared" si="5"/>
        <v>401.88036610957164</v>
      </c>
      <c r="AN20" s="62">
        <f ca="1">AVERAGE(OFFSET($AM$3,0,0,'Données projet'!$E$10+1,1))-AVERAGE(OFFSET($H$3,0,0,'Données projet'!$E$10+1,1))</f>
        <v>327.826081588335</v>
      </c>
      <c r="AO20" s="62">
        <f t="shared" si="36"/>
        <v>348.84706693879735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16.2</v>
      </c>
      <c r="BD20" s="13">
        <f>IF('Données projet'!$A$88&gt;35,BD19+BC20-BL19,IF(A20&lt;'Données projet'!$A$88,$BA$205^A20,IF(A20='Données projet'!$A$88,'Données projet'!$B$88,BD19+BC20-BL19)))</f>
        <v>74.400000000000006</v>
      </c>
      <c r="BE20" s="14">
        <f>BD20*VLOOKUP('Données projet'!$B$11,Paramètres!$A$1:$I$89,3,0)*VLOOKUP('Données projet'!$B$11,Paramètres!$A$1:$I$89,5,0)</f>
        <v>54.550080000000008</v>
      </c>
      <c r="BF20" s="14">
        <f t="shared" si="37"/>
        <v>15.782815260920124</v>
      </c>
      <c r="BG20" s="22">
        <f t="shared" si="7"/>
        <v>122.49645924610256</v>
      </c>
      <c r="BH20" s="62">
        <f t="shared" si="8"/>
        <v>399.94090369054703</v>
      </c>
      <c r="BI20" s="62">
        <f ca="1">AVERAGE(OFFSET($BH$3,0,0,'Données projet'!$E$11+1,1))-AVERAGE(OFFSET($H$3,0,0,'Données projet'!$E$11+1,1))</f>
        <v>376.5422416541544</v>
      </c>
      <c r="BJ20" s="62">
        <f t="shared" si="38"/>
        <v>365.76175372075869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>
        <f>VLOOKUP(A20,'Données projet'!$A$113:$I$133,2,0)</f>
        <v>172.78</v>
      </c>
      <c r="BW20" s="13">
        <f>VLOOKUP(A20,'Données projet'!$A$113:$I$133,9,0)</f>
        <v>10.163529411764706</v>
      </c>
      <c r="BX20" s="13">
        <f t="array" ref="BX20">INDEX(BW:BW,MIN(IF(ISNUMBER(BW20:BW216),ROW(BW20:BW216),"")))</f>
        <v>10.163529411764706</v>
      </c>
      <c r="BY20" s="13">
        <f>IF('Données projet'!$A$114&gt;35,BY19+BX20-CG19,IF(A20&lt;'Données projet'!$A$114,$BV$205^A20,IF(A20='Données projet'!$A$114,'Données projet'!$B$114,BY19+BX20-CG19)))</f>
        <v>172.78</v>
      </c>
      <c r="BZ20" s="14">
        <f>BY20*VLOOKUP('Données projet'!$B$12,Paramètres!$A$1:$I$89,3,0)*VLOOKUP('Données projet'!$B$12,Paramètres!$A$1:$I$89,5,0)</f>
        <v>96.58402000000001</v>
      </c>
      <c r="CA20" s="14">
        <f t="shared" si="39"/>
        <v>26.146548535310259</v>
      </c>
      <c r="CB20" s="22">
        <f t="shared" si="10"/>
        <v>213.75574019899872</v>
      </c>
      <c r="CC20" s="62">
        <f t="shared" si="11"/>
        <v>491.20018464344321</v>
      </c>
      <c r="CD20" s="62">
        <f ca="1">AVERAGE(OFFSET($CC$3,0,0,'Données projet'!$E$12+1,1))-AVERAGE(OFFSET($H$3,0,0,'Données projet'!$E$12+1,1))</f>
        <v>405.09126081846171</v>
      </c>
      <c r="CE20" s="62">
        <f t="shared" si="40"/>
        <v>534.22295841722166</v>
      </c>
      <c r="CF20" s="16">
        <f>IF(ISNA(VLOOKUP(A20,'Données projet'!$A$113:$I$133,3,0)),0,VLOOKUP(A20,'Données projet'!$A$113:$I$133,3,0))</f>
        <v>1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7.6</v>
      </c>
      <c r="CT20" s="13">
        <f>IF('Données projet'!$A$140&gt;35,CT19+CS20-DB19,IF(A20&lt;'Données projet'!$A$140,$CQ$205^A20,IF(A20='Données projet'!$A$140,'Données projet'!$B$140,CT19+CS20-DB19)))</f>
        <v>91.199999999999989</v>
      </c>
      <c r="CU20" s="18">
        <f>CT20*VLOOKUP('Données projet'!$B$13,Paramètres!$A$1:$I$89,3,0)*VLOOKUP('Données projet'!$B$13,Paramètres!$A$1:$I$89,5,0)</f>
        <v>82.517759999999981</v>
      </c>
      <c r="CV20" s="14">
        <f t="shared" si="41"/>
        <v>22.751674941896663</v>
      </c>
      <c r="CW20" s="22">
        <f t="shared" si="13"/>
        <v>183.34426585713663</v>
      </c>
      <c r="CX20" s="62">
        <f t="shared" si="14"/>
        <v>460.78871030158109</v>
      </c>
      <c r="CY20" s="62">
        <f ca="1">AVERAGE(OFFSET($CX$3,0,0,'Données projet'!$E$13+1,1))-AVERAGE(OFFSET($H$3,0,0,'Données projet'!$E$13+1,1))</f>
        <v>244.82163392718377</v>
      </c>
      <c r="CZ20" s="62">
        <f t="shared" si="42"/>
        <v>342.30266518164211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0.74988141628802552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0.74988141628802552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11.6</v>
      </c>
      <c r="DO20" s="13">
        <f>IF('Données projet'!$A$166&gt;35,DO19+DN20-DW19,IF(A20&lt;'Données projet'!$A$166,$DL$205^A20,IF(A20='Données projet'!$A$166,'Données projet'!$B$166,DO19+DN20-DW19)))</f>
        <v>45.2</v>
      </c>
      <c r="DP20" s="18">
        <f>DO20*VLOOKUP('Données projet'!$B$14,Paramètres!$A$1:$I$89,3,0)*VLOOKUP('Données projet'!$B$14,Paramètres!$A$1:$I$89,5,0)</f>
        <v>35.961120000000008</v>
      </c>
      <c r="DQ20" s="14">
        <f t="shared" si="43"/>
        <v>10.921600552662685</v>
      </c>
      <c r="DR20" s="22">
        <f t="shared" si="16"/>
        <v>81.654071629220851</v>
      </c>
      <c r="DS20" s="62">
        <f t="shared" si="17"/>
        <v>359.09851607366534</v>
      </c>
      <c r="DT20" s="62">
        <f ca="1">AVERAGE(OFFSET($DS$3,0,0,'Données projet'!$E$14+1,1))-AVERAGE(OFFSET($H$3,0,0,'Données projet'!$E$14+1,1))</f>
        <v>298.89893065707554</v>
      </c>
      <c r="DU20" s="62">
        <f t="shared" si="44"/>
        <v>294.28794439094878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3.65</v>
      </c>
      <c r="EJ20" s="13">
        <f>IF('Données projet'!$A$192&gt;35,EJ19+EI20-ER19,IF(A20&lt;'Données projet'!$A$192,$EG$205^A20,IF(A20='Données projet'!$A$192,'Données projet'!$B$192,EJ19+EI20-ER19)))</f>
        <v>38.355215845858055</v>
      </c>
      <c r="EK20" s="18">
        <f>EJ20*VLOOKUP('Données projet'!$B$15,Paramètres!$A$1:$I$89,3,0)*VLOOKUP('Données projet'!$B$15,Paramètres!$A$1:$I$89,5,0)</f>
        <v>34.703799297332367</v>
      </c>
      <c r="EL20" s="14">
        <f t="shared" si="45"/>
        <v>10.583497277259243</v>
      </c>
      <c r="EM20" s="22">
        <f t="shared" si="19"/>
        <v>78.875374867413711</v>
      </c>
      <c r="EN20" s="62">
        <f t="shared" si="20"/>
        <v>356.31981931185817</v>
      </c>
      <c r="EO20" s="62">
        <f ca="1">AVERAGE(OFFSET($EN$3,0,0,'Données projet'!$E$15+1,1))-AVERAGE(OFFSET($H$3,0,0,'Données projet'!$E$15+1,1))</f>
        <v>439.06700232017681</v>
      </c>
      <c r="EP20" s="62">
        <f t="shared" si="46"/>
        <v>278.21741231699929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3.65</v>
      </c>
      <c r="FE20" s="13">
        <f>IF('Données projet'!$A$218&gt;35,FE19+FD20-FM19,IF(A20&lt;'Données projet'!$A$218,$FB$205^A20,IF(A20='Données projet'!$A$218,'Données projet'!$B$218,FE19+FD20-FM19)))</f>
        <v>38.355215845858055</v>
      </c>
      <c r="FF20" s="18">
        <f>FE20*VLOOKUP('Données projet'!$B$16,Paramètres!$A$1:$I$89,3,0)*VLOOKUP('Données projet'!$B$16,Paramètres!$A$1:$I$89,5,0)</f>
        <v>37.097164766113913</v>
      </c>
      <c r="FG20" s="14">
        <f t="shared" si="47"/>
        <v>11.225909174194843</v>
      </c>
      <c r="FH20" s="22">
        <f t="shared" si="22"/>
        <v>84.162687112704418</v>
      </c>
      <c r="FI20" s="62">
        <f t="shared" si="23"/>
        <v>361.60713155714888</v>
      </c>
      <c r="FJ20" s="62">
        <f ca="1">AVERAGE(OFFSET($FI$3,0,0,'Données projet'!$E$16+1,1))-AVERAGE(OFFSET($H$3,0,0,'Données projet'!$E$16+1,1))</f>
        <v>466.4945858005575</v>
      </c>
      <c r="FK20" s="62">
        <f t="shared" si="48"/>
        <v>294.45557293177131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3.65</v>
      </c>
      <c r="FZ20" s="13">
        <f>IF('Données projet'!$A$244&gt;35,FZ19+FY20-GH19,IF(A20&lt;'Données projet'!$A$244,$FW$205^A20,IF(A20='Données projet'!$A$244,'Données projet'!$B$244,FZ19+FY20-GH19)))</f>
        <v>38.355215845858055</v>
      </c>
      <c r="GA20" s="18">
        <f>FZ20*VLOOKUP('Données projet'!$B$17,Paramètres!$A$1:$I$89,3,0)*VLOOKUP('Données projet'!$B$17,Paramètres!$A$1:$I$89,5,0)</f>
        <v>36.498823398918525</v>
      </c>
      <c r="GB20" s="14">
        <f t="shared" si="49"/>
        <v>11.065770771335835</v>
      </c>
      <c r="GC20" s="22">
        <f t="shared" si="25"/>
        <v>82.841668179859667</v>
      </c>
      <c r="GD20" s="62">
        <f t="shared" si="26"/>
        <v>360.28611262430411</v>
      </c>
      <c r="GE20" s="62">
        <f ca="1">AVERAGE(OFFSET($GD$3,0,0,'Données projet'!$E$17+1,1))-AVERAGE(OFFSET($H$3,0,0,'Données projet'!$E$17+1,1))</f>
        <v>459.64120566196812</v>
      </c>
      <c r="GF20" s="62">
        <f t="shared" si="50"/>
        <v>290.39826583283588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11.6</v>
      </c>
      <c r="N21" s="14">
        <f>IF('Données projet'!$A$36&gt;35,N20+M21-V20,IF(A21&lt;'Données projet'!$A$36,$K$205^A21,IF(A21='Données projet'!$A$36,'Données projet'!$B$36,N20+M21-V20)))</f>
        <v>98.8</v>
      </c>
      <c r="O21" s="14">
        <f>N21*VLOOKUP('Données projet'!$B$9,Paramètres!$A$1:$I$89,3,0)*VLOOKUP('Données projet'!$B$9,Paramètres!$A$1:$I$89,5,0)</f>
        <v>53.944799999999994</v>
      </c>
      <c r="P21" s="14">
        <f t="shared" si="33"/>
        <v>15.627975445731314</v>
      </c>
      <c r="Q21" s="22">
        <f t="shared" si="2"/>
        <v>121.17258390131535</v>
      </c>
      <c r="R21" s="62">
        <f t="shared" si="0"/>
        <v>399.83925056798205</v>
      </c>
      <c r="S21" s="62">
        <f ca="1">AVERAGE(OFFSET($R$3,0,0,'Données projet'!$E$9+1,1))-AVERAGE(OFFSET($H$3,0,0,'Données projet'!$E$9+1,1))</f>
        <v>170.27677128684815</v>
      </c>
      <c r="T21" s="62">
        <f t="shared" si="34"/>
        <v>243.47439640666289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4.7830793093541288</v>
      </c>
      <c r="AC21" s="24">
        <f t="shared" si="3"/>
        <v>4.7830793093541288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6.6</v>
      </c>
      <c r="AI21" s="14">
        <f>IF('Données projet'!$A$62&gt;35,AI20+AH21-AQ20,IF(A21&lt;'Données projet'!$A$62,$AF$205^A21,IF(A21='Données projet'!$A$62,'Données projet'!$B$62,AI20+AH21-AQ20)))</f>
        <v>81.005878841406769</v>
      </c>
      <c r="AJ21" s="14">
        <f>AI21*VLOOKUP('Données projet'!$B$10,Paramètres!$A$1:$I$89,3,0)*VLOOKUP('Données projet'!$B$10,Paramètres!$A$1:$I$89,5,0)</f>
        <v>70.766735755852963</v>
      </c>
      <c r="AK21" s="14">
        <f t="shared" si="35"/>
        <v>19.863744192515547</v>
      </c>
      <c r="AL21" s="22">
        <f t="shared" si="4"/>
        <v>157.84808591007513</v>
      </c>
      <c r="AM21" s="62">
        <f t="shared" si="5"/>
        <v>436.51475257674178</v>
      </c>
      <c r="AN21" s="62">
        <f ca="1">AVERAGE(OFFSET($AM$3,0,0,'Données projet'!$E$10+1,1))-AVERAGE(OFFSET($H$3,0,0,'Données projet'!$E$10+1,1))</f>
        <v>327.826081588335</v>
      </c>
      <c r="AO21" s="62">
        <f t="shared" si="36"/>
        <v>348.84706693879735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16.2</v>
      </c>
      <c r="BD21" s="13">
        <f>IF('Données projet'!$A$88&gt;35,BD20+BC21-BL20,IF(A21&lt;'Données projet'!$A$88,$BA$205^A21,IF(A21='Données projet'!$A$88,'Données projet'!$B$88,BD20+BC21-BL20)))</f>
        <v>90.600000000000009</v>
      </c>
      <c r="BE21" s="14">
        <f>BD21*VLOOKUP('Données projet'!$B$11,Paramètres!$A$1:$I$89,3,0)*VLOOKUP('Données projet'!$B$11,Paramètres!$A$1:$I$89,5,0)</f>
        <v>66.42792</v>
      </c>
      <c r="BF21" s="14">
        <f t="shared" si="37"/>
        <v>18.783698241275044</v>
      </c>
      <c r="BG21" s="22">
        <f t="shared" si="7"/>
        <v>148.41023510355402</v>
      </c>
      <c r="BH21" s="62">
        <f t="shared" si="8"/>
        <v>427.07690177022073</v>
      </c>
      <c r="BI21" s="62">
        <f ca="1">AVERAGE(OFFSET($BH$3,0,0,'Données projet'!$E$11+1,1))-AVERAGE(OFFSET($H$3,0,0,'Données projet'!$E$11+1,1))</f>
        <v>376.5422416541544</v>
      </c>
      <c r="BJ21" s="62">
        <f t="shared" si="38"/>
        <v>365.76175372075869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>
        <f>VLOOKUP(A21,'Données projet'!$A$113:$I$133,2,0)</f>
        <v>202.31</v>
      </c>
      <c r="BW21" s="13">
        <f>VLOOKUP(A21,'Données projet'!$A$113:$I$133,9,0)</f>
        <v>29.53</v>
      </c>
      <c r="BX21" s="13">
        <f t="array" ref="BX21">INDEX(BW:BW,MIN(IF(ISNUMBER(BW21:BW217),ROW(BW21:BW217),"")))</f>
        <v>29.53</v>
      </c>
      <c r="BY21" s="13">
        <f>IF('Données projet'!$A$114&gt;35,BY20+BX21-CG20,IF(A21&lt;'Données projet'!$A$114,$BV$205^A21,IF(A21='Données projet'!$A$114,'Données projet'!$B$114,BY20+BX21-CG20)))</f>
        <v>202.31</v>
      </c>
      <c r="BZ21" s="14">
        <f>BY21*VLOOKUP('Données projet'!$B$12,Paramètres!$A$1:$I$89,3,0)*VLOOKUP('Données projet'!$B$12,Paramètres!$A$1:$I$89,5,0)</f>
        <v>113.09129000000001</v>
      </c>
      <c r="CA21" s="14">
        <f t="shared" si="39"/>
        <v>30.05813764305373</v>
      </c>
      <c r="CB21" s="22">
        <f t="shared" si="10"/>
        <v>249.31858647831859</v>
      </c>
      <c r="CC21" s="62">
        <f t="shared" si="11"/>
        <v>527.98525314498534</v>
      </c>
      <c r="CD21" s="62">
        <f ca="1">AVERAGE(OFFSET($CC$3,0,0,'Données projet'!$E$12+1,1))-AVERAGE(OFFSET($H$3,0,0,'Données projet'!$E$12+1,1))</f>
        <v>405.09126081846171</v>
      </c>
      <c r="CE21" s="62">
        <f t="shared" si="40"/>
        <v>534.22295841722166</v>
      </c>
      <c r="CF21" s="16">
        <f>IF(ISNA(VLOOKUP(A21,'Données projet'!$A$113:$I$133,3,0)),0,VLOOKUP(A21,'Données projet'!$A$113:$I$133,3,0))</f>
        <v>2</v>
      </c>
      <c r="CG21" s="16">
        <f>IF(ISNA(VLOOKUP(A21,'Données projet'!$A$113:$I$133,4,0)),0,VLOOKUP(A21,'Données projet'!$A$113:$I$133,4,0))</f>
        <v>74.819999999999993</v>
      </c>
      <c r="CH21" s="17">
        <f>IF(ISNA(VLOOKUP(A21,'Données projet'!$A$113:$I$133,5,0)),0%,VLOOKUP(A21,'Données projet'!$A$113:$I$133,5,0)*VLOOKUP('Données projet'!$B$12,Paramètres!$A$1:$I$89,7,0))</f>
        <v>5.5000000000000007E-2</v>
      </c>
      <c r="CI21" s="17">
        <f>IF(ISNA(VLOOKUP(A21,'Données projet'!$A$113:$I$133,6,0)),0%,VLOOKUP(A21,'Données projet'!$A$113:$I$133,6,0)*VLOOKUP('Données projet'!$B$12,Paramètres!$A$1:$I$89,7,0))</f>
        <v>0.22000000000000003</v>
      </c>
      <c r="CJ21" s="17">
        <f>IF(ISNA(VLOOKUP(A21,'Données projet'!$A$113:$I$133,7,0)),0%,VLOOKUP(A21,'Données projet'!$A$113:$I$133,7,0))</f>
        <v>0.5</v>
      </c>
      <c r="CK21" s="23">
        <f>EXP(-LN(2)/35)*CK20+(1-EXP(-LN(2)/35))/(LN(2)/35)*CG21*CH21*VLOOKUP('Données projet'!$B$12,Paramètres!$A$1:$I$89,3,0)*0.475*44/12</f>
        <v>3.0515504733338017</v>
      </c>
      <c r="CL21" s="23">
        <f>EXP(-LN(2)/25)*CL20+(1-EXP(-LN(2)/25))/(LN(2)/25)*Calculateur!CG21*Calculateur!CI21*VLOOKUP('Données projet'!$B$12,Paramètres!$A$1:$I$89,3,0)*0.475*44/12</f>
        <v>12.1581414255536</v>
      </c>
      <c r="CM21" s="23">
        <f>EXP(-LN(2)/2)*CM20+(1-EXP(-LN(2)/2))/(LN(2)/2)*CG21*CJ21*VLOOKUP('Données projet'!$B$12,Paramètres!$A$1:$I$89,3,0)*0.475*44/12</f>
        <v>23.677456930009981</v>
      </c>
      <c r="CN21" s="24">
        <f t="shared" si="12"/>
        <v>38.887148828897381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7.6</v>
      </c>
      <c r="CT21" s="13">
        <f>IF('Données projet'!$A$140&gt;35,CT20+CS21-DB20,IF(A21&lt;'Données projet'!$A$140,$CQ$205^A21,IF(A21='Données projet'!$A$140,'Données projet'!$B$140,CT20+CS21-DB20)))</f>
        <v>98.799999999999983</v>
      </c>
      <c r="CU21" s="18">
        <f>CT21*VLOOKUP('Données projet'!$B$13,Paramètres!$A$1:$I$89,3,0)*VLOOKUP('Données projet'!$B$13,Paramètres!$A$1:$I$89,5,0)</f>
        <v>89.394239999999982</v>
      </c>
      <c r="CV21" s="14">
        <f t="shared" si="41"/>
        <v>24.419072895797868</v>
      </c>
      <c r="CW21" s="22">
        <f t="shared" si="13"/>
        <v>198.22485329351457</v>
      </c>
      <c r="CX21" s="62">
        <f t="shared" si="14"/>
        <v>476.89151996018126</v>
      </c>
      <c r="CY21" s="62">
        <f ca="1">AVERAGE(OFFSET($CX$3,0,0,'Données projet'!$E$13+1,1))-AVERAGE(OFFSET($H$3,0,0,'Données projet'!$E$13+1,1))</f>
        <v>244.82163392718377</v>
      </c>
      <c r="CZ21" s="62">
        <f t="shared" si="42"/>
        <v>342.30266518164211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0.73517669909711847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0.73517669909711847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11.6</v>
      </c>
      <c r="DO21" s="13">
        <f>IF('Données projet'!$A$166&gt;35,DO20+DN21-DW20,IF(A21&lt;'Données projet'!$A$166,$DL$205^A21,IF(A21='Données projet'!$A$166,'Données projet'!$B$166,DO20+DN21-DW20)))</f>
        <v>56.800000000000004</v>
      </c>
      <c r="DP21" s="18">
        <f>DO21*VLOOKUP('Données projet'!$B$14,Paramètres!$A$1:$I$89,3,0)*VLOOKUP('Données projet'!$B$14,Paramètres!$A$1:$I$89,5,0)</f>
        <v>45.190080000000009</v>
      </c>
      <c r="DQ21" s="14">
        <f t="shared" si="43"/>
        <v>13.364359727915414</v>
      </c>
      <c r="DR21" s="22">
        <f t="shared" si="16"/>
        <v>101.98231585945268</v>
      </c>
      <c r="DS21" s="62">
        <f t="shared" si="17"/>
        <v>380.64898252611937</v>
      </c>
      <c r="DT21" s="62">
        <f ca="1">AVERAGE(OFFSET($DS$3,0,0,'Données projet'!$E$14+1,1))-AVERAGE(OFFSET($H$3,0,0,'Données projet'!$E$14+1,1))</f>
        <v>298.89893065707554</v>
      </c>
      <c r="DU21" s="62">
        <f t="shared" si="44"/>
        <v>294.28794439094878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3.65</v>
      </c>
      <c r="EJ21" s="13">
        <f>IF('Données projet'!$A$192&gt;35,EJ20+EI21-ER20,IF(A21&lt;'Données projet'!$A$192,$EG$205^A21,IF(A21='Données projet'!$A$192,'Données projet'!$B$192,EJ20+EI21-ER20)))</f>
        <v>47.532490941824946</v>
      </c>
      <c r="EK21" s="18">
        <f>EJ21*VLOOKUP('Données projet'!$B$15,Paramètres!$A$1:$I$89,3,0)*VLOOKUP('Données projet'!$B$15,Paramètres!$A$1:$I$89,5,0)</f>
        <v>43.007397804163212</v>
      </c>
      <c r="EL21" s="14">
        <f t="shared" si="45"/>
        <v>12.792363936215189</v>
      </c>
      <c r="EM21" s="22">
        <f t="shared" si="19"/>
        <v>97.184585031159045</v>
      </c>
      <c r="EN21" s="62">
        <f t="shared" si="20"/>
        <v>375.85125169782572</v>
      </c>
      <c r="EO21" s="62">
        <f ca="1">AVERAGE(OFFSET($EN$3,0,0,'Données projet'!$E$15+1,1))-AVERAGE(OFFSET($H$3,0,0,'Données projet'!$E$15+1,1))</f>
        <v>439.06700232017681</v>
      </c>
      <c r="EP21" s="62">
        <f t="shared" si="46"/>
        <v>278.21741231699929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3.65</v>
      </c>
      <c r="FE21" s="13">
        <f>IF('Données projet'!$A$218&gt;35,FE20+FD21-FM20,IF(A21&lt;'Données projet'!$A$218,$FB$205^A21,IF(A21='Données projet'!$A$218,'Données projet'!$B$218,FE20+FD21-FM20)))</f>
        <v>47.532490941824946</v>
      </c>
      <c r="FF21" s="18">
        <f>FE21*VLOOKUP('Données projet'!$B$16,Paramètres!$A$1:$I$89,3,0)*VLOOKUP('Données projet'!$B$16,Paramètres!$A$1:$I$89,5,0)</f>
        <v>45.973425238933089</v>
      </c>
      <c r="FG21" s="14">
        <f t="shared" si="47"/>
        <v>13.56885270616201</v>
      </c>
      <c r="FH21" s="22">
        <f t="shared" si="22"/>
        <v>103.70280075437397</v>
      </c>
      <c r="FI21" s="62">
        <f t="shared" si="23"/>
        <v>382.36946742104067</v>
      </c>
      <c r="FJ21" s="62">
        <f ca="1">AVERAGE(OFFSET($FI$3,0,0,'Données projet'!$E$16+1,1))-AVERAGE(OFFSET($H$3,0,0,'Données projet'!$E$16+1,1))</f>
        <v>466.4945858005575</v>
      </c>
      <c r="FK21" s="62">
        <f t="shared" si="48"/>
        <v>294.45557293177131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3.65</v>
      </c>
      <c r="FZ21" s="13">
        <f>IF('Données projet'!$A$244&gt;35,FZ20+FY21-GH20,IF(A21&lt;'Données projet'!$A$244,$FW$205^A21,IF(A21='Données projet'!$A$244,'Données projet'!$B$244,FZ20+FY21-GH20)))</f>
        <v>47.532490941824946</v>
      </c>
      <c r="GA21" s="18">
        <f>FZ21*VLOOKUP('Données projet'!$B$17,Paramètres!$A$1:$I$89,3,0)*VLOOKUP('Données projet'!$B$17,Paramètres!$A$1:$I$89,5,0)</f>
        <v>45.231918380240622</v>
      </c>
      <c r="GB21" s="14">
        <f t="shared" si="49"/>
        <v>13.375292045080878</v>
      </c>
      <c r="GC21" s="22">
        <f t="shared" si="25"/>
        <v>102.07422482410162</v>
      </c>
      <c r="GD21" s="62">
        <f t="shared" si="26"/>
        <v>380.74089149076832</v>
      </c>
      <c r="GE21" s="62">
        <f ca="1">AVERAGE(OFFSET($GD$3,0,0,'Données projet'!$E$17+1,1))-AVERAGE(OFFSET($H$3,0,0,'Données projet'!$E$17+1,1))</f>
        <v>459.64120566196812</v>
      </c>
      <c r="GF21" s="62">
        <f t="shared" si="50"/>
        <v>290.39826583283588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11.6</v>
      </c>
      <c r="N22" s="14">
        <f>IF('Données projet'!$A$36&gt;35,N21+M22-V21,IF(A22&lt;'Données projet'!$A$36,$K$205^A22,IF(A22='Données projet'!$A$36,'Données projet'!$B$36,N21+M22-V21)))</f>
        <v>110.39999999999999</v>
      </c>
      <c r="O22" s="14">
        <f>N22*VLOOKUP('Données projet'!$B$9,Paramètres!$A$1:$I$89,3,0)*VLOOKUP('Données projet'!$B$9,Paramètres!$A$1:$I$89,5,0)</f>
        <v>60.278399999999998</v>
      </c>
      <c r="P22" s="14">
        <f t="shared" si="33"/>
        <v>17.238638291828391</v>
      </c>
      <c r="Q22" s="22">
        <f t="shared" si="2"/>
        <v>135.00884169160111</v>
      </c>
      <c r="R22" s="62">
        <f t="shared" si="0"/>
        <v>414.89773058048996</v>
      </c>
      <c r="S22" s="62">
        <f ca="1">AVERAGE(OFFSET($R$3,0,0,'Données projet'!$E$9+1,1))-AVERAGE(OFFSET($H$3,0,0,'Données projet'!$E$9+1,1))</f>
        <v>170.27677128684815</v>
      </c>
      <c r="T22" s="62">
        <f t="shared" si="34"/>
        <v>243.47439640666289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3.3821478145973729</v>
      </c>
      <c r="AC22" s="24">
        <f t="shared" si="3"/>
        <v>3.3821478145973729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6.6</v>
      </c>
      <c r="AI22" s="14">
        <f>IF('Données projet'!$A$62&gt;35,AI21+AH22-AQ21,IF(A22&lt;'Données projet'!$A$62,$AF$205^A22,IF(A22='Données projet'!$A$62,'Données projet'!$B$62,AI21+AH22-AQ21)))</f>
        <v>103.40587994435182</v>
      </c>
      <c r="AJ22" s="14">
        <f>AI22*VLOOKUP('Données projet'!$B$10,Paramètres!$A$1:$I$89,3,0)*VLOOKUP('Données projet'!$B$10,Paramètres!$A$1:$I$89,5,0)</f>
        <v>90.335376719385764</v>
      </c>
      <c r="AK22" s="14">
        <f t="shared" si="35"/>
        <v>24.646092265003244</v>
      </c>
      <c r="AL22" s="22">
        <f t="shared" si="4"/>
        <v>200.25939181447754</v>
      </c>
      <c r="AM22" s="62">
        <f t="shared" si="5"/>
        <v>480.14828070336637</v>
      </c>
      <c r="AN22" s="62">
        <f ca="1">AVERAGE(OFFSET($AM$3,0,0,'Données projet'!$E$10+1,1))-AVERAGE(OFFSET($H$3,0,0,'Données projet'!$E$10+1,1))</f>
        <v>327.826081588335</v>
      </c>
      <c r="AO22" s="62">
        <f t="shared" si="36"/>
        <v>348.84706693879735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16.2</v>
      </c>
      <c r="BD22" s="13">
        <f>IF('Données projet'!$A$88&gt;35,BD21+BC22-BL21,IF(A22&lt;'Données projet'!$A$88,$BA$205^A22,IF(A22='Données projet'!$A$88,'Données projet'!$B$88,BD21+BC22-BL21)))</f>
        <v>106.80000000000001</v>
      </c>
      <c r="BE22" s="14">
        <f>BD22*VLOOKUP('Données projet'!$B$11,Paramètres!$A$1:$I$89,3,0)*VLOOKUP('Données projet'!$B$11,Paramètres!$A$1:$I$89,5,0)</f>
        <v>78.305760000000006</v>
      </c>
      <c r="BF22" s="14">
        <f t="shared" si="37"/>
        <v>21.722418982737217</v>
      </c>
      <c r="BG22" s="22">
        <f t="shared" si="7"/>
        <v>174.21574506160064</v>
      </c>
      <c r="BH22" s="62">
        <f t="shared" si="8"/>
        <v>454.10463395048953</v>
      </c>
      <c r="BI22" s="62">
        <f ca="1">AVERAGE(OFFSET($BH$3,0,0,'Données projet'!$E$11+1,1))-AVERAGE(OFFSET($H$3,0,0,'Données projet'!$E$11+1,1))</f>
        <v>376.5422416541544</v>
      </c>
      <c r="BJ22" s="62">
        <f t="shared" si="38"/>
        <v>365.76175372075869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>
        <f>VLOOKUP(A22,'Données projet'!$A$113:$I$133,2,0)</f>
        <v>150.35</v>
      </c>
      <c r="BW22" s="13">
        <f>VLOOKUP(A22,'Données projet'!$A$113:$I$133,9,0)</f>
        <v>22.859999999999985</v>
      </c>
      <c r="BX22" s="13">
        <f t="array" ref="BX22">INDEX(BW:BW,MIN(IF(ISNUMBER(BW22:BW218),ROW(BW22:BW218),"")))</f>
        <v>22.859999999999985</v>
      </c>
      <c r="BY22" s="13">
        <f>IF('Données projet'!$A$114&gt;35,BY21+BX22-CG21,IF(A22&lt;'Données projet'!$A$114,$BV$205^A22,IF(A22='Données projet'!$A$114,'Données projet'!$B$114,BY21+BX22-CG21)))</f>
        <v>150.35</v>
      </c>
      <c r="BZ22" s="14">
        <f>BY22*VLOOKUP('Données projet'!$B$12,Paramètres!$A$1:$I$89,3,0)*VLOOKUP('Données projet'!$B$12,Paramètres!$A$1:$I$89,5,0)</f>
        <v>84.045649999999995</v>
      </c>
      <c r="CA22" s="14">
        <f t="shared" si="39"/>
        <v>23.123508581543572</v>
      </c>
      <c r="CB22" s="22">
        <f t="shared" si="10"/>
        <v>186.65295119618835</v>
      </c>
      <c r="CC22" s="62">
        <f t="shared" si="11"/>
        <v>466.54184008507718</v>
      </c>
      <c r="CD22" s="62">
        <f ca="1">AVERAGE(OFFSET($CC$3,0,0,'Données projet'!$E$12+1,1))-AVERAGE(OFFSET($H$3,0,0,'Données projet'!$E$12+1,1))</f>
        <v>405.09126081846171</v>
      </c>
      <c r="CE22" s="62">
        <f t="shared" si="40"/>
        <v>534.22295841722166</v>
      </c>
      <c r="CF22" s="16">
        <f>IF(ISNA(VLOOKUP(A22,'Données projet'!$A$113:$I$133,3,0)),0,VLOOKUP(A22,'Données projet'!$A$113:$I$133,3,0))</f>
        <v>3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2.9917114298137304</v>
      </c>
      <c r="CL22" s="23">
        <f>EXP(-LN(2)/25)*CL21+(1-EXP(-LN(2)/25))/(LN(2)/25)*Calculateur!CG22*Calculateur!CI22*VLOOKUP('Données projet'!$B$12,Paramètres!$A$1:$I$89,3,0)*0.475*44/12</f>
        <v>11.825676408902966</v>
      </c>
      <c r="CM22" s="23">
        <f>EXP(-LN(2)/2)*CM21+(1-EXP(-LN(2)/2))/(LN(2)/2)*CG22*CJ22*VLOOKUP('Données projet'!$B$12,Paramètres!$A$1:$I$89,3,0)*0.475*44/12</f>
        <v>16.742490356462472</v>
      </c>
      <c r="CN22" s="24">
        <f t="shared" si="12"/>
        <v>31.559878195179166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7.6</v>
      </c>
      <c r="CT22" s="13">
        <f>IF('Données projet'!$A$140&gt;35,CT21+CS22-DB21,IF(A22&lt;'Données projet'!$A$140,$CQ$205^A22,IF(A22='Données projet'!$A$140,'Données projet'!$B$140,CT21+CS22-DB21)))</f>
        <v>106.39999999999998</v>
      </c>
      <c r="CU22" s="18">
        <f>CT22*VLOOKUP('Données projet'!$B$13,Paramètres!$A$1:$I$89,3,0)*VLOOKUP('Données projet'!$B$13,Paramètres!$A$1:$I$89,5,0)</f>
        <v>96.270719999999969</v>
      </c>
      <c r="CV22" s="14">
        <f t="shared" si="41"/>
        <v>26.071592384845928</v>
      </c>
      <c r="CW22" s="22">
        <f t="shared" si="13"/>
        <v>213.07952740360659</v>
      </c>
      <c r="CX22" s="62">
        <f t="shared" si="14"/>
        <v>492.96841629249548</v>
      </c>
      <c r="CY22" s="62">
        <f ca="1">AVERAGE(OFFSET($CX$3,0,0,'Données projet'!$E$13+1,1))-AVERAGE(OFFSET($H$3,0,0,'Données projet'!$E$13+1,1))</f>
        <v>244.82163392718377</v>
      </c>
      <c r="CZ22" s="62">
        <f t="shared" si="42"/>
        <v>342.30266518164211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0.72076033244133331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0.72076033244133331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11.6</v>
      </c>
      <c r="DO22" s="13">
        <f>IF('Données projet'!$A$166&gt;35,DO21+DN22-DW21,IF(A22&lt;'Données projet'!$A$166,$DL$205^A22,IF(A22='Données projet'!$A$166,'Données projet'!$B$166,DO21+DN22-DW21)))</f>
        <v>68.400000000000006</v>
      </c>
      <c r="DP22" s="18">
        <f>DO22*VLOOKUP('Données projet'!$B$14,Paramètres!$A$1:$I$89,3,0)*VLOOKUP('Données projet'!$B$14,Paramètres!$A$1:$I$89,5,0)</f>
        <v>54.419040000000003</v>
      </c>
      <c r="DQ22" s="14">
        <f t="shared" si="43"/>
        <v>15.749310274925152</v>
      </c>
      <c r="DR22" s="22">
        <f t="shared" si="16"/>
        <v>122.20987672882796</v>
      </c>
      <c r="DS22" s="62">
        <f t="shared" si="17"/>
        <v>402.09876561771682</v>
      </c>
      <c r="DT22" s="62">
        <f ca="1">AVERAGE(OFFSET($DS$3,0,0,'Données projet'!$E$14+1,1))-AVERAGE(OFFSET($H$3,0,0,'Données projet'!$E$14+1,1))</f>
        <v>298.89893065707554</v>
      </c>
      <c r="DU22" s="62">
        <f t="shared" si="44"/>
        <v>294.28794439094878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3.65</v>
      </c>
      <c r="EJ22" s="13">
        <f>IF('Données projet'!$A$192&gt;35,EJ21+EI22-ER21,IF(A22&lt;'Données projet'!$A$192,$EG$205^A22,IF(A22='Données projet'!$A$192,'Données projet'!$B$192,EJ21+EI22-ER21)))</f>
        <v>58.90561805764559</v>
      </c>
      <c r="EK22" s="18">
        <f>EJ22*VLOOKUP('Données projet'!$B$15,Paramètres!$A$1:$I$89,3,0)*VLOOKUP('Données projet'!$B$15,Paramètres!$A$1:$I$89,5,0)</f>
        <v>53.297803218557732</v>
      </c>
      <c r="EL22" s="14">
        <f t="shared" si="45"/>
        <v>15.462240012873817</v>
      </c>
      <c r="EM22" s="22">
        <f t="shared" si="19"/>
        <v>119.75707529474329</v>
      </c>
      <c r="EN22" s="62">
        <f t="shared" si="20"/>
        <v>399.64596418363215</v>
      </c>
      <c r="EO22" s="62">
        <f ca="1">AVERAGE(OFFSET($EN$3,0,0,'Données projet'!$E$15+1,1))-AVERAGE(OFFSET($H$3,0,0,'Données projet'!$E$15+1,1))</f>
        <v>439.06700232017681</v>
      </c>
      <c r="EP22" s="62">
        <f t="shared" si="46"/>
        <v>278.21741231699929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3.65</v>
      </c>
      <c r="FE22" s="13">
        <f>IF('Données projet'!$A$218&gt;35,FE21+FD22-FM21,IF(A22&lt;'Données projet'!$A$218,$FB$205^A22,IF(A22='Données projet'!$A$218,'Données projet'!$B$218,FE21+FD22-FM21)))</f>
        <v>58.90561805764559</v>
      </c>
      <c r="FF22" s="18">
        <f>FE22*VLOOKUP('Données projet'!$B$16,Paramètres!$A$1:$I$89,3,0)*VLOOKUP('Données projet'!$B$16,Paramètres!$A$1:$I$89,5,0)</f>
        <v>56.973513785354818</v>
      </c>
      <c r="FG22" s="14">
        <f t="shared" si="47"/>
        <v>16.400788649238766</v>
      </c>
      <c r="FH22" s="22">
        <f t="shared" si="22"/>
        <v>127.7935767402505</v>
      </c>
      <c r="FI22" s="62">
        <f t="shared" si="23"/>
        <v>407.68246562913936</v>
      </c>
      <c r="FJ22" s="62">
        <f ca="1">AVERAGE(OFFSET($FI$3,0,0,'Données projet'!$E$16+1,1))-AVERAGE(OFFSET($H$3,0,0,'Données projet'!$E$16+1,1))</f>
        <v>466.4945858005575</v>
      </c>
      <c r="FK22" s="62">
        <f t="shared" si="48"/>
        <v>294.45557293177131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3.65</v>
      </c>
      <c r="FZ22" s="13">
        <f>IF('Données projet'!$A$244&gt;35,FZ21+FY22-GH21,IF(A22&lt;'Données projet'!$A$244,$FW$205^A22,IF(A22='Données projet'!$A$244,'Données projet'!$B$244,FZ21+FY22-GH21)))</f>
        <v>58.90561805764559</v>
      </c>
      <c r="GA22" s="18">
        <f>FZ22*VLOOKUP('Données projet'!$B$17,Paramètres!$A$1:$I$89,3,0)*VLOOKUP('Données projet'!$B$17,Paramètres!$A$1:$I$89,5,0)</f>
        <v>56.054586143655548</v>
      </c>
      <c r="GB22" s="14">
        <f t="shared" si="49"/>
        <v>16.166830217973832</v>
      </c>
      <c r="GC22" s="22">
        <f t="shared" si="25"/>
        <v>125.78563349650449</v>
      </c>
      <c r="GD22" s="62">
        <f t="shared" si="26"/>
        <v>405.67452238539335</v>
      </c>
      <c r="GE22" s="62">
        <f ca="1">AVERAGE(OFFSET($GD$3,0,0,'Données projet'!$E$17+1,1))-AVERAGE(OFFSET($H$3,0,0,'Données projet'!$E$17+1,1))</f>
        <v>459.64120566196812</v>
      </c>
      <c r="GF22" s="62">
        <f t="shared" si="50"/>
        <v>290.39826583283588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122</v>
      </c>
      <c r="L23" s="13">
        <f>VLOOKUP(A23,'Données projet'!$A$35:$I$55,9,0)</f>
        <v>11.6</v>
      </c>
      <c r="M23" s="13">
        <f t="array" ref="M23">INDEX(L:L,MIN(IF(ISNUMBER(L23:L219),ROW(L23:L219),"")))</f>
        <v>11.6</v>
      </c>
      <c r="N23" s="14">
        <f>IF('Données projet'!$A$36&gt;35,N22+M23-V22,IF(A23&lt;'Données projet'!$A$36,$K$205^A23,IF(A23='Données projet'!$A$36,'Données projet'!$B$36,N22+M23-V22)))</f>
        <v>121.99999999999999</v>
      </c>
      <c r="O23" s="14">
        <f>N23*VLOOKUP('Données projet'!$B$9,Paramètres!$A$1:$I$89,3,0)*VLOOKUP('Données projet'!$B$9,Paramètres!$A$1:$I$89,5,0)</f>
        <v>66.611999999999995</v>
      </c>
      <c r="P23" s="14">
        <f t="shared" si="33"/>
        <v>18.829683939536395</v>
      </c>
      <c r="Q23" s="22">
        <f t="shared" si="2"/>
        <v>148.81093286135922</v>
      </c>
      <c r="R23" s="62">
        <f t="shared" si="0"/>
        <v>429.92204397247036</v>
      </c>
      <c r="S23" s="62">
        <f ca="1">AVERAGE(OFFSET($R$3,0,0,'Données projet'!$E$9+1,1))-AVERAGE(OFFSET($H$3,0,0,'Données projet'!$E$9+1,1))</f>
        <v>170.27677128684815</v>
      </c>
      <c r="T23" s="62">
        <f t="shared" si="34"/>
        <v>243.47439640666289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24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17.228311681463872</v>
      </c>
      <c r="AC23" s="24">
        <f t="shared" si="3"/>
        <v>17.228311681463872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132</v>
      </c>
      <c r="AG23" s="13">
        <f>VLOOKUP(A23,'Données projet'!$A$61:$I$81,9,0)</f>
        <v>6.6</v>
      </c>
      <c r="AH23" s="13">
        <f t="array" ref="AH23">INDEX(AG:AG,MIN(IF(ISNUMBER(AG23:AG219),ROW(AG23:AG219),"")))</f>
        <v>6.6</v>
      </c>
      <c r="AI23" s="14">
        <f>IF('Données projet'!$A$62&gt;35,AI22+AH23-AQ22,IF(A23&lt;'Données projet'!$A$62,$AF$205^A23,IF(A23='Données projet'!$A$62,'Données projet'!$B$62,AI22+AH23-AQ22)))</f>
        <v>132</v>
      </c>
      <c r="AJ23" s="14">
        <f>AI23*VLOOKUP('Données projet'!$B$10,Paramètres!$A$1:$I$89,3,0)*VLOOKUP('Données projet'!$B$10,Paramètres!$A$1:$I$89,5,0)</f>
        <v>115.3152</v>
      </c>
      <c r="AK23" s="14">
        <f t="shared" si="35"/>
        <v>30.579827148797317</v>
      </c>
      <c r="AL23" s="22">
        <f t="shared" si="4"/>
        <v>254.10050561748861</v>
      </c>
      <c r="AM23" s="62">
        <f t="shared" si="5"/>
        <v>535.21161672859978</v>
      </c>
      <c r="AN23" s="62">
        <f ca="1">AVERAGE(OFFSET($AM$3,0,0,'Données projet'!$E$10+1,1))-AVERAGE(OFFSET($H$3,0,0,'Données projet'!$E$10+1,1))</f>
        <v>327.826081588335</v>
      </c>
      <c r="AO23" s="62">
        <f t="shared" si="36"/>
        <v>348.84706693879735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123</v>
      </c>
      <c r="BB23" s="13">
        <f>VLOOKUP(A23,'Données projet'!$A$87:$I$107,9,0)</f>
        <v>16.2</v>
      </c>
      <c r="BC23" s="13">
        <f t="array" ref="BC23">INDEX(BB:BB,MIN(IF(ISNUMBER(BB23:BB219),ROW(BB23:BB219),"")))</f>
        <v>16.2</v>
      </c>
      <c r="BD23" s="13">
        <f>IF('Données projet'!$A$88&gt;35,BD22+BC23-BL22,IF(A23&lt;'Données projet'!$A$88,$BA$205^A23,IF(A23='Données projet'!$A$88,'Données projet'!$B$88,BD22+BC23-BL22)))</f>
        <v>123.00000000000001</v>
      </c>
      <c r="BE23" s="14">
        <f>BD23*VLOOKUP('Données projet'!$B$11,Paramètres!$A$1:$I$89,3,0)*VLOOKUP('Données projet'!$B$11,Paramètres!$A$1:$I$89,5,0)</f>
        <v>90.183600000000013</v>
      </c>
      <c r="BF23" s="14">
        <f t="shared" si="37"/>
        <v>24.609499639553789</v>
      </c>
      <c r="BG23" s="22">
        <f t="shared" si="7"/>
        <v>199.93131520555619</v>
      </c>
      <c r="BH23" s="62">
        <f t="shared" si="8"/>
        <v>481.04242631666733</v>
      </c>
      <c r="BI23" s="62">
        <f ca="1">AVERAGE(OFFSET($BH$3,0,0,'Données projet'!$E$11+1,1))-AVERAGE(OFFSET($H$3,0,0,'Données projet'!$E$11+1,1))</f>
        <v>376.5422416541544</v>
      </c>
      <c r="BJ23" s="62">
        <f t="shared" si="38"/>
        <v>365.76175372075869</v>
      </c>
      <c r="BK23" s="16">
        <f>IF(ISNA(VLOOKUP(A23,'Données projet'!$A$87:$I$107,3,0)),0,VLOOKUP(A23,'Données projet'!$A$87:$I$107,3,0))</f>
        <v>3</v>
      </c>
      <c r="BL23" s="16">
        <f>IF(ISNA(VLOOKUP(A23,'Données projet'!$A$87:$I$107,4,0)),0,VLOOKUP(A23,'Données projet'!$A$87:$I$107,4,0))</f>
        <v>42</v>
      </c>
      <c r="BM23" s="17">
        <f>IF(ISNA(VLOOKUP(A23,'Données projet'!$A$87:$I$107,5,0)),0%,VLOOKUP(A23,'Données projet'!$A$87:$I$107,5,0)*VLOOKUP('Données projet'!$B$11,Paramètres!$A$1:$I$89,7,0))</f>
        <v>8.6000000000000007E-2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2.927637546772095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2.927637546772095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27.097500000000004</v>
      </c>
      <c r="BY23" s="13">
        <f>IF('Données projet'!$A$114&gt;35,BY22+BX23-CG22,IF(A23&lt;'Données projet'!$A$114,$BV$205^A23,IF(A23='Données projet'!$A$114,'Données projet'!$B$114,BY22+BX23-CG22)))</f>
        <v>177.44749999999999</v>
      </c>
      <c r="BZ23" s="14">
        <f>BY23*VLOOKUP('Données projet'!$B$12,Paramètres!$A$1:$I$89,3,0)*VLOOKUP('Données projet'!$B$12,Paramètres!$A$1:$I$89,5,0)</f>
        <v>99.193152499999997</v>
      </c>
      <c r="CA23" s="14">
        <f t="shared" si="39"/>
        <v>26.769686721634265</v>
      </c>
      <c r="CB23" s="22">
        <f t="shared" si="10"/>
        <v>219.38527831101297</v>
      </c>
      <c r="CC23" s="62">
        <f t="shared" si="11"/>
        <v>500.49638942212414</v>
      </c>
      <c r="CD23" s="62">
        <f ca="1">AVERAGE(OFFSET($CC$3,0,0,'Données projet'!$E$12+1,1))-AVERAGE(OFFSET($H$3,0,0,'Données projet'!$E$12+1,1))</f>
        <v>405.09126081846171</v>
      </c>
      <c r="CE23" s="62">
        <f t="shared" si="40"/>
        <v>534.22295841722166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2.9330457934388749</v>
      </c>
      <c r="CL23" s="23">
        <f>EXP(-LN(2)/25)*CL22+(1-EXP(-LN(2)/25))/(LN(2)/25)*Calculateur!CG23*Calculateur!CI23*VLOOKUP('Données projet'!$B$12,Paramètres!$A$1:$I$89,3,0)*0.475*44/12</f>
        <v>11.50230266561622</v>
      </c>
      <c r="CM23" s="23">
        <f>EXP(-LN(2)/2)*CM22+(1-EXP(-LN(2)/2))/(LN(2)/2)*CG23*CJ23*VLOOKUP('Données projet'!$B$12,Paramètres!$A$1:$I$89,3,0)*0.475*44/12</f>
        <v>11.838728465004992</v>
      </c>
      <c r="CN23" s="24">
        <f t="shared" si="12"/>
        <v>26.27407692406009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114</v>
      </c>
      <c r="CR23" s="13">
        <f>VLOOKUP(A23,'Données projet'!$A$139:$I$159,9,0)</f>
        <v>7.6</v>
      </c>
      <c r="CS23" s="13">
        <f t="array" ref="CS23">INDEX(CR:CR,MIN(IF(ISNUMBER(CR23:CR219),ROW(CR23:CR219),"")))</f>
        <v>7.6</v>
      </c>
      <c r="CT23" s="13">
        <f>IF('Données projet'!$A$140&gt;35,CT22+CS23-DB22,IF(A23&lt;'Données projet'!$A$140,$CQ$205^A23,IF(A23='Données projet'!$A$140,'Données projet'!$B$140,CT22+CS23-DB22)))</f>
        <v>113.99999999999997</v>
      </c>
      <c r="CU23" s="18">
        <f>CT23*VLOOKUP('Données projet'!$B$13,Paramètres!$A$1:$I$89,3,0)*VLOOKUP('Données projet'!$B$13,Paramètres!$A$1:$I$89,5,0)</f>
        <v>103.14719999999997</v>
      </c>
      <c r="CV23" s="14">
        <f t="shared" si="41"/>
        <v>27.710417026801451</v>
      </c>
      <c r="CW23" s="22">
        <f t="shared" si="13"/>
        <v>227.91034965501248</v>
      </c>
      <c r="CX23" s="62">
        <f t="shared" si="14"/>
        <v>509.0214607661236</v>
      </c>
      <c r="CY23" s="62">
        <f ca="1">AVERAGE(OFFSET($CX$3,0,0,'Données projet'!$E$13+1,1))-AVERAGE(OFFSET($H$3,0,0,'Données projet'!$E$13+1,1))</f>
        <v>244.82163392718377</v>
      </c>
      <c r="CZ23" s="62">
        <f t="shared" si="42"/>
        <v>342.30266518164211</v>
      </c>
      <c r="DA23" s="16">
        <f>IF(ISNA(VLOOKUP(A23,'Données projet'!$A$139:$I$159,3,0)),0,VLOOKUP(A23,'Données projet'!$A$139:$I$159,3,0))</f>
        <v>4</v>
      </c>
      <c r="DB23" s="16">
        <f>IF(ISNA(VLOOKUP(A23,'Données projet'!$A$139:$I$159,4,0)),0,VLOOKUP(A23,'Données projet'!$A$139:$I$159,4,0))</f>
        <v>10</v>
      </c>
      <c r="DC23" s="17">
        <f>IF(ISNA(VLOOKUP(A23,'Données projet'!$A$139:$I$159,5,0)),0%,VLOOKUP(A23,'Données projet'!$A$139:$I$159,5,0)*VLOOKUP('Données projet'!$B$13,Paramètres!$A$1:$I$89,7,0))</f>
        <v>0.24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3.1071777005059444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3.1071777005059444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80</v>
      </c>
      <c r="DM23" s="13">
        <f>VLOOKUP(A23,'Données projet'!$A$165:$I$185,9,0)</f>
        <v>11.6</v>
      </c>
      <c r="DN23" s="13">
        <f t="array" ref="DN23">INDEX(DM:DM,MIN(IF(ISNUMBER(DM23:DM219),ROW(DM23:DM219),"")))</f>
        <v>11.6</v>
      </c>
      <c r="DO23" s="13">
        <f>IF('Données projet'!$A$166&gt;35,DO22+DN23-DW22,IF(A23&lt;'Données projet'!$A$166,$DL$205^A23,IF(A23='Données projet'!$A$166,'Données projet'!$B$166,DO22+DN23-DW22)))</f>
        <v>80</v>
      </c>
      <c r="DP23" s="18">
        <f>DO23*VLOOKUP('Données projet'!$B$14,Paramètres!$A$1:$I$89,3,0)*VLOOKUP('Données projet'!$B$14,Paramètres!$A$1:$I$89,5,0)</f>
        <v>63.647999999999996</v>
      </c>
      <c r="DQ23" s="14">
        <f t="shared" si="43"/>
        <v>18.087405707268363</v>
      </c>
      <c r="DR23" s="22">
        <f t="shared" si="16"/>
        <v>142.35583160682572</v>
      </c>
      <c r="DS23" s="62">
        <f t="shared" si="17"/>
        <v>423.46694271793683</v>
      </c>
      <c r="DT23" s="62">
        <f ca="1">AVERAGE(OFFSET($DS$3,0,0,'Données projet'!$E$14+1,1))-AVERAGE(OFFSET($H$3,0,0,'Données projet'!$E$14+1,1))</f>
        <v>298.89893065707554</v>
      </c>
      <c r="DU23" s="62">
        <f t="shared" si="44"/>
        <v>294.28794439094878</v>
      </c>
      <c r="DV23" s="16">
        <f>IF(ISNA(VLOOKUP(A23,'Données projet'!$A$165:$I$185,3,0)),0,VLOOKUP(A23,'Données projet'!$A$165:$I$185,3,0))</f>
        <v>2</v>
      </c>
      <c r="DW23" s="16">
        <f>IF(ISNA(VLOOKUP(A23,'Données projet'!$A$165:$I$185,4,0)),0,VLOOKUP(A23,'Données projet'!$A$165:$I$185,4,0))</f>
        <v>28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73</v>
      </c>
      <c r="EH23" s="13">
        <f>VLOOKUP(A23,'Données projet'!$A$191:$I$211,9,0)</f>
        <v>3.65</v>
      </c>
      <c r="EI23" s="13">
        <f t="array" ref="EI23">INDEX(EH:EH,MIN(IF(ISNUMBER(EH23:EH219),ROW(EH23:EH219),"")))</f>
        <v>3.65</v>
      </c>
      <c r="EJ23" s="13">
        <f>IF('Données projet'!$A$192&gt;35,EJ22+EI23-ER22,IF(A23&lt;'Données projet'!$A$192,$EG$205^A23,IF(A23='Données projet'!$A$192,'Données projet'!$B$192,EJ22+EI23-ER22)))</f>
        <v>73</v>
      </c>
      <c r="EK23" s="18">
        <f>EJ23*VLOOKUP('Données projet'!$B$15,Paramètres!$A$1:$I$89,3,0)*VLOOKUP('Données projet'!$B$15,Paramètres!$A$1:$I$89,5,0)</f>
        <v>66.050399999999996</v>
      </c>
      <c r="EL23" s="14">
        <f t="shared" si="45"/>
        <v>18.689342126897891</v>
      </c>
      <c r="EM23" s="22">
        <f t="shared" si="19"/>
        <v>147.58838420434714</v>
      </c>
      <c r="EN23" s="62">
        <f t="shared" si="20"/>
        <v>428.69949531545831</v>
      </c>
      <c r="EO23" s="62">
        <f ca="1">AVERAGE(OFFSET($EN$3,0,0,'Données projet'!$E$15+1,1))-AVERAGE(OFFSET($H$3,0,0,'Données projet'!$E$15+1,1))</f>
        <v>439.06700232017681</v>
      </c>
      <c r="EP23" s="62">
        <f t="shared" si="46"/>
        <v>278.21741231699929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6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73</v>
      </c>
      <c r="FC23" s="13">
        <f>VLOOKUP(A23,'Données projet'!$A$217:$I$237,9,0)</f>
        <v>3.65</v>
      </c>
      <c r="FD23" s="13">
        <f t="array" ref="FD23">INDEX(FC:FC,MIN(IF(ISNUMBER(FC23:FC219),ROW(FC23:FC219),"")))</f>
        <v>3.65</v>
      </c>
      <c r="FE23" s="13">
        <f>IF('Données projet'!$A$218&gt;35,FE22+FD23-FM22,IF(A23&lt;'Données projet'!$A$218,$FB$205^A23,IF(A23='Données projet'!$A$218,'Données projet'!$B$218,FE22+FD23-FM22)))</f>
        <v>73</v>
      </c>
      <c r="FF23" s="18">
        <f>FE23*VLOOKUP('Données projet'!$B$16,Paramètres!$A$1:$I$89,3,0)*VLOOKUP('Données projet'!$B$16,Paramètres!$A$1:$I$89,5,0)</f>
        <v>70.605599999999995</v>
      </c>
      <c r="FG23" s="14">
        <f t="shared" si="47"/>
        <v>19.823773913828742</v>
      </c>
      <c r="FH23" s="22">
        <f t="shared" si="22"/>
        <v>157.49782623325171</v>
      </c>
      <c r="FI23" s="62">
        <f t="shared" si="23"/>
        <v>438.60893734436286</v>
      </c>
      <c r="FJ23" s="62">
        <f ca="1">AVERAGE(OFFSET($FI$3,0,0,'Données projet'!$E$16+1,1))-AVERAGE(OFFSET($H$3,0,0,'Données projet'!$E$16+1,1))</f>
        <v>466.4945858005575</v>
      </c>
      <c r="FK23" s="62">
        <f t="shared" si="48"/>
        <v>294.45557293177131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6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1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5.475475390837989</v>
      </c>
      <c r="FT23" s="24">
        <f t="shared" si="24"/>
        <v>5.475475390837989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73</v>
      </c>
      <c r="FX23" s="13">
        <f>VLOOKUP(A23,'Données projet'!$A$243:$I$263,9,0)</f>
        <v>3.65</v>
      </c>
      <c r="FY23" s="13">
        <f t="array" ref="FY23">INDEX(FX:FX,MIN(IF(ISNUMBER(FX23:FX219),ROW(FX23:FX219),"")))</f>
        <v>3.65</v>
      </c>
      <c r="FZ23" s="13">
        <f>IF('Données projet'!$A$244&gt;35,FZ22+FY23-GH22,IF(A23&lt;'Données projet'!$A$244,$FW$205^A23,IF(A23='Données projet'!$A$244,'Données projet'!$B$244,FZ22+FY23-GH22)))</f>
        <v>73</v>
      </c>
      <c r="GA23" s="18">
        <f>FZ23*VLOOKUP('Données projet'!$B$17,Paramètres!$A$1:$I$89,3,0)*VLOOKUP('Données projet'!$B$17,Paramètres!$A$1:$I$89,5,0)</f>
        <v>69.466800000000006</v>
      </c>
      <c r="GB23" s="14">
        <f t="shared" si="49"/>
        <v>19.540986351241298</v>
      </c>
      <c r="GC23" s="22">
        <f t="shared" si="25"/>
        <v>155.02189456174526</v>
      </c>
      <c r="GD23" s="62">
        <f t="shared" si="26"/>
        <v>436.13300567285637</v>
      </c>
      <c r="GE23" s="62">
        <f ca="1">AVERAGE(OFFSET($GD$3,0,0,'Données projet'!$E$17+1,1))-AVERAGE(OFFSET($H$3,0,0,'Données projet'!$E$17+1,1))</f>
        <v>459.64120566196812</v>
      </c>
      <c r="GF23" s="62">
        <f t="shared" si="50"/>
        <v>290.39826583283588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6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10.6</v>
      </c>
      <c r="N24" s="14">
        <f>IF('Données projet'!$A$36&gt;35,N23+M24-V23,IF(A24&lt;'Données projet'!$A$36,$K$205^A24,IF(A24='Données projet'!$A$36,'Données projet'!$B$36,N23+M24-V23)))</f>
        <v>108.6</v>
      </c>
      <c r="O24" s="14">
        <f>N24*VLOOKUP('Données projet'!$B$9,Paramètres!$A$1:$I$89,3,0)*VLOOKUP('Données projet'!$B$9,Paramètres!$A$1:$I$89,5,0)</f>
        <v>59.295599999999993</v>
      </c>
      <c r="P24" s="14">
        <f t="shared" si="33"/>
        <v>16.990052370780411</v>
      </c>
      <c r="Q24" s="22">
        <f t="shared" si="2"/>
        <v>132.86417787910921</v>
      </c>
      <c r="R24" s="62">
        <f t="shared" si="0"/>
        <v>415.19751121244252</v>
      </c>
      <c r="S24" s="62">
        <f ca="1">AVERAGE(OFFSET($R$3,0,0,'Données projet'!$E$9+1,1))-AVERAGE(OFFSET($H$3,0,0,'Données projet'!$E$9+1,1))</f>
        <v>170.27677128684815</v>
      </c>
      <c r="T24" s="62">
        <f t="shared" si="34"/>
        <v>243.47439640666289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12.182256018358515</v>
      </c>
      <c r="AC24" s="24">
        <f t="shared" si="3"/>
        <v>12.182256018358515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12.2</v>
      </c>
      <c r="AI24" s="14">
        <f>IF('Données projet'!$A$62&gt;35,AI23+AH24-AQ23,IF(A24&lt;'Données projet'!$A$62,$AF$205^A24,IF(A24='Données projet'!$A$62,'Données projet'!$B$62,AI23+AH24-AQ23)))</f>
        <v>94.199999999999989</v>
      </c>
      <c r="AJ24" s="14">
        <f>AI24*VLOOKUP('Données projet'!$B$10,Paramètres!$A$1:$I$89,3,0)*VLOOKUP('Données projet'!$B$10,Paramètres!$A$1:$I$89,5,0)</f>
        <v>82.293120000000002</v>
      </c>
      <c r="AK24" s="14">
        <f t="shared" si="35"/>
        <v>22.696938367376966</v>
      </c>
      <c r="AL24" s="22">
        <f t="shared" si="4"/>
        <v>182.85768498984825</v>
      </c>
      <c r="AM24" s="62">
        <f t="shared" si="5"/>
        <v>465.19101832318154</v>
      </c>
      <c r="AN24" s="62">
        <f ca="1">AVERAGE(OFFSET($AM$3,0,0,'Données projet'!$E$10+1,1))-AVERAGE(OFFSET($H$3,0,0,'Données projet'!$E$10+1,1))</f>
        <v>327.826081588335</v>
      </c>
      <c r="AO24" s="62">
        <f t="shared" si="36"/>
        <v>348.84706693879735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16.8</v>
      </c>
      <c r="BD24" s="13">
        <f>IF('Données projet'!$A$88&gt;35,BD23+BC24-BL23,IF(A24&lt;'Données projet'!$A$88,$BA$205^A24,IF(A24='Données projet'!$A$88,'Données projet'!$B$88,BD23+BC24-BL23)))</f>
        <v>97.800000000000011</v>
      </c>
      <c r="BE24" s="14">
        <f>BD24*VLOOKUP('Données projet'!$B$11,Paramètres!$A$1:$I$89,3,0)*VLOOKUP('Données projet'!$B$11,Paramètres!$A$1:$I$89,5,0)</f>
        <v>71.706960000000009</v>
      </c>
      <c r="BF24" s="14">
        <f t="shared" si="37"/>
        <v>20.096759687088312</v>
      </c>
      <c r="BG24" s="22">
        <f t="shared" si="7"/>
        <v>159.89147845501216</v>
      </c>
      <c r="BH24" s="62">
        <f t="shared" si="8"/>
        <v>442.22481178834551</v>
      </c>
      <c r="BI24" s="62">
        <f ca="1">AVERAGE(OFFSET($BH$3,0,0,'Données projet'!$E$11+1,1))-AVERAGE(OFFSET($H$3,0,0,'Données projet'!$E$11+1,1))</f>
        <v>376.5422416541544</v>
      </c>
      <c r="BJ24" s="62">
        <f t="shared" si="38"/>
        <v>365.76175372075869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2.8702283601624763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2.8702283601624763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27.097500000000004</v>
      </c>
      <c r="BY24" s="13">
        <f>IF('Données projet'!$A$114&gt;35,BY23+BX24-CG23,IF(A24&lt;'Données projet'!$A$114,$BV$205^A24,IF(A24='Données projet'!$A$114,'Données projet'!$B$114,BY23+BX24-CG23)))</f>
        <v>204.54499999999999</v>
      </c>
      <c r="BZ24" s="14">
        <f>BY24*VLOOKUP('Données projet'!$B$12,Paramètres!$A$1:$I$89,3,0)*VLOOKUP('Données projet'!$B$12,Paramètres!$A$1:$I$89,5,0)</f>
        <v>114.340655</v>
      </c>
      <c r="CA24" s="14">
        <f t="shared" si="39"/>
        <v>30.351361817470281</v>
      </c>
      <c r="CB24" s="22">
        <f t="shared" si="10"/>
        <v>252.00526262376073</v>
      </c>
      <c r="CC24" s="62">
        <f t="shared" si="11"/>
        <v>534.33859595709407</v>
      </c>
      <c r="CD24" s="62">
        <f ca="1">AVERAGE(OFFSET($CC$3,0,0,'Données projet'!$E$12+1,1))-AVERAGE(OFFSET($H$3,0,0,'Données projet'!$E$12+1,1))</f>
        <v>405.09126081846171</v>
      </c>
      <c r="CE24" s="62">
        <f t="shared" si="40"/>
        <v>534.22295841722166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2.8755305544108252</v>
      </c>
      <c r="CL24" s="23">
        <f>EXP(-LN(2)/25)*CL23+(1-EXP(-LN(2)/25))/(LN(2)/25)*Calculateur!CG24*Calculateur!CI24*VLOOKUP('Données projet'!$B$12,Paramètres!$A$1:$I$89,3,0)*0.475*44/12</f>
        <v>11.187771594345136</v>
      </c>
      <c r="CM24" s="23">
        <f>EXP(-LN(2)/2)*CM23+(1-EXP(-LN(2)/2))/(LN(2)/2)*CG24*CJ24*VLOOKUP('Données projet'!$B$12,Paramètres!$A$1:$I$89,3,0)*0.475*44/12</f>
        <v>8.3712451782312378</v>
      </c>
      <c r="CN24" s="24">
        <f t="shared" si="12"/>
        <v>22.4345473269872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6.4</v>
      </c>
      <c r="CT24" s="13">
        <f>IF('Données projet'!$A$140&gt;35,CT23+CS24-DB23,IF(A24&lt;'Données projet'!$A$140,$CQ$205^A24,IF(A24='Données projet'!$A$140,'Données projet'!$B$140,CT23+CS24-DB23)))</f>
        <v>110.39999999999998</v>
      </c>
      <c r="CU24" s="18">
        <f>CT24*VLOOKUP('Données projet'!$B$13,Paramètres!$A$1:$I$89,3,0)*VLOOKUP('Données projet'!$B$13,Paramètres!$A$1:$I$89,5,0)</f>
        <v>99.889919999999975</v>
      </c>
      <c r="CV24" s="14">
        <f t="shared" si="41"/>
        <v>26.935770825480166</v>
      </c>
      <c r="CW24" s="22">
        <f t="shared" si="13"/>
        <v>220.88807818771124</v>
      </c>
      <c r="CX24" s="62">
        <f t="shared" si="14"/>
        <v>503.22141152104456</v>
      </c>
      <c r="CY24" s="62">
        <f ca="1">AVERAGE(OFFSET($CX$3,0,0,'Données projet'!$E$13+1,1))-AVERAGE(OFFSET($H$3,0,0,'Données projet'!$E$13+1,1))</f>
        <v>244.82163392718377</v>
      </c>
      <c r="CZ24" s="62">
        <f t="shared" si="42"/>
        <v>342.30266518164211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3.0462478409902856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3.0462478409902856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12.6</v>
      </c>
      <c r="DO24" s="13">
        <f>IF('Données projet'!$A$166&gt;35,DO23+DN24-DW23,IF(A24&lt;'Données projet'!$A$166,$DL$205^A24,IF(A24='Données projet'!$A$166,'Données projet'!$B$166,DO23+DN24-DW23)))</f>
        <v>64.599999999999994</v>
      </c>
      <c r="DP24" s="18">
        <f>DO24*VLOOKUP('Données projet'!$B$14,Paramètres!$A$1:$I$89,3,0)*VLOOKUP('Données projet'!$B$14,Paramètres!$A$1:$I$89,5,0)</f>
        <v>51.395759999999996</v>
      </c>
      <c r="DQ24" s="14">
        <f t="shared" si="43"/>
        <v>14.973641136922506</v>
      </c>
      <c r="DR24" s="22">
        <f t="shared" si="16"/>
        <v>115.59337364680668</v>
      </c>
      <c r="DS24" s="62">
        <f t="shared" si="17"/>
        <v>397.92670698014001</v>
      </c>
      <c r="DT24" s="62">
        <f ca="1">AVERAGE(OFFSET($DS$3,0,0,'Données projet'!$E$14+1,1))-AVERAGE(OFFSET($H$3,0,0,'Données projet'!$E$14+1,1))</f>
        <v>298.89893065707554</v>
      </c>
      <c r="DU24" s="62">
        <f t="shared" si="44"/>
        <v>294.28794439094878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7.2</v>
      </c>
      <c r="EJ24" s="13">
        <f>IF('Données projet'!$A$192&gt;35,EJ23+EI24-ER23,IF(A24&lt;'Données projet'!$A$192,$EG$205^A24,IF(A24='Données projet'!$A$192,'Données projet'!$B$192,EJ23+EI24-ER23)))</f>
        <v>74.2</v>
      </c>
      <c r="EK24" s="18">
        <f>EJ24*VLOOKUP('Données projet'!$B$15,Paramètres!$A$1:$I$89,3,0)*VLOOKUP('Données projet'!$B$15,Paramètres!$A$1:$I$89,5,0)</f>
        <v>67.136160000000004</v>
      </c>
      <c r="EL24" s="14">
        <f t="shared" si="45"/>
        <v>18.960545405756019</v>
      </c>
      <c r="EM24" s="22">
        <f t="shared" si="19"/>
        <v>149.95176191502506</v>
      </c>
      <c r="EN24" s="62">
        <f t="shared" si="20"/>
        <v>432.2850952483584</v>
      </c>
      <c r="EO24" s="62">
        <f ca="1">AVERAGE(OFFSET($EN$3,0,0,'Données projet'!$E$15+1,1))-AVERAGE(OFFSET($H$3,0,0,'Données projet'!$E$15+1,1))</f>
        <v>439.06700232017681</v>
      </c>
      <c r="EP24" s="62">
        <f t="shared" si="46"/>
        <v>278.21741231699929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7.2</v>
      </c>
      <c r="FE24" s="13">
        <f>IF('Données projet'!$A$218&gt;35,FE23+FD24-FM23,IF(A24&lt;'Données projet'!$A$218,$FB$205^A24,IF(A24='Données projet'!$A$218,'Données projet'!$B$218,FE23+FD24-FM23)))</f>
        <v>74.2</v>
      </c>
      <c r="FF24" s="18">
        <f>FE24*VLOOKUP('Données projet'!$B$16,Paramètres!$A$1:$I$89,3,0)*VLOOKUP('Données projet'!$B$16,Paramètres!$A$1:$I$89,5,0)</f>
        <v>71.76624000000001</v>
      </c>
      <c r="FG24" s="14">
        <f t="shared" si="47"/>
        <v>20.111439068025625</v>
      </c>
      <c r="FH24" s="22">
        <f t="shared" si="22"/>
        <v>160.02029104347795</v>
      </c>
      <c r="FI24" s="62">
        <f t="shared" si="23"/>
        <v>442.35362437681124</v>
      </c>
      <c r="FJ24" s="62">
        <f ca="1">AVERAGE(OFFSET($FI$3,0,0,'Données projet'!$E$16+1,1))-AVERAGE(OFFSET($H$3,0,0,'Données projet'!$E$16+1,1))</f>
        <v>466.4945858005575</v>
      </c>
      <c r="FK24" s="62">
        <f t="shared" si="48"/>
        <v>294.45557293177131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3.8717457790816039</v>
      </c>
      <c r="FT24" s="24">
        <f t="shared" si="24"/>
        <v>3.8717457790816039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7.2</v>
      </c>
      <c r="FZ24" s="13">
        <f>IF('Données projet'!$A$244&gt;35,FZ23+FY24-GH23,IF(A24&lt;'Données projet'!$A$244,$FW$205^A24,IF(A24='Données projet'!$A$244,'Données projet'!$B$244,FZ23+FY24-GH23)))</f>
        <v>74.2</v>
      </c>
      <c r="GA24" s="18">
        <f>FZ24*VLOOKUP('Données projet'!$B$17,Paramètres!$A$1:$I$89,3,0)*VLOOKUP('Données projet'!$B$17,Paramètres!$A$1:$I$89,5,0)</f>
        <v>70.608720000000005</v>
      </c>
      <c r="GB24" s="14">
        <f t="shared" si="49"/>
        <v>19.824547941295929</v>
      </c>
      <c r="GC24" s="22">
        <f t="shared" si="25"/>
        <v>157.50460833109042</v>
      </c>
      <c r="GD24" s="62">
        <f t="shared" si="26"/>
        <v>439.83794166442374</v>
      </c>
      <c r="GE24" s="62">
        <f ca="1">AVERAGE(OFFSET($GD$3,0,0,'Données projet'!$E$17+1,1))-AVERAGE(OFFSET($H$3,0,0,'Données projet'!$E$17+1,1))</f>
        <v>459.64120566196812</v>
      </c>
      <c r="GF24" s="62">
        <f t="shared" si="50"/>
        <v>290.39826583283588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10.6</v>
      </c>
      <c r="N25" s="14">
        <f>IF('Données projet'!$A$36&gt;35,N24+M25-V24,IF(A25&lt;'Données projet'!$A$36,$K$205^A25,IF(A25='Données projet'!$A$36,'Données projet'!$B$36,N24+M25-V24)))</f>
        <v>119.19999999999999</v>
      </c>
      <c r="O25" s="14">
        <f>N25*VLOOKUP('Données projet'!$B$9,Paramètres!$A$1:$I$89,3,0)*VLOOKUP('Données projet'!$B$9,Paramètres!$A$1:$I$89,5,0)</f>
        <v>65.083199999999991</v>
      </c>
      <c r="P25" s="14">
        <f t="shared" si="33"/>
        <v>18.447315830328332</v>
      </c>
      <c r="Q25" s="22">
        <f t="shared" si="2"/>
        <v>145.48231507115517</v>
      </c>
      <c r="R25" s="62">
        <f t="shared" si="0"/>
        <v>429.03787062671074</v>
      </c>
      <c r="S25" s="62">
        <f ca="1">AVERAGE(OFFSET($R$3,0,0,'Données projet'!$E$9+1,1))-AVERAGE(OFFSET($H$3,0,0,'Données projet'!$E$9+1,1))</f>
        <v>170.27677128684815</v>
      </c>
      <c r="T25" s="62">
        <f t="shared" si="34"/>
        <v>243.47439640666289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8.6141558407319376</v>
      </c>
      <c r="AC25" s="24">
        <f t="shared" si="3"/>
        <v>8.6141558407319376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12.2</v>
      </c>
      <c r="AI25" s="14">
        <f>IF('Données projet'!$A$62&gt;35,AI24+AH25-AQ24,IF(A25&lt;'Données projet'!$A$62,$AF$205^A25,IF(A25='Données projet'!$A$62,'Données projet'!$B$62,AI24+AH25-AQ24)))</f>
        <v>106.39999999999999</v>
      </c>
      <c r="AJ25" s="14">
        <f>AI25*VLOOKUP('Données projet'!$B$10,Paramètres!$A$1:$I$89,3,0)*VLOOKUP('Données projet'!$B$10,Paramètres!$A$1:$I$89,5,0)</f>
        <v>92.951040000000006</v>
      </c>
      <c r="AK25" s="14">
        <f t="shared" si="35"/>
        <v>25.275602869272223</v>
      </c>
      <c r="AL25" s="22">
        <f t="shared" si="4"/>
        <v>205.9114029973158</v>
      </c>
      <c r="AM25" s="62">
        <f t="shared" si="5"/>
        <v>489.46695855287135</v>
      </c>
      <c r="AN25" s="62">
        <f ca="1">AVERAGE(OFFSET($AM$3,0,0,'Données projet'!$E$10+1,1))-AVERAGE(OFFSET($H$3,0,0,'Données projet'!$E$10+1,1))</f>
        <v>327.826081588335</v>
      </c>
      <c r="AO25" s="62">
        <f t="shared" si="36"/>
        <v>348.84706693879735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16.8</v>
      </c>
      <c r="BD25" s="13">
        <f>IF('Données projet'!$A$88&gt;35,BD24+BC25-BL24,IF(A25&lt;'Données projet'!$A$88,$BA$205^A25,IF(A25='Données projet'!$A$88,'Données projet'!$B$88,BD24+BC25-BL24)))</f>
        <v>114.60000000000001</v>
      </c>
      <c r="BE25" s="14">
        <f>BD25*VLOOKUP('Données projet'!$B$11,Paramètres!$A$1:$I$89,3,0)*VLOOKUP('Données projet'!$B$11,Paramètres!$A$1:$I$89,5,0)</f>
        <v>84.024720000000002</v>
      </c>
      <c r="BF25" s="14">
        <f t="shared" si="37"/>
        <v>23.11842031654454</v>
      </c>
      <c r="BG25" s="22">
        <f t="shared" si="7"/>
        <v>186.6076360513151</v>
      </c>
      <c r="BH25" s="62">
        <f t="shared" si="8"/>
        <v>470.16319160687067</v>
      </c>
      <c r="BI25" s="62">
        <f ca="1">AVERAGE(OFFSET($BH$3,0,0,'Données projet'!$E$11+1,1))-AVERAGE(OFFSET($H$3,0,0,'Données projet'!$E$11+1,1))</f>
        <v>376.5422416541544</v>
      </c>
      <c r="BJ25" s="62">
        <f t="shared" si="38"/>
        <v>365.76175372075869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2.8139449326861259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2.8139449326861259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27.097500000000004</v>
      </c>
      <c r="BY25" s="13">
        <f>IF('Données projet'!$A$114&gt;35,BY24+BX25-CG24,IF(A25&lt;'Données projet'!$A$114,$BV$205^A25,IF(A25='Données projet'!$A$114,'Données projet'!$B$114,BY24+BX25-CG24)))</f>
        <v>231.64249999999998</v>
      </c>
      <c r="BZ25" s="14">
        <f>BY25*VLOOKUP('Données projet'!$B$12,Paramètres!$A$1:$I$89,3,0)*VLOOKUP('Données projet'!$B$12,Paramètres!$A$1:$I$89,5,0)</f>
        <v>129.4881575</v>
      </c>
      <c r="CA25" s="14">
        <f t="shared" si="39"/>
        <v>33.878060417139011</v>
      </c>
      <c r="CB25" s="22">
        <f t="shared" si="10"/>
        <v>284.52949620568376</v>
      </c>
      <c r="CC25" s="62">
        <f t="shared" si="11"/>
        <v>568.08505176123936</v>
      </c>
      <c r="CD25" s="62">
        <f ca="1">AVERAGE(OFFSET($CC$3,0,0,'Données projet'!$E$12+1,1))-AVERAGE(OFFSET($H$3,0,0,'Données projet'!$E$12+1,1))</f>
        <v>405.09126081846171</v>
      </c>
      <c r="CE25" s="62">
        <f t="shared" si="40"/>
        <v>534.22295841722166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2.819143154139284</v>
      </c>
      <c r="CL25" s="23">
        <f>EXP(-LN(2)/25)*CL24+(1-EXP(-LN(2)/25))/(LN(2)/25)*Calculateur!CG25*Calculateur!CI25*VLOOKUP('Données projet'!$B$12,Paramètres!$A$1:$I$89,3,0)*0.475*44/12</f>
        <v>10.88184139175843</v>
      </c>
      <c r="CM25" s="23">
        <f>EXP(-LN(2)/2)*CM24+(1-EXP(-LN(2)/2))/(LN(2)/2)*CG25*CJ25*VLOOKUP('Données projet'!$B$12,Paramètres!$A$1:$I$89,3,0)*0.475*44/12</f>
        <v>5.9193642325024971</v>
      </c>
      <c r="CN25" s="24">
        <f t="shared" si="12"/>
        <v>19.620348778400214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6.4</v>
      </c>
      <c r="CT25" s="13">
        <f>IF('Données projet'!$A$140&gt;35,CT24+CS25-DB24,IF(A25&lt;'Données projet'!$A$140,$CQ$205^A25,IF(A25='Données projet'!$A$140,'Données projet'!$B$140,CT24+CS25-DB24)))</f>
        <v>116.79999999999998</v>
      </c>
      <c r="CU25" s="18">
        <f>CT25*VLOOKUP('Données projet'!$B$13,Paramètres!$A$1:$I$89,3,0)*VLOOKUP('Données projet'!$B$13,Paramètres!$A$1:$I$89,5,0)</f>
        <v>105.68063999999998</v>
      </c>
      <c r="CV25" s="14">
        <f t="shared" si="41"/>
        <v>28.31094923104175</v>
      </c>
      <c r="CW25" s="22">
        <f t="shared" si="13"/>
        <v>233.36868457739766</v>
      </c>
      <c r="CX25" s="62">
        <f t="shared" si="14"/>
        <v>516.92424013295317</v>
      </c>
      <c r="CY25" s="62">
        <f ca="1">AVERAGE(OFFSET($CX$3,0,0,'Données projet'!$E$13+1,1))-AVERAGE(OFFSET($H$3,0,0,'Données projet'!$E$13+1,1))</f>
        <v>244.82163392718377</v>
      </c>
      <c r="CZ25" s="62">
        <f t="shared" si="42"/>
        <v>342.30266518164211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2.9865127788561843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2.9865127788561843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12.6</v>
      </c>
      <c r="DO25" s="13">
        <f>IF('Données projet'!$A$166&gt;35,DO24+DN25-DW24,IF(A25&lt;'Données projet'!$A$166,$DL$205^A25,IF(A25='Données projet'!$A$166,'Données projet'!$B$166,DO24+DN25-DW24)))</f>
        <v>77.199999999999989</v>
      </c>
      <c r="DP25" s="18">
        <f>DO25*VLOOKUP('Données projet'!$B$14,Paramètres!$A$1:$I$89,3,0)*VLOOKUP('Données projet'!$B$14,Paramètres!$A$1:$I$89,5,0)</f>
        <v>61.42031999999999</v>
      </c>
      <c r="DQ25" s="14">
        <f t="shared" si="43"/>
        <v>17.526880037631354</v>
      </c>
      <c r="DR25" s="22">
        <f t="shared" si="16"/>
        <v>137.4997067322079</v>
      </c>
      <c r="DS25" s="62">
        <f t="shared" si="17"/>
        <v>421.05526228776341</v>
      </c>
      <c r="DT25" s="62">
        <f ca="1">AVERAGE(OFFSET($DS$3,0,0,'Données projet'!$E$14+1,1))-AVERAGE(OFFSET($H$3,0,0,'Données projet'!$E$14+1,1))</f>
        <v>298.89893065707554</v>
      </c>
      <c r="DU25" s="62">
        <f t="shared" si="44"/>
        <v>294.28794439094878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7.2</v>
      </c>
      <c r="EJ25" s="13">
        <f>IF('Données projet'!$A$192&gt;35,EJ24+EI25-ER24,IF(A25&lt;'Données projet'!$A$192,$EG$205^A25,IF(A25='Données projet'!$A$192,'Données projet'!$B$192,EJ24+EI25-ER24)))</f>
        <v>81.400000000000006</v>
      </c>
      <c r="EK25" s="18">
        <f>EJ25*VLOOKUP('Données projet'!$B$15,Paramètres!$A$1:$I$89,3,0)*VLOOKUP('Données projet'!$B$15,Paramètres!$A$1:$I$89,5,0)</f>
        <v>73.650720000000007</v>
      </c>
      <c r="EL25" s="14">
        <f t="shared" si="45"/>
        <v>20.577360172493922</v>
      </c>
      <c r="EM25" s="22">
        <f t="shared" si="19"/>
        <v>164.11390630042692</v>
      </c>
      <c r="EN25" s="62">
        <f t="shared" si="20"/>
        <v>447.66946185598249</v>
      </c>
      <c r="EO25" s="62">
        <f ca="1">AVERAGE(OFFSET($EN$3,0,0,'Données projet'!$E$15+1,1))-AVERAGE(OFFSET($H$3,0,0,'Données projet'!$E$15+1,1))</f>
        <v>439.06700232017681</v>
      </c>
      <c r="EP25" s="62">
        <f t="shared" si="46"/>
        <v>278.21741231699929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7.2</v>
      </c>
      <c r="FE25" s="13">
        <f>IF('Données projet'!$A$218&gt;35,FE24+FD25-FM24,IF(A25&lt;'Données projet'!$A$218,$FB$205^A25,IF(A25='Données projet'!$A$218,'Données projet'!$B$218,FE24+FD25-FM24)))</f>
        <v>81.400000000000006</v>
      </c>
      <c r="FF25" s="18">
        <f>FE25*VLOOKUP('Données projet'!$B$16,Paramètres!$A$1:$I$89,3,0)*VLOOKUP('Données projet'!$B$16,Paramètres!$A$1:$I$89,5,0)</f>
        <v>78.730080000000015</v>
      </c>
      <c r="FG25" s="14">
        <f t="shared" si="47"/>
        <v>21.826393515256996</v>
      </c>
      <c r="FH25" s="22">
        <f t="shared" si="22"/>
        <v>175.13585803907259</v>
      </c>
      <c r="FI25" s="62">
        <f t="shared" si="23"/>
        <v>458.6914135946281</v>
      </c>
      <c r="FJ25" s="62">
        <f ca="1">AVERAGE(OFFSET($FI$3,0,0,'Données projet'!$E$16+1,1))-AVERAGE(OFFSET($H$3,0,0,'Données projet'!$E$16+1,1))</f>
        <v>466.4945858005575</v>
      </c>
      <c r="FK25" s="62">
        <f t="shared" si="48"/>
        <v>294.45557293177131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2.7377376954189949</v>
      </c>
      <c r="FT25" s="24">
        <f t="shared" si="24"/>
        <v>2.7377376954189949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7.2</v>
      </c>
      <c r="FZ25" s="13">
        <f>IF('Données projet'!$A$244&gt;35,FZ24+FY25-GH24,IF(A25&lt;'Données projet'!$A$244,$FW$205^A25,IF(A25='Données projet'!$A$244,'Données projet'!$B$244,FZ24+FY25-GH24)))</f>
        <v>81.400000000000006</v>
      </c>
      <c r="GA25" s="18">
        <f>FZ25*VLOOKUP('Données projet'!$B$17,Paramètres!$A$1:$I$89,3,0)*VLOOKUP('Données projet'!$B$17,Paramètres!$A$1:$I$89,5,0)</f>
        <v>77.460240000000013</v>
      </c>
      <c r="GB25" s="14">
        <f t="shared" si="49"/>
        <v>21.515038439826668</v>
      </c>
      <c r="GC25" s="22">
        <f t="shared" si="25"/>
        <v>172.3819432826981</v>
      </c>
      <c r="GD25" s="62">
        <f t="shared" si="26"/>
        <v>455.93749883825365</v>
      </c>
      <c r="GE25" s="62">
        <f ca="1">AVERAGE(OFFSET($GD$3,0,0,'Données projet'!$E$17+1,1))-AVERAGE(OFFSET($H$3,0,0,'Données projet'!$E$17+1,1))</f>
        <v>459.64120566196812</v>
      </c>
      <c r="GF25" s="62">
        <f t="shared" si="50"/>
        <v>290.39826583283588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10.6</v>
      </c>
      <c r="N26" s="14">
        <f>IF('Données projet'!$A$36&gt;35,N25+M26-V25,IF(A26&lt;'Données projet'!$A$36,$K$205^A26,IF(A26='Données projet'!$A$36,'Données projet'!$B$36,N25+M26-V25)))</f>
        <v>129.79999999999998</v>
      </c>
      <c r="O26" s="14">
        <f>N26*VLOOKUP('Données projet'!$B$9,Paramètres!$A$1:$I$89,3,0)*VLOOKUP('Données projet'!$B$9,Paramètres!$A$1:$I$89,5,0)</f>
        <v>70.870799999999988</v>
      </c>
      <c r="P26" s="14">
        <f t="shared" si="33"/>
        <v>19.889552055326323</v>
      </c>
      <c r="Q26" s="22">
        <f t="shared" si="2"/>
        <v>158.07427982969332</v>
      </c>
      <c r="R26" s="62">
        <f t="shared" si="0"/>
        <v>442.85205760747112</v>
      </c>
      <c r="S26" s="62">
        <f ca="1">AVERAGE(OFFSET($R$3,0,0,'Données projet'!$E$9+1,1))-AVERAGE(OFFSET($H$3,0,0,'Données projet'!$E$9+1,1))</f>
        <v>170.27677128684815</v>
      </c>
      <c r="T26" s="62">
        <f t="shared" si="34"/>
        <v>243.47439640666289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6.0911280091792586</v>
      </c>
      <c r="AC26" s="24">
        <f t="shared" si="3"/>
        <v>6.0911280091792586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12.2</v>
      </c>
      <c r="AI26" s="14">
        <f>IF('Données projet'!$A$62&gt;35,AI25+AH26-AQ25,IF(A26&lt;'Données projet'!$A$62,$AF$205^A26,IF(A26='Données projet'!$A$62,'Données projet'!$B$62,AI25+AH26-AQ25)))</f>
        <v>118.6</v>
      </c>
      <c r="AJ26" s="14">
        <f>AI26*VLOOKUP('Données projet'!$B$10,Paramètres!$A$1:$I$89,3,0)*VLOOKUP('Données projet'!$B$10,Paramètres!$A$1:$I$89,5,0)</f>
        <v>103.60896</v>
      </c>
      <c r="AK26" s="14">
        <f t="shared" si="35"/>
        <v>27.820000397643376</v>
      </c>
      <c r="AL26" s="22">
        <f t="shared" si="4"/>
        <v>228.90543935922889</v>
      </c>
      <c r="AM26" s="62">
        <f t="shared" si="5"/>
        <v>513.68321713700664</v>
      </c>
      <c r="AN26" s="62">
        <f ca="1">AVERAGE(OFFSET($AM$3,0,0,'Données projet'!$E$10+1,1))-AVERAGE(OFFSET($H$3,0,0,'Données projet'!$E$10+1,1))</f>
        <v>327.826081588335</v>
      </c>
      <c r="AO26" s="62">
        <f t="shared" si="36"/>
        <v>348.84706693879735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16.8</v>
      </c>
      <c r="BD26" s="13">
        <f>IF('Données projet'!$A$88&gt;35,BD25+BC26-BL25,IF(A26&lt;'Données projet'!$A$88,$BA$205^A26,IF(A26='Données projet'!$A$88,'Données projet'!$B$88,BD25+BC26-BL25)))</f>
        <v>131.4</v>
      </c>
      <c r="BE26" s="14">
        <f>BD26*VLOOKUP('Données projet'!$B$11,Paramètres!$A$1:$I$89,3,0)*VLOOKUP('Données projet'!$B$11,Paramètres!$A$1:$I$89,5,0)</f>
        <v>96.342480000000009</v>
      </c>
      <c r="BF26" s="14">
        <f t="shared" si="37"/>
        <v>26.088763268244669</v>
      </c>
      <c r="BG26" s="22">
        <f t="shared" si="7"/>
        <v>213.23441535885948</v>
      </c>
      <c r="BH26" s="62">
        <f t="shared" si="8"/>
        <v>498.01219313663728</v>
      </c>
      <c r="BI26" s="62">
        <f ca="1">AVERAGE(OFFSET($BH$3,0,0,'Données projet'!$E$11+1,1))-AVERAGE(OFFSET($H$3,0,0,'Données projet'!$E$11+1,1))</f>
        <v>376.5422416541544</v>
      </c>
      <c r="BJ26" s="62">
        <f t="shared" si="38"/>
        <v>365.76175372075869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2.7587651888930855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2.7587651888930855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>
        <f>VLOOKUP(A26,'Données projet'!$A$113:$I$133,2,0)</f>
        <v>258.74</v>
      </c>
      <c r="BW26" s="13">
        <f>VLOOKUP(A26,'Données projet'!$A$113:$I$133,9,0)</f>
        <v>27.097500000000004</v>
      </c>
      <c r="BX26" s="13">
        <f t="array" ref="BX26">INDEX(BW:BW,MIN(IF(ISNUMBER(BW26:BW222),ROW(BW26:BW222),"")))</f>
        <v>27.097500000000004</v>
      </c>
      <c r="BY26" s="13">
        <f>IF('Données projet'!$A$114&gt;35,BY25+BX26-CG25,IF(A26&lt;'Données projet'!$A$114,$BV$205^A26,IF(A26='Données projet'!$A$114,'Données projet'!$B$114,BY25+BX26-CG25)))</f>
        <v>258.74</v>
      </c>
      <c r="BZ26" s="14">
        <f>BY26*VLOOKUP('Données projet'!$B$12,Paramètres!$A$1:$I$89,3,0)*VLOOKUP('Données projet'!$B$12,Paramètres!$A$1:$I$89,5,0)</f>
        <v>144.63566</v>
      </c>
      <c r="CA26" s="14">
        <f t="shared" si="39"/>
        <v>37.356948366647352</v>
      </c>
      <c r="CB26" s="22">
        <f t="shared" si="10"/>
        <v>316.97045957191079</v>
      </c>
      <c r="CC26" s="62">
        <f t="shared" si="11"/>
        <v>601.74823734968857</v>
      </c>
      <c r="CD26" s="62">
        <f ca="1">AVERAGE(OFFSET($CC$3,0,0,'Données projet'!$E$12+1,1))-AVERAGE(OFFSET($H$3,0,0,'Données projet'!$E$12+1,1))</f>
        <v>405.09126081846171</v>
      </c>
      <c r="CE26" s="62">
        <f t="shared" si="40"/>
        <v>534.22295841722166</v>
      </c>
      <c r="CF26" s="16">
        <f>IF(ISNA(VLOOKUP(A26,'Données projet'!$A$113:$I$133,3,0)),0,VLOOKUP(A26,'Données projet'!$A$113:$I$133,3,0))</f>
        <v>4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2.7638614763941494</v>
      </c>
      <c r="CL26" s="23">
        <f>EXP(-LN(2)/25)*CL25+(1-EXP(-LN(2)/25))/(LN(2)/25)*Calculateur!CG26*Calculateur!CI26*VLOOKUP('Données projet'!$B$12,Paramètres!$A$1:$I$89,3,0)*0.475*44/12</f>
        <v>10.584276866649628</v>
      </c>
      <c r="CM26" s="23">
        <f>EXP(-LN(2)/2)*CM25+(1-EXP(-LN(2)/2))/(LN(2)/2)*CG26*CJ26*VLOOKUP('Données projet'!$B$12,Paramètres!$A$1:$I$89,3,0)*0.475*44/12</f>
        <v>4.1856225891156189</v>
      </c>
      <c r="CN26" s="24">
        <f t="shared" si="12"/>
        <v>17.533760932159396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6.4</v>
      </c>
      <c r="CT26" s="13">
        <f>IF('Données projet'!$A$140&gt;35,CT25+CS26-DB25,IF(A26&lt;'Données projet'!$A$140,$CQ$205^A26,IF(A26='Données projet'!$A$140,'Données projet'!$B$140,CT25+CS26-DB25)))</f>
        <v>123.19999999999999</v>
      </c>
      <c r="CU26" s="18">
        <f>CT26*VLOOKUP('Données projet'!$B$13,Paramètres!$A$1:$I$89,3,0)*VLOOKUP('Données projet'!$B$13,Paramètres!$A$1:$I$89,5,0)</f>
        <v>111.47135999999999</v>
      </c>
      <c r="CV26" s="14">
        <f t="shared" si="41"/>
        <v>29.677379926628468</v>
      </c>
      <c r="CW26" s="22">
        <f t="shared" si="13"/>
        <v>245.8340553722112</v>
      </c>
      <c r="CX26" s="62">
        <f t="shared" si="14"/>
        <v>530.61183314998902</v>
      </c>
      <c r="CY26" s="62">
        <f ca="1">AVERAGE(OFFSET($CX$3,0,0,'Données projet'!$E$13+1,1))-AVERAGE(OFFSET($H$3,0,0,'Données projet'!$E$13+1,1))</f>
        <v>244.82163392718377</v>
      </c>
      <c r="CZ26" s="62">
        <f t="shared" si="42"/>
        <v>342.30266518164211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2.9279490848557423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2.9279490848557423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12.6</v>
      </c>
      <c r="DO26" s="13">
        <f>IF('Données projet'!$A$166&gt;35,DO25+DN26-DW25,IF(A26&lt;'Données projet'!$A$166,$DL$205^A26,IF(A26='Données projet'!$A$166,'Données projet'!$B$166,DO25+DN26-DW25)))</f>
        <v>89.799999999999983</v>
      </c>
      <c r="DP26" s="18">
        <f>DO26*VLOOKUP('Données projet'!$B$14,Paramètres!$A$1:$I$89,3,0)*VLOOKUP('Données projet'!$B$14,Paramètres!$A$1:$I$89,5,0)</f>
        <v>71.444879999999998</v>
      </c>
      <c r="DQ26" s="14">
        <f t="shared" si="43"/>
        <v>20.03184442542841</v>
      </c>
      <c r="DR26" s="22">
        <f t="shared" si="16"/>
        <v>159.32196170762117</v>
      </c>
      <c r="DS26" s="62">
        <f t="shared" si="17"/>
        <v>444.09973948539891</v>
      </c>
      <c r="DT26" s="62">
        <f ca="1">AVERAGE(OFFSET($DS$3,0,0,'Données projet'!$E$14+1,1))-AVERAGE(OFFSET($H$3,0,0,'Données projet'!$E$14+1,1))</f>
        <v>298.89893065707554</v>
      </c>
      <c r="DU26" s="62">
        <f t="shared" si="44"/>
        <v>294.28794439094878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7.2</v>
      </c>
      <c r="EJ26" s="13">
        <f>IF('Données projet'!$A$192&gt;35,EJ25+EI26-ER25,IF(A26&lt;'Données projet'!$A$192,$EG$205^A26,IF(A26='Données projet'!$A$192,'Données projet'!$B$192,EJ25+EI26-ER25)))</f>
        <v>88.600000000000009</v>
      </c>
      <c r="EK26" s="18">
        <f>EJ26*VLOOKUP('Données projet'!$B$15,Paramètres!$A$1:$I$89,3,0)*VLOOKUP('Données projet'!$B$15,Paramètres!$A$1:$I$89,5,0)</f>
        <v>80.165279999999996</v>
      </c>
      <c r="EL26" s="14">
        <f t="shared" si="45"/>
        <v>22.177591092468788</v>
      </c>
      <c r="EM26" s="22">
        <f t="shared" si="19"/>
        <v>178.24716715271646</v>
      </c>
      <c r="EN26" s="62">
        <f t="shared" si="20"/>
        <v>463.02494493049426</v>
      </c>
      <c r="EO26" s="62">
        <f ca="1">AVERAGE(OFFSET($EN$3,0,0,'Données projet'!$E$15+1,1))-AVERAGE(OFFSET($H$3,0,0,'Données projet'!$E$15+1,1))</f>
        <v>439.06700232017681</v>
      </c>
      <c r="EP26" s="62">
        <f t="shared" si="46"/>
        <v>278.21741231699929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7.2</v>
      </c>
      <c r="FE26" s="13">
        <f>IF('Données projet'!$A$218&gt;35,FE25+FD26-FM25,IF(A26&lt;'Données projet'!$A$218,$FB$205^A26,IF(A26='Données projet'!$A$218,'Données projet'!$B$218,FE25+FD26-FM25)))</f>
        <v>88.600000000000009</v>
      </c>
      <c r="FF26" s="18">
        <f>FE26*VLOOKUP('Données projet'!$B$16,Paramètres!$A$1:$I$89,3,0)*VLOOKUP('Données projet'!$B$16,Paramètres!$A$1:$I$89,5,0)</f>
        <v>85.693920000000006</v>
      </c>
      <c r="FG26" s="14">
        <f t="shared" si="47"/>
        <v>23.523757486236178</v>
      </c>
      <c r="FH26" s="22">
        <f t="shared" si="22"/>
        <v>190.22078828852798</v>
      </c>
      <c r="FI26" s="62">
        <f t="shared" si="23"/>
        <v>474.99856606630578</v>
      </c>
      <c r="FJ26" s="62">
        <f ca="1">AVERAGE(OFFSET($FI$3,0,0,'Données projet'!$E$16+1,1))-AVERAGE(OFFSET($H$3,0,0,'Données projet'!$E$16+1,1))</f>
        <v>466.4945858005575</v>
      </c>
      <c r="FK26" s="62">
        <f t="shared" si="48"/>
        <v>294.45557293177131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1.9358728895408022</v>
      </c>
      <c r="FT26" s="24">
        <f t="shared" si="24"/>
        <v>1.9358728895408022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7.2</v>
      </c>
      <c r="FZ26" s="13">
        <f>IF('Données projet'!$A$244&gt;35,FZ25+FY26-GH25,IF(A26&lt;'Données projet'!$A$244,$FW$205^A26,IF(A26='Données projet'!$A$244,'Données projet'!$B$244,FZ25+FY26-GH25)))</f>
        <v>88.600000000000009</v>
      </c>
      <c r="GA26" s="18">
        <f>FZ26*VLOOKUP('Données projet'!$B$17,Paramètres!$A$1:$I$89,3,0)*VLOOKUP('Données projet'!$B$17,Paramètres!$A$1:$I$89,5,0)</f>
        <v>84.311760000000007</v>
      </c>
      <c r="GB26" s="14">
        <f t="shared" si="49"/>
        <v>23.188189391515806</v>
      </c>
      <c r="GC26" s="22">
        <f t="shared" si="25"/>
        <v>187.22907852355672</v>
      </c>
      <c r="GD26" s="62">
        <f t="shared" si="26"/>
        <v>472.00685630133449</v>
      </c>
      <c r="GE26" s="62">
        <f ca="1">AVERAGE(OFFSET($GD$3,0,0,'Données projet'!$E$17+1,1))-AVERAGE(OFFSET($H$3,0,0,'Données projet'!$E$17+1,1))</f>
        <v>459.64120566196812</v>
      </c>
      <c r="GF26" s="62">
        <f t="shared" si="50"/>
        <v>290.39826583283588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10.6</v>
      </c>
      <c r="N27" s="14">
        <f>IF('Données projet'!$A$36&gt;35,N26+M27-V26,IF(A27&lt;'Données projet'!$A$36,$K$205^A27,IF(A27='Données projet'!$A$36,'Données projet'!$B$36,N26+M27-V26)))</f>
        <v>140.39999999999998</v>
      </c>
      <c r="O27" s="14">
        <f>N27*VLOOKUP('Données projet'!$B$9,Paramètres!$A$1:$I$89,3,0)*VLOOKUP('Données projet'!$B$9,Paramètres!$A$1:$I$89,5,0)</f>
        <v>76.658399999999986</v>
      </c>
      <c r="P27" s="14">
        <f t="shared" si="33"/>
        <v>21.318127749842347</v>
      </c>
      <c r="Q27" s="22">
        <f t="shared" si="2"/>
        <v>170.64245249764204</v>
      </c>
      <c r="R27" s="62">
        <f t="shared" si="0"/>
        <v>456.64245249764201</v>
      </c>
      <c r="S27" s="62">
        <f ca="1">AVERAGE(OFFSET($R$3,0,0,'Données projet'!$E$9+1,1))-AVERAGE(OFFSET($H$3,0,0,'Données projet'!$E$9+1,1))</f>
        <v>170.27677128684815</v>
      </c>
      <c r="T27" s="62">
        <f t="shared" si="34"/>
        <v>243.47439640666289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4.3070779203659688</v>
      </c>
      <c r="AC27" s="24">
        <f t="shared" si="3"/>
        <v>4.3070779203659688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12.2</v>
      </c>
      <c r="AI27" s="14">
        <f>IF('Données projet'!$A$62&gt;35,AI26+AH27-AQ26,IF(A27&lt;'Données projet'!$A$62,$AF$205^A27,IF(A27='Données projet'!$A$62,'Données projet'!$B$62,AI26+AH27-AQ26)))</f>
        <v>130.79999999999998</v>
      </c>
      <c r="AJ27" s="14">
        <f>AI27*VLOOKUP('Données projet'!$B$10,Paramètres!$A$1:$I$89,3,0)*VLOOKUP('Données projet'!$B$10,Paramètres!$A$1:$I$89,5,0)</f>
        <v>114.26687999999999</v>
      </c>
      <c r="AK27" s="14">
        <f t="shared" si="35"/>
        <v>30.334057329879929</v>
      </c>
      <c r="AL27" s="22">
        <f t="shared" si="4"/>
        <v>251.84663251620748</v>
      </c>
      <c r="AM27" s="62">
        <f t="shared" si="5"/>
        <v>537.84663251620748</v>
      </c>
      <c r="AN27" s="62">
        <f ca="1">AVERAGE(OFFSET($AM$3,0,0,'Données projet'!$E$10+1,1))-AVERAGE(OFFSET($H$3,0,0,'Données projet'!$E$10+1,1))</f>
        <v>327.826081588335</v>
      </c>
      <c r="AO27" s="62">
        <f t="shared" si="36"/>
        <v>348.84706693879735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16.8</v>
      </c>
      <c r="BD27" s="13">
        <f>IF('Données projet'!$A$88&gt;35,BD26+BC27-BL26,IF(A27&lt;'Données projet'!$A$88,$BA$205^A27,IF(A27='Données projet'!$A$88,'Données projet'!$B$88,BD26+BC27-BL26)))</f>
        <v>148.20000000000002</v>
      </c>
      <c r="BE27" s="14">
        <f>BD27*VLOOKUP('Données projet'!$B$11,Paramètres!$A$1:$I$89,3,0)*VLOOKUP('Données projet'!$B$11,Paramètres!$A$1:$I$89,5,0)</f>
        <v>108.66024000000002</v>
      </c>
      <c r="BF27" s="14">
        <f t="shared" si="37"/>
        <v>29.015101890437414</v>
      </c>
      <c r="BG27" s="22">
        <f t="shared" si="7"/>
        <v>239.78455379251184</v>
      </c>
      <c r="BH27" s="62">
        <f t="shared" si="8"/>
        <v>525.78455379251182</v>
      </c>
      <c r="BI27" s="62">
        <f ca="1">AVERAGE(OFFSET($BH$3,0,0,'Données projet'!$E$11+1,1))-AVERAGE(OFFSET($H$3,0,0,'Données projet'!$E$11+1,1))</f>
        <v>376.5422416541544</v>
      </c>
      <c r="BJ27" s="62">
        <f t="shared" si="38"/>
        <v>365.76175372075869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2.7046674862195066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2.7046674862195066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>
        <f>VLOOKUP(A27,'Données projet'!$A$113:$I$133,2,0)</f>
        <v>289.08999999999997</v>
      </c>
      <c r="BW27" s="13">
        <f>VLOOKUP(A27,'Données projet'!$A$113:$I$133,9,0)</f>
        <v>30.349999999999966</v>
      </c>
      <c r="BX27" s="13">
        <f t="array" ref="BX27">INDEX(BW:BW,MIN(IF(ISNUMBER(BW27:BW223),ROW(BW27:BW223),"")))</f>
        <v>30.349999999999966</v>
      </c>
      <c r="BY27" s="13">
        <f>IF('Données projet'!$A$114&gt;35,BY26+BX27-CG26,IF(A27&lt;'Données projet'!$A$114,$BV$205^A27,IF(A27='Données projet'!$A$114,'Données projet'!$B$114,BY26+BX27-CG26)))</f>
        <v>289.08999999999997</v>
      </c>
      <c r="BZ27" s="14">
        <f>BY27*VLOOKUP('Données projet'!$B$12,Paramètres!$A$1:$I$89,3,0)*VLOOKUP('Données projet'!$B$12,Paramètres!$A$1:$I$89,5,0)</f>
        <v>161.60130999999998</v>
      </c>
      <c r="CA27" s="14">
        <f t="shared" si="39"/>
        <v>41.203485747561459</v>
      </c>
      <c r="CB27" s="22">
        <f t="shared" si="10"/>
        <v>353.21835259366952</v>
      </c>
      <c r="CC27" s="62">
        <f t="shared" si="11"/>
        <v>639.21835259366958</v>
      </c>
      <c r="CD27" s="62">
        <f ca="1">AVERAGE(OFFSET($CC$3,0,0,'Données projet'!$E$12+1,1))-AVERAGE(OFFSET($H$3,0,0,'Données projet'!$E$12+1,1))</f>
        <v>405.09126081846171</v>
      </c>
      <c r="CE27" s="62">
        <f t="shared" si="40"/>
        <v>534.22295841722166</v>
      </c>
      <c r="CF27" s="16">
        <f>IF(ISNA(VLOOKUP(A27,'Données projet'!$A$113:$I$133,3,0)),0,VLOOKUP(A27,'Données projet'!$A$113:$I$133,3,0))</f>
        <v>5</v>
      </c>
      <c r="CG27" s="16">
        <f>IF(ISNA(VLOOKUP(A27,'Données projet'!$A$113:$I$133,4,0)),0,VLOOKUP(A27,'Données projet'!$A$113:$I$133,4,0))</f>
        <v>51.39</v>
      </c>
      <c r="CH27" s="17">
        <f>IF(ISNA(VLOOKUP(A27,'Données projet'!$A$113:$I$133,5,0)),0%,VLOOKUP(A27,'Données projet'!$A$113:$I$133,5,0)*VLOOKUP('Données projet'!$B$12,Paramètres!$A$1:$I$89,7,0))</f>
        <v>0.22000000000000003</v>
      </c>
      <c r="CI27" s="17">
        <f>IF(ISNA(VLOOKUP(A27,'Données projet'!$A$113:$I$133,6,0)),0%,VLOOKUP(A27,'Données projet'!$A$113:$I$133,6,0)*VLOOKUP('Données projet'!$B$12,Paramètres!$A$1:$I$89,7,0))</f>
        <v>0.16500000000000001</v>
      </c>
      <c r="CJ27" s="17">
        <f>IF(ISNA(VLOOKUP(A27,'Données projet'!$A$113:$I$133,7,0)),0%,VLOOKUP(A27,'Données projet'!$A$113:$I$133,7,0))</f>
        <v>0.3</v>
      </c>
      <c r="CK27" s="23">
        <f>EXP(-LN(2)/35)*CK26+(1-EXP(-LN(2)/35))/(LN(2)/35)*CG27*CH27*VLOOKUP('Données projet'!$B$12,Paramètres!$A$1:$I$89,3,0)*0.475*44/12</f>
        <v>11.093474521583474</v>
      </c>
      <c r="CL27" s="23">
        <f>EXP(-LN(2)/25)*CL26+(1-EXP(-LN(2)/25))/(LN(2)/25)*Calculateur!CG27*Calculateur!CI27*VLOOKUP('Données projet'!$B$12,Paramètres!$A$1:$I$89,3,0)*0.475*44/12</f>
        <v>16.557949578486618</v>
      </c>
      <c r="CM27" s="23">
        <f>EXP(-LN(2)/2)*CM26+(1-EXP(-LN(2)/2))/(LN(2)/2)*CG27*CJ27*VLOOKUP('Données projet'!$B$12,Paramètres!$A$1:$I$89,3,0)*0.475*44/12</f>
        <v>12.717376676260976</v>
      </c>
      <c r="CN27" s="24">
        <f t="shared" si="12"/>
        <v>40.368800776331071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6.4</v>
      </c>
      <c r="CT27" s="13">
        <f>IF('Données projet'!$A$140&gt;35,CT26+CS27-DB26,IF(A27&lt;'Données projet'!$A$140,$CQ$205^A27,IF(A27='Données projet'!$A$140,'Données projet'!$B$140,CT26+CS27-DB26)))</f>
        <v>129.6</v>
      </c>
      <c r="CU27" s="18">
        <f>CT27*VLOOKUP('Données projet'!$B$13,Paramètres!$A$1:$I$89,3,0)*VLOOKUP('Données projet'!$B$13,Paramètres!$A$1:$I$89,5,0)</f>
        <v>117.26208</v>
      </c>
      <c r="CV27" s="14">
        <f t="shared" si="41"/>
        <v>31.035569170075775</v>
      </c>
      <c r="CW27" s="22">
        <f t="shared" si="13"/>
        <v>258.28507230454863</v>
      </c>
      <c r="CX27" s="62">
        <f t="shared" si="14"/>
        <v>544.28507230454863</v>
      </c>
      <c r="CY27" s="62">
        <f ca="1">AVERAGE(OFFSET($CX$3,0,0,'Données projet'!$E$13+1,1))-AVERAGE(OFFSET($H$3,0,0,'Données projet'!$E$13+1,1))</f>
        <v>244.82163392718377</v>
      </c>
      <c r="CZ27" s="62">
        <f t="shared" si="42"/>
        <v>342.30266518164211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2.8705337891743228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2.8705337891743228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12.6</v>
      </c>
      <c r="DO27" s="13">
        <f>IF('Données projet'!$A$166&gt;35,DO26+DN27-DW26,IF(A27&lt;'Données projet'!$A$166,$DL$205^A27,IF(A27='Données projet'!$A$166,'Données projet'!$B$166,DO26+DN27-DW26)))</f>
        <v>102.39999999999998</v>
      </c>
      <c r="DP27" s="18">
        <f>DO27*VLOOKUP('Données projet'!$B$14,Paramètres!$A$1:$I$89,3,0)*VLOOKUP('Données projet'!$B$14,Paramètres!$A$1:$I$89,5,0)</f>
        <v>81.469439999999992</v>
      </c>
      <c r="DQ27" s="14">
        <f t="shared" si="43"/>
        <v>22.496088365195678</v>
      </c>
      <c r="DR27" s="22">
        <f t="shared" si="16"/>
        <v>181.07329523604912</v>
      </c>
      <c r="DS27" s="62">
        <f t="shared" si="17"/>
        <v>467.07329523604915</v>
      </c>
      <c r="DT27" s="62">
        <f ca="1">AVERAGE(OFFSET($DS$3,0,0,'Données projet'!$E$14+1,1))-AVERAGE(OFFSET($H$3,0,0,'Données projet'!$E$14+1,1))</f>
        <v>298.89893065707554</v>
      </c>
      <c r="DU27" s="62">
        <f t="shared" si="44"/>
        <v>294.28794439094878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7.2</v>
      </c>
      <c r="EJ27" s="13">
        <f>IF('Données projet'!$A$192&gt;35,EJ26+EI27-ER26,IF(A27&lt;'Données projet'!$A$192,$EG$205^A27,IF(A27='Données projet'!$A$192,'Données projet'!$B$192,EJ26+EI27-ER26)))</f>
        <v>95.800000000000011</v>
      </c>
      <c r="EK27" s="18">
        <f>EJ27*VLOOKUP('Données projet'!$B$15,Paramètres!$A$1:$I$89,3,0)*VLOOKUP('Données projet'!$B$15,Paramètres!$A$1:$I$89,5,0)</f>
        <v>86.679839999999999</v>
      </c>
      <c r="EL27" s="14">
        <f t="shared" si="45"/>
        <v>23.762739053789723</v>
      </c>
      <c r="EM27" s="22">
        <f t="shared" si="19"/>
        <v>192.35415851868379</v>
      </c>
      <c r="EN27" s="62">
        <f t="shared" si="20"/>
        <v>478.35415851868379</v>
      </c>
      <c r="EO27" s="62">
        <f ca="1">AVERAGE(OFFSET($EN$3,0,0,'Données projet'!$E$15+1,1))-AVERAGE(OFFSET($H$3,0,0,'Données projet'!$E$15+1,1))</f>
        <v>439.06700232017681</v>
      </c>
      <c r="EP27" s="62">
        <f t="shared" si="46"/>
        <v>278.21741231699929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7.2</v>
      </c>
      <c r="FE27" s="13">
        <f>IF('Données projet'!$A$218&gt;35,FE26+FD27-FM26,IF(A27&lt;'Données projet'!$A$218,$FB$205^A27,IF(A27='Données projet'!$A$218,'Données projet'!$B$218,FE26+FD27-FM26)))</f>
        <v>95.800000000000011</v>
      </c>
      <c r="FF27" s="18">
        <f>FE27*VLOOKUP('Données projet'!$B$16,Paramètres!$A$1:$I$89,3,0)*VLOOKUP('Données projet'!$B$16,Paramètres!$A$1:$I$89,5,0)</f>
        <v>92.65776000000001</v>
      </c>
      <c r="FG27" s="14">
        <f t="shared" si="47"/>
        <v>25.205122972074609</v>
      </c>
      <c r="FH27" s="22">
        <f t="shared" si="22"/>
        <v>205.2778545096966</v>
      </c>
      <c r="FI27" s="62">
        <f t="shared" si="23"/>
        <v>491.27785450969657</v>
      </c>
      <c r="FJ27" s="62">
        <f ca="1">AVERAGE(OFFSET($FI$3,0,0,'Données projet'!$E$16+1,1))-AVERAGE(OFFSET($H$3,0,0,'Données projet'!$E$16+1,1))</f>
        <v>466.4945858005575</v>
      </c>
      <c r="FK27" s="62">
        <f t="shared" si="48"/>
        <v>294.45557293177131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1.3688688477094977</v>
      </c>
      <c r="FT27" s="24">
        <f t="shared" si="24"/>
        <v>1.3688688477094977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7.2</v>
      </c>
      <c r="FZ27" s="13">
        <f>IF('Données projet'!$A$244&gt;35,FZ26+FY27-GH26,IF(A27&lt;'Données projet'!$A$244,$FW$205^A27,IF(A27='Données projet'!$A$244,'Données projet'!$B$244,FZ26+FY27-GH26)))</f>
        <v>95.800000000000011</v>
      </c>
      <c r="GA27" s="18">
        <f>FZ27*VLOOKUP('Données projet'!$B$17,Paramètres!$A$1:$I$89,3,0)*VLOOKUP('Données projet'!$B$17,Paramètres!$A$1:$I$89,5,0)</f>
        <v>91.16328</v>
      </c>
      <c r="GB27" s="14">
        <f t="shared" si="49"/>
        <v>24.84557007760694</v>
      </c>
      <c r="GC27" s="22">
        <f t="shared" si="25"/>
        <v>202.04874721849876</v>
      </c>
      <c r="GD27" s="62">
        <f t="shared" si="26"/>
        <v>488.04874721849876</v>
      </c>
      <c r="GE27" s="62">
        <f ca="1">AVERAGE(OFFSET($GD$3,0,0,'Données projet'!$E$17+1,1))-AVERAGE(OFFSET($H$3,0,0,'Données projet'!$E$17+1,1))</f>
        <v>459.64120566196812</v>
      </c>
      <c r="GF27" s="62">
        <f t="shared" si="50"/>
        <v>290.39826583283588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151</v>
      </c>
      <c r="L28" s="13">
        <f>VLOOKUP(A28,'Données projet'!$A$35:$I$55,9,0)</f>
        <v>10.6</v>
      </c>
      <c r="M28" s="13">
        <f t="array" ref="M28">INDEX(L:L,MIN(IF(ISNUMBER(L28:L224),ROW(L28:L224),"")))</f>
        <v>10.6</v>
      </c>
      <c r="N28" s="14">
        <f>IF('Données projet'!$A$36&gt;35,N27+M28-V27,IF(A28&lt;'Données projet'!$A$36,$K$205^A28,IF(A28='Données projet'!$A$36,'Données projet'!$B$36,N27+M28-V27)))</f>
        <v>150.99999999999997</v>
      </c>
      <c r="O28" s="14">
        <f>N28*VLOOKUP('Données projet'!$B$9,Paramètres!$A$1:$I$89,3,0)*VLOOKUP('Données projet'!$B$9,Paramètres!$A$1:$I$89,5,0)</f>
        <v>82.445999999999984</v>
      </c>
      <c r="P28" s="14">
        <f t="shared" si="33"/>
        <v>22.734191534864372</v>
      </c>
      <c r="Q28" s="22">
        <f t="shared" si="2"/>
        <v>183.18883358988873</v>
      </c>
      <c r="R28" s="62">
        <f t="shared" si="0"/>
        <v>470.41105581211093</v>
      </c>
      <c r="S28" s="62">
        <f ca="1">AVERAGE(OFFSET($R$3,0,0,'Données projet'!$E$9+1,1))-AVERAGE(OFFSET($H$3,0,0,'Données projet'!$E$9+1,1))</f>
        <v>170.27677128684815</v>
      </c>
      <c r="T28" s="62">
        <f t="shared" si="34"/>
        <v>243.47439640666289</v>
      </c>
      <c r="U28" s="16">
        <f>IF(ISNA(VLOOKUP(A28,'Données projet'!$A$35:$I$55,3,0)),0,VLOOKUP(A28,'Données projet'!$A$35:$I$55,3,0))</f>
        <v>4</v>
      </c>
      <c r="V28" s="16">
        <f>IF(ISNA(VLOOKUP(A28,'Données projet'!$A$35:$I$55,4,0)),0,VLOOKUP(A28,'Données projet'!$A$35:$I$55,4,0))</f>
        <v>22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0.3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4.7615853851406271</v>
      </c>
      <c r="AB28" s="23">
        <f>EXP(-LN(2)/2)*AB27+(1-EXP(-LN(2)/2))/(LN(2)/2)*V28*Y28*VLOOKUP('Données projet'!$B$9,Paramètres!$A$1:$I$89,3,0)*0.475*44/12</f>
        <v>9.8457511835335829</v>
      </c>
      <c r="AC28" s="24">
        <f t="shared" si="3"/>
        <v>14.60733656867421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143</v>
      </c>
      <c r="AG28" s="13">
        <f>VLOOKUP(A28,'Données projet'!$A$61:$I$81,9,0)</f>
        <v>12.2</v>
      </c>
      <c r="AH28" s="13">
        <f t="array" ref="AH28">INDEX(AG:AG,MIN(IF(ISNUMBER(AG28:AG224),ROW(AG28:AG224),"")))</f>
        <v>12.2</v>
      </c>
      <c r="AI28" s="14">
        <f>IF('Données projet'!$A$62&gt;35,AI27+AH28-AQ27,IF(A28&lt;'Données projet'!$A$62,$AF$205^A28,IF(A28='Données projet'!$A$62,'Données projet'!$B$62,AI27+AH28-AQ27)))</f>
        <v>142.99999999999997</v>
      </c>
      <c r="AJ28" s="14">
        <f>AI28*VLOOKUP('Données projet'!$B$10,Paramètres!$A$1:$I$89,3,0)*VLOOKUP('Données projet'!$B$10,Paramètres!$A$1:$I$89,5,0)</f>
        <v>124.9248</v>
      </c>
      <c r="AK28" s="14">
        <f t="shared" si="35"/>
        <v>32.820925500842712</v>
      </c>
      <c r="AL28" s="22">
        <f t="shared" si="4"/>
        <v>274.74047191396772</v>
      </c>
      <c r="AM28" s="62">
        <f t="shared" si="5"/>
        <v>561.96269413618995</v>
      </c>
      <c r="AN28" s="62">
        <f ca="1">AVERAGE(OFFSET($AM$3,0,0,'Données projet'!$E$10+1,1))-AVERAGE(OFFSET($H$3,0,0,'Données projet'!$E$10+1,1))</f>
        <v>327.826081588335</v>
      </c>
      <c r="AO28" s="62">
        <f t="shared" si="36"/>
        <v>348.84706693879735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0.215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7.6522043916754932</v>
      </c>
      <c r="AW28" s="23">
        <f>EXP(-LN(2)/2)*AW27+(1-EXP(-LN(2)/2))/(LN(2)/2)*AQ28*AT28*VLOOKUP('Données projet'!$B$10,Paramètres!$A$1:$I$89,3,0)*0.475*44/12</f>
        <v>15.248904583086444</v>
      </c>
      <c r="AX28" s="23">
        <f t="shared" si="6"/>
        <v>22.901108974761939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165</v>
      </c>
      <c r="BB28" s="13">
        <f>VLOOKUP(A28,'Données projet'!$A$87:$I$107,9,0)</f>
        <v>16.8</v>
      </c>
      <c r="BC28" s="13">
        <f t="array" ref="BC28">INDEX(BB:BB,MIN(IF(ISNUMBER(BB28:BB224),ROW(BB28:BB224),"")))</f>
        <v>16.8</v>
      </c>
      <c r="BD28" s="13">
        <f>IF('Données projet'!$A$88&gt;35,BD27+BC28-BL27,IF(A28&lt;'Données projet'!$A$88,$BA$205^A28,IF(A28='Données projet'!$A$88,'Données projet'!$B$88,BD27+BC28-BL27)))</f>
        <v>165.00000000000003</v>
      </c>
      <c r="BE28" s="14">
        <f>BD28*VLOOKUP('Données projet'!$B$11,Paramètres!$A$1:$I$89,3,0)*VLOOKUP('Données projet'!$B$11,Paramètres!$A$1:$I$89,5,0)</f>
        <v>120.97800000000002</v>
      </c>
      <c r="BF28" s="14">
        <f t="shared" si="37"/>
        <v>31.902993864447531</v>
      </c>
      <c r="BG28" s="22">
        <f t="shared" si="7"/>
        <v>266.26773098057953</v>
      </c>
      <c r="BH28" s="62">
        <f t="shared" si="8"/>
        <v>553.48995320280176</v>
      </c>
      <c r="BI28" s="62">
        <f ca="1">AVERAGE(OFFSET($BH$3,0,0,'Données projet'!$E$11+1,1))-AVERAGE(OFFSET($H$3,0,0,'Données projet'!$E$11+1,1))</f>
        <v>376.5422416541544</v>
      </c>
      <c r="BJ28" s="62">
        <f t="shared" si="38"/>
        <v>365.76175372075869</v>
      </c>
      <c r="BK28" s="16">
        <f>IF(ISNA(VLOOKUP(A28,'Données projet'!$A$87:$I$107,3,0)),0,VLOOKUP(A28,'Données projet'!$A$87:$I$107,3,0))</f>
        <v>4</v>
      </c>
      <c r="BL28" s="16">
        <f>IF(ISNA(VLOOKUP(A28,'Données projet'!$A$87:$I$107,4,0)),0,VLOOKUP(A28,'Données projet'!$A$87:$I$107,4,0))</f>
        <v>42</v>
      </c>
      <c r="BM28" s="17">
        <f>IF(ISNA(VLOOKUP(A28,'Données projet'!$A$87:$I$107,5,0)),0%,VLOOKUP(A28,'Données projet'!$A$87:$I$107,5,0)*VLOOKUP('Données projet'!$B$11,Paramètres!$A$1:$I$89,7,0))</f>
        <v>0.34400000000000003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14.362180793587395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14.362180793587395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27.550000000000011</v>
      </c>
      <c r="BY28" s="13">
        <f>IF('Données projet'!$A$114&gt;35,BY27+BX28-CG27,IF(A28&lt;'Données projet'!$A$114,$BV$205^A28,IF(A28='Données projet'!$A$114,'Données projet'!$B$114,BY27+BX28-CG27)))</f>
        <v>265.25</v>
      </c>
      <c r="BZ28" s="14">
        <f>BY28*VLOOKUP('Données projet'!$B$12,Paramètres!$A$1:$I$89,3,0)*VLOOKUP('Données projet'!$B$12,Paramètres!$A$1:$I$89,5,0)</f>
        <v>148.27475000000001</v>
      </c>
      <c r="CA28" s="14">
        <f t="shared" si="39"/>
        <v>38.186252787335206</v>
      </c>
      <c r="CB28" s="22">
        <f t="shared" si="10"/>
        <v>324.75291318794217</v>
      </c>
      <c r="CC28" s="62">
        <f t="shared" si="11"/>
        <v>611.9751354101644</v>
      </c>
      <c r="CD28" s="62">
        <f ca="1">AVERAGE(OFFSET($CC$3,0,0,'Données projet'!$E$12+1,1))-AVERAGE(OFFSET($H$3,0,0,'Données projet'!$E$12+1,1))</f>
        <v>405.09126081846171</v>
      </c>
      <c r="CE28" s="62">
        <f t="shared" si="40"/>
        <v>534.22295841722166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10.875938252566558</v>
      </c>
      <c r="CL28" s="23">
        <f>EXP(-LN(2)/25)*CL27+(1-EXP(-LN(2)/25))/(LN(2)/25)*Calculateur!CG28*Calculateur!CI28*VLOOKUP('Données projet'!$B$12,Paramètres!$A$1:$I$89,3,0)*0.475*44/12</f>
        <v>16.105171576518178</v>
      </c>
      <c r="CM28" s="23">
        <f>EXP(-LN(2)/2)*CM27+(1-EXP(-LN(2)/2))/(LN(2)/2)*CG28*CJ28*VLOOKUP('Données projet'!$B$12,Paramètres!$A$1:$I$89,3,0)*0.475*44/12</f>
        <v>8.9925432866877735</v>
      </c>
      <c r="CN28" s="24">
        <f t="shared" si="12"/>
        <v>35.973653115772507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136</v>
      </c>
      <c r="CR28" s="13">
        <f>VLOOKUP(A28,'Données projet'!$A$139:$I$159,9,0)</f>
        <v>6.4</v>
      </c>
      <c r="CS28" s="13">
        <f t="array" ref="CS28">INDEX(CR:CR,MIN(IF(ISNUMBER(CR28:CR224),ROW(CR28:CR224),"")))</f>
        <v>6.4</v>
      </c>
      <c r="CT28" s="13">
        <f>IF('Données projet'!$A$140&gt;35,CT27+CS28-DB27,IF(A28&lt;'Données projet'!$A$140,$CQ$205^A28,IF(A28='Données projet'!$A$140,'Données projet'!$B$140,CT27+CS28-DB27)))</f>
        <v>136</v>
      </c>
      <c r="CU28" s="18">
        <f>CT28*VLOOKUP('Données projet'!$B$13,Paramètres!$A$1:$I$89,3,0)*VLOOKUP('Données projet'!$B$13,Paramètres!$A$1:$I$89,5,0)</f>
        <v>123.05279999999999</v>
      </c>
      <c r="CV28" s="14">
        <f t="shared" si="41"/>
        <v>32.385970393750824</v>
      </c>
      <c r="CW28" s="22">
        <f t="shared" si="13"/>
        <v>270.72252510244931</v>
      </c>
      <c r="CX28" s="62">
        <f t="shared" si="14"/>
        <v>557.94474732467154</v>
      </c>
      <c r="CY28" s="62">
        <f ca="1">AVERAGE(OFFSET($CX$3,0,0,'Données projet'!$E$13+1,1))-AVERAGE(OFFSET($H$3,0,0,'Données projet'!$E$13+1,1))</f>
        <v>244.82163392718377</v>
      </c>
      <c r="CZ28" s="62">
        <f t="shared" si="42"/>
        <v>342.30266518164211</v>
      </c>
      <c r="DA28" s="16">
        <f>IF(ISNA(VLOOKUP(A28,'Données projet'!$A$139:$I$159,3,0)),0,VLOOKUP(A28,'Données projet'!$A$139:$I$159,3,0))</f>
        <v>5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0.24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4.7346852032720577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4.7346852032720577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115</v>
      </c>
      <c r="DM28" s="13">
        <f>VLOOKUP(A28,'Données projet'!$A$165:$I$185,9,0)</f>
        <v>12.6</v>
      </c>
      <c r="DN28" s="13">
        <f t="array" ref="DN28">INDEX(DM:DM,MIN(IF(ISNUMBER(DM28:DM224),ROW(DM28:DM224),"")))</f>
        <v>12.6</v>
      </c>
      <c r="DO28" s="13">
        <f>IF('Données projet'!$A$166&gt;35,DO27+DN28-DW27,IF(A28&lt;'Données projet'!$A$166,$DL$205^A28,IF(A28='Données projet'!$A$166,'Données projet'!$B$166,DO27+DN28-DW27)))</f>
        <v>114.99999999999997</v>
      </c>
      <c r="DP28" s="18">
        <f>DO28*VLOOKUP('Données projet'!$B$14,Paramètres!$A$1:$I$89,3,0)*VLOOKUP('Données projet'!$B$14,Paramètres!$A$1:$I$89,5,0)</f>
        <v>91.493999999999986</v>
      </c>
      <c r="DQ28" s="14">
        <f t="shared" si="43"/>
        <v>24.925195840896517</v>
      </c>
      <c r="DR28" s="22">
        <f t="shared" si="16"/>
        <v>202.76343275622807</v>
      </c>
      <c r="DS28" s="62">
        <f t="shared" si="17"/>
        <v>489.98565497845027</v>
      </c>
      <c r="DT28" s="62">
        <f ca="1">AVERAGE(OFFSET($DS$3,0,0,'Données projet'!$E$14+1,1))-AVERAGE(OFFSET($H$3,0,0,'Données projet'!$E$14+1,1))</f>
        <v>298.89893065707554</v>
      </c>
      <c r="DU28" s="62">
        <f t="shared" si="44"/>
        <v>294.28794439094878</v>
      </c>
      <c r="DV28" s="16">
        <f>IF(ISNA(VLOOKUP(A28,'Données projet'!$A$165:$I$185,3,0)),0,VLOOKUP(A28,'Données projet'!$A$165:$I$185,3,0))</f>
        <v>3</v>
      </c>
      <c r="DW28" s="16">
        <f>IF(ISNA(VLOOKUP(A28,'Données projet'!$A$165:$I$185,4,0)),0,VLOOKUP(A28,'Données projet'!$A$165:$I$185,4,0))</f>
        <v>28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103</v>
      </c>
      <c r="EH28" s="13">
        <f>VLOOKUP(A28,'Données projet'!$A$191:$I$211,9,0)</f>
        <v>7.2</v>
      </c>
      <c r="EI28" s="13">
        <f t="array" ref="EI28">INDEX(EH:EH,MIN(IF(ISNUMBER(EH28:EH224),ROW(EH28:EH224),"")))</f>
        <v>7.2</v>
      </c>
      <c r="EJ28" s="13">
        <f>IF('Données projet'!$A$192&gt;35,EJ27+EI28-ER27,IF(A28&lt;'Données projet'!$A$192,$EG$205^A28,IF(A28='Données projet'!$A$192,'Données projet'!$B$192,EJ27+EI28-ER27)))</f>
        <v>103.00000000000001</v>
      </c>
      <c r="EK28" s="18">
        <f>EJ28*VLOOKUP('Données projet'!$B$15,Paramètres!$A$1:$I$89,3,0)*VLOOKUP('Données projet'!$B$15,Paramètres!$A$1:$I$89,5,0)</f>
        <v>93.194400000000002</v>
      </c>
      <c r="EL28" s="14">
        <f t="shared" si="45"/>
        <v>25.33406653691528</v>
      </c>
      <c r="EM28" s="22">
        <f t="shared" si="19"/>
        <v>206.43707921846078</v>
      </c>
      <c r="EN28" s="62">
        <f t="shared" si="20"/>
        <v>493.65930144068301</v>
      </c>
      <c r="EO28" s="62">
        <f ca="1">AVERAGE(OFFSET($EN$3,0,0,'Données projet'!$E$15+1,1))-AVERAGE(OFFSET($H$3,0,0,'Données projet'!$E$15+1,1))</f>
        <v>439.06700232017681</v>
      </c>
      <c r="EP28" s="62">
        <f t="shared" si="46"/>
        <v>278.21741231699929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28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0.129</v>
      </c>
      <c r="EU28" s="17">
        <f>IF(ISNA(VLOOKUP(A28,'Données projet'!$A$191:$I$211,7,0)),0%,VLOOKUP(A28,'Données projet'!$A$191:$I$211,7,0))</f>
        <v>0.7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3.5986042274365828</v>
      </c>
      <c r="EX28" s="23">
        <f>EXP(-LN(2)/2)*EX27+(1-EXP(-LN(2)/2))/(LN(2)/2)*ER28*EU28*VLOOKUP('Données projet'!$B$15,Paramètres!$A$1:$I$89,3,0)*0.475*44/12</f>
        <v>16.73258178576512</v>
      </c>
      <c r="EY28" s="24">
        <f t="shared" si="21"/>
        <v>20.331186013201702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103</v>
      </c>
      <c r="FC28" s="13">
        <f>VLOOKUP(A28,'Données projet'!$A$217:$I$237,9,0)</f>
        <v>7.2</v>
      </c>
      <c r="FD28" s="13">
        <f t="array" ref="FD28">INDEX(FC:FC,MIN(IF(ISNUMBER(FC28:FC224),ROW(FC28:FC224),"")))</f>
        <v>7.2</v>
      </c>
      <c r="FE28" s="13">
        <f>IF('Données projet'!$A$218&gt;35,FE27+FD28-FM27,IF(A28&lt;'Données projet'!$A$218,$FB$205^A28,IF(A28='Données projet'!$A$218,'Données projet'!$B$218,FE27+FD28-FM27)))</f>
        <v>103.00000000000001</v>
      </c>
      <c r="FF28" s="18">
        <f>FE28*VLOOKUP('Données projet'!$B$16,Paramètres!$A$1:$I$89,3,0)*VLOOKUP('Données projet'!$B$16,Paramètres!$A$1:$I$89,5,0)</f>
        <v>99.621600000000015</v>
      </c>
      <c r="FG28" s="14">
        <f t="shared" si="47"/>
        <v>26.871829085032747</v>
      </c>
      <c r="FH28" s="22">
        <f t="shared" si="22"/>
        <v>220.30938898976538</v>
      </c>
      <c r="FI28" s="62">
        <f t="shared" si="23"/>
        <v>507.53161121198764</v>
      </c>
      <c r="FJ28" s="62">
        <f ca="1">AVERAGE(OFFSET($FI$3,0,0,'Données projet'!$E$16+1,1))-AVERAGE(OFFSET($H$3,0,0,'Données projet'!$E$16+1,1))</f>
        <v>466.4945858005575</v>
      </c>
      <c r="FK28" s="62">
        <f t="shared" si="48"/>
        <v>294.45557293177131</v>
      </c>
      <c r="FL28" s="16">
        <f>IF(ISNA(VLOOKUP(A28,'Données projet'!$A$217:$I$237,3,0)),0,VLOOKUP(A28,'Données projet'!$A$217:$I$237,3,0))</f>
        <v>2</v>
      </c>
      <c r="FM28" s="16">
        <f>IF(ISNA(VLOOKUP(A28,'Données projet'!$A$217:$I$237,4,0)),0,VLOOKUP(A28,'Données projet'!$A$217:$I$237,4,0))</f>
        <v>28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1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26.520154935347687</v>
      </c>
      <c r="FT28" s="24">
        <f t="shared" si="24"/>
        <v>26.520154935347687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103</v>
      </c>
      <c r="FX28" s="13">
        <f>VLOOKUP(A28,'Données projet'!$A$243:$I$263,9,0)</f>
        <v>7.2</v>
      </c>
      <c r="FY28" s="13">
        <f t="array" ref="FY28">INDEX(FX:FX,MIN(IF(ISNUMBER(FX28:FX224),ROW(FX28:FX224),"")))</f>
        <v>7.2</v>
      </c>
      <c r="FZ28" s="13">
        <f>IF('Données projet'!$A$244&gt;35,FZ27+FY28-GH27,IF(A28&lt;'Données projet'!$A$244,$FW$205^A28,IF(A28='Données projet'!$A$244,'Données projet'!$B$244,FZ27+FY28-GH27)))</f>
        <v>103.00000000000001</v>
      </c>
      <c r="GA28" s="18">
        <f>FZ28*VLOOKUP('Données projet'!$B$17,Paramètres!$A$1:$I$89,3,0)*VLOOKUP('Données projet'!$B$17,Paramètres!$A$1:$I$89,5,0)</f>
        <v>98.014800000000008</v>
      </c>
      <c r="GB28" s="14">
        <f t="shared" si="49"/>
        <v>26.488500507827684</v>
      </c>
      <c r="GC28" s="22">
        <f t="shared" si="25"/>
        <v>216.84324838446653</v>
      </c>
      <c r="GD28" s="62">
        <f t="shared" si="26"/>
        <v>504.06547060668879</v>
      </c>
      <c r="GE28" s="62">
        <f ca="1">AVERAGE(OFFSET($GD$3,0,0,'Données projet'!$E$17+1,1))-AVERAGE(OFFSET($H$3,0,0,'Données projet'!$E$17+1,1))</f>
        <v>459.64120566196812</v>
      </c>
      <c r="GF28" s="62">
        <f t="shared" si="50"/>
        <v>290.39826583283588</v>
      </c>
      <c r="GG28" s="16">
        <f>IF(ISNA(VLOOKUP(A28,'Données projet'!$A$243:$I$263,3,0)),0,VLOOKUP(A28,'Données projet'!$A$243:$I$263,3,0))</f>
        <v>2</v>
      </c>
      <c r="GH28" s="16">
        <f>IF(ISNA(VLOOKUP(A28,'Données projet'!$A$243:$I$263,4,0)),0,VLOOKUP(A28,'Données projet'!$A$243:$I$263,4,0))</f>
        <v>28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8.4</v>
      </c>
      <c r="N29" s="14">
        <f>IF('Données projet'!$A$36&gt;35,N28+M29-V28,IF(A29&lt;'Données projet'!$A$36,$K$205^A29,IF(A29='Données projet'!$A$36,'Données projet'!$B$36,N28+M29-V28)))</f>
        <v>137.39999999999998</v>
      </c>
      <c r="O29" s="14">
        <f>N29*VLOOKUP('Données projet'!$B$9,Paramètres!$A$1:$I$89,3,0)*VLOOKUP('Données projet'!$B$9,Paramètres!$A$1:$I$89,5,0)</f>
        <v>75.020399999999995</v>
      </c>
      <c r="P29" s="14">
        <f t="shared" si="33"/>
        <v>20.91512964718104</v>
      </c>
      <c r="Q29" s="22">
        <f t="shared" si="2"/>
        <v>167.08771413550696</v>
      </c>
      <c r="R29" s="62">
        <f t="shared" si="0"/>
        <v>455.53215857995144</v>
      </c>
      <c r="S29" s="62">
        <f ca="1">AVERAGE(OFFSET($R$3,0,0,'Données projet'!$E$9+1,1))-AVERAGE(OFFSET($H$3,0,0,'Données projet'!$E$9+1,1))</f>
        <v>170.27677128684815</v>
      </c>
      <c r="T29" s="62">
        <f t="shared" si="34"/>
        <v>243.47439640666289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4.6313795823830644</v>
      </c>
      <c r="AB29" s="23">
        <f>EXP(-LN(2)/2)*AB28+(1-EXP(-LN(2)/2))/(LN(2)/2)*V29*Y29*VLOOKUP('Données projet'!$B$9,Paramètres!$A$1:$I$89,3,0)*0.475*44/12</f>
        <v>6.9619974277520731</v>
      </c>
      <c r="AC29" s="24">
        <f t="shared" si="3"/>
        <v>11.593377010135137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11.4</v>
      </c>
      <c r="AI29" s="14">
        <f>IF('Données projet'!$A$62&gt;35,AI28+AH29-AQ28,IF(A29&lt;'Données projet'!$A$62,$AF$205^A29,IF(A29='Données projet'!$A$62,'Données projet'!$B$62,AI28+AH29-AQ28)))</f>
        <v>117.39999999999998</v>
      </c>
      <c r="AJ29" s="14">
        <f>AI29*VLOOKUP('Données projet'!$B$10,Paramètres!$A$1:$I$89,3,0)*VLOOKUP('Données projet'!$B$10,Paramètres!$A$1:$I$89,5,0)</f>
        <v>102.56064000000001</v>
      </c>
      <c r="AK29" s="14">
        <f t="shared" si="35"/>
        <v>27.571134131783779</v>
      </c>
      <c r="AL29" s="22">
        <f t="shared" si="4"/>
        <v>226.64617327952342</v>
      </c>
      <c r="AM29" s="62">
        <f t="shared" si="5"/>
        <v>515.09061772396785</v>
      </c>
      <c r="AN29" s="62">
        <f ca="1">AVERAGE(OFFSET($AM$3,0,0,'Données projet'!$E$10+1,1))-AVERAGE(OFFSET($H$3,0,0,'Données projet'!$E$10+1,1))</f>
        <v>327.826081588335</v>
      </c>
      <c r="AO29" s="62">
        <f t="shared" si="36"/>
        <v>348.84706693879735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7.442954460173187</v>
      </c>
      <c r="AW29" s="23">
        <f>EXP(-LN(2)/2)*AW28+(1-EXP(-LN(2)/2))/(LN(2)/2)*AQ29*AT29*VLOOKUP('Données projet'!$B$10,Paramètres!$A$1:$I$89,3,0)*0.475*44/12</f>
        <v>10.782603836367048</v>
      </c>
      <c r="AX29" s="23">
        <f t="shared" si="6"/>
        <v>18.225558296540235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16.399999999999999</v>
      </c>
      <c r="BD29" s="13">
        <f>IF('Données projet'!$A$88&gt;35,BD28+BC29-BL28,IF(A29&lt;'Données projet'!$A$88,$BA$205^A29,IF(A29='Données projet'!$A$88,'Données projet'!$B$88,BD28+BC29-BL28)))</f>
        <v>139.40000000000003</v>
      </c>
      <c r="BE29" s="14">
        <f>BD29*VLOOKUP('Données projet'!$B$11,Paramètres!$A$1:$I$89,3,0)*VLOOKUP('Données projet'!$B$11,Paramètres!$A$1:$I$89,5,0)</f>
        <v>102.20808000000002</v>
      </c>
      <c r="BF29" s="14">
        <f t="shared" si="37"/>
        <v>27.487371629246301</v>
      </c>
      <c r="BG29" s="22">
        <f t="shared" si="7"/>
        <v>225.88624492093732</v>
      </c>
      <c r="BH29" s="62">
        <f t="shared" si="8"/>
        <v>514.33068936538177</v>
      </c>
      <c r="BI29" s="62">
        <f ca="1">AVERAGE(OFFSET($BH$3,0,0,'Données projet'!$E$11+1,1))-AVERAGE(OFFSET($H$3,0,0,'Données projet'!$E$11+1,1))</f>
        <v>376.5422416541544</v>
      </c>
      <c r="BJ29" s="62">
        <f t="shared" si="38"/>
        <v>365.76175372075869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14.080547188290446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14.080547188290446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>
        <f>VLOOKUP(A29,'Données projet'!$A$113:$I$133,2,0)</f>
        <v>292.8</v>
      </c>
      <c r="BW29" s="13">
        <f>VLOOKUP(A29,'Données projet'!$A$113:$I$133,9,0)</f>
        <v>27.550000000000011</v>
      </c>
      <c r="BX29" s="13">
        <f t="array" ref="BX29">INDEX(BW:BW,MIN(IF(ISNUMBER(BW29:BW225),ROW(BW29:BW225),"")))</f>
        <v>27.550000000000011</v>
      </c>
      <c r="BY29" s="13">
        <f>IF('Données projet'!$A$114&gt;35,BY28+BX29-CG28,IF(A29&lt;'Données projet'!$A$114,$BV$205^A29,IF(A29='Données projet'!$A$114,'Données projet'!$B$114,BY28+BX29-CG28)))</f>
        <v>292.8</v>
      </c>
      <c r="BZ29" s="14">
        <f>BY29*VLOOKUP('Données projet'!$B$12,Paramètres!$A$1:$I$89,3,0)*VLOOKUP('Données projet'!$B$12,Paramètres!$A$1:$I$89,5,0)</f>
        <v>163.67519999999999</v>
      </c>
      <c r="CA29" s="14">
        <f t="shared" si="39"/>
        <v>41.670368197291587</v>
      </c>
      <c r="CB29" s="22">
        <f t="shared" si="10"/>
        <v>357.64353127694949</v>
      </c>
      <c r="CC29" s="62">
        <f t="shared" si="11"/>
        <v>646.08797572139395</v>
      </c>
      <c r="CD29" s="62">
        <f ca="1">AVERAGE(OFFSET($CC$3,0,0,'Données projet'!$E$12+1,1))-AVERAGE(OFFSET($H$3,0,0,'Données projet'!$E$12+1,1))</f>
        <v>405.09126081846171</v>
      </c>
      <c r="CE29" s="62">
        <f t="shared" si="40"/>
        <v>534.22295841722166</v>
      </c>
      <c r="CF29" s="16">
        <f>IF(ISNA(VLOOKUP(A29,'Données projet'!$A$113:$I$133,3,0)),0,VLOOKUP(A29,'Données projet'!$A$113:$I$133,3,0))</f>
        <v>6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10.662667737101041</v>
      </c>
      <c r="CL29" s="23">
        <f>EXP(-LN(2)/25)*CL28+(1-EXP(-LN(2)/25))/(LN(2)/25)*Calculateur!CG29*Calculateur!CI29*VLOOKUP('Données projet'!$B$12,Paramètres!$A$1:$I$89,3,0)*0.475*44/12</f>
        <v>15.664774812824124</v>
      </c>
      <c r="CM29" s="23">
        <f>EXP(-LN(2)/2)*CM28+(1-EXP(-LN(2)/2))/(LN(2)/2)*CG29*CJ29*VLOOKUP('Données projet'!$B$12,Paramètres!$A$1:$I$89,3,0)*0.475*44/12</f>
        <v>6.3586883381304888</v>
      </c>
      <c r="CN29" s="24">
        <f t="shared" si="12"/>
        <v>32.686130888055658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5.2</v>
      </c>
      <c r="CT29" s="13">
        <f>IF('Données projet'!$A$140&gt;35,CT28+CS29-DB28,IF(A29&lt;'Données projet'!$A$140,$CQ$205^A29,IF(A29='Données projet'!$A$140,'Données projet'!$B$140,CT28+CS29-DB28)))</f>
        <v>133.19999999999999</v>
      </c>
      <c r="CU29" s="18">
        <f>CT29*VLOOKUP('Données projet'!$B$13,Paramètres!$A$1:$I$89,3,0)*VLOOKUP('Données projet'!$B$13,Paramètres!$A$1:$I$89,5,0)</f>
        <v>120.51935999999998</v>
      </c>
      <c r="CV29" s="14">
        <f t="shared" si="41"/>
        <v>31.796101022354524</v>
      </c>
      <c r="CW29" s="22">
        <f t="shared" si="13"/>
        <v>265.28276128060071</v>
      </c>
      <c r="CX29" s="62">
        <f t="shared" si="14"/>
        <v>553.72720572504522</v>
      </c>
      <c r="CY29" s="62">
        <f ca="1">AVERAGE(OFFSET($CX$3,0,0,'Données projet'!$E$13+1,1))-AVERAGE(OFFSET($H$3,0,0,'Données projet'!$E$13+1,1))</f>
        <v>244.82163392718377</v>
      </c>
      <c r="CZ29" s="62">
        <f t="shared" si="42"/>
        <v>342.30266518164211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4.6418409143087125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4.6418409143087125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12</v>
      </c>
      <c r="DO29" s="13">
        <f>IF('Données projet'!$A$166&gt;35,DO28+DN29-DW28,IF(A29&lt;'Données projet'!$A$166,$DL$205^A29,IF(A29='Données projet'!$A$166,'Données projet'!$B$166,DO28+DN29-DW28)))</f>
        <v>98.999999999999972</v>
      </c>
      <c r="DP29" s="18">
        <f>DO29*VLOOKUP('Données projet'!$B$14,Paramètres!$A$1:$I$89,3,0)*VLOOKUP('Données projet'!$B$14,Paramètres!$A$1:$I$89,5,0)</f>
        <v>78.764399999999981</v>
      </c>
      <c r="DQ29" s="14">
        <f t="shared" si="43"/>
        <v>21.834800364471622</v>
      </c>
      <c r="DR29" s="22">
        <f t="shared" si="16"/>
        <v>175.21027396812136</v>
      </c>
      <c r="DS29" s="62">
        <f t="shared" si="17"/>
        <v>463.65471841256579</v>
      </c>
      <c r="DT29" s="62">
        <f ca="1">AVERAGE(OFFSET($DS$3,0,0,'Données projet'!$E$14+1,1))-AVERAGE(OFFSET($H$3,0,0,'Données projet'!$E$14+1,1))</f>
        <v>298.89893065707554</v>
      </c>
      <c r="DU29" s="62">
        <f t="shared" si="44"/>
        <v>294.28794439094878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9.1999999999999993</v>
      </c>
      <c r="EJ29" s="13">
        <f>IF('Données projet'!$A$192&gt;35,EJ28+EI29-ER28,IF(A29&lt;'Données projet'!$A$192,$EG$205^A29,IF(A29='Données projet'!$A$192,'Données projet'!$B$192,EJ28+EI29-ER28)))</f>
        <v>84.200000000000017</v>
      </c>
      <c r="EK29" s="18">
        <f>EJ29*VLOOKUP('Données projet'!$B$15,Paramètres!$A$1:$I$89,3,0)*VLOOKUP('Données projet'!$B$15,Paramètres!$A$1:$I$89,5,0)</f>
        <v>76.184160000000006</v>
      </c>
      <c r="EL29" s="14">
        <f t="shared" si="45"/>
        <v>21.201554232857223</v>
      </c>
      <c r="EM29" s="22">
        <f t="shared" si="19"/>
        <v>169.613452288893</v>
      </c>
      <c r="EN29" s="62">
        <f t="shared" si="20"/>
        <v>458.05789673333743</v>
      </c>
      <c r="EO29" s="62">
        <f ca="1">AVERAGE(OFFSET($EN$3,0,0,'Données projet'!$E$15+1,1))-AVERAGE(OFFSET($H$3,0,0,'Données projet'!$E$15+1,1))</f>
        <v>439.06700232017681</v>
      </c>
      <c r="EP29" s="62">
        <f t="shared" si="46"/>
        <v>278.21741231699929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3.5002002055949579</v>
      </c>
      <c r="EX29" s="23">
        <f>EXP(-LN(2)/2)*EX28+(1-EXP(-LN(2)/2))/(LN(2)/2)*ER29*EU29*VLOOKUP('Données projet'!$B$15,Paramètres!$A$1:$I$89,3,0)*0.475*44/12</f>
        <v>11.831722047473029</v>
      </c>
      <c r="EY29" s="24">
        <f t="shared" si="21"/>
        <v>15.331922253067987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9.1999999999999993</v>
      </c>
      <c r="FE29" s="13">
        <f>IF('Données projet'!$A$218&gt;35,FE28+FD29-FM28,IF(A29&lt;'Données projet'!$A$218,$FB$205^A29,IF(A29='Données projet'!$A$218,'Données projet'!$B$218,FE28+FD29-FM28)))</f>
        <v>84.200000000000017</v>
      </c>
      <c r="FF29" s="18">
        <f>FE29*VLOOKUP('Données projet'!$B$16,Paramètres!$A$1:$I$89,3,0)*VLOOKUP('Données projet'!$B$16,Paramètres!$A$1:$I$89,5,0)</f>
        <v>81.438240000000022</v>
      </c>
      <c r="FG29" s="14">
        <f t="shared" si="47"/>
        <v>22.488475778344696</v>
      </c>
      <c r="FH29" s="22">
        <f t="shared" si="22"/>
        <v>181.00569664728371</v>
      </c>
      <c r="FI29" s="62">
        <f t="shared" si="23"/>
        <v>469.45014109172814</v>
      </c>
      <c r="FJ29" s="62">
        <f ca="1">AVERAGE(OFFSET($FI$3,0,0,'Données projet'!$E$16+1,1))-AVERAGE(OFFSET($H$3,0,0,'Données projet'!$E$16+1,1))</f>
        <v>466.4945858005575</v>
      </c>
      <c r="FK29" s="62">
        <f t="shared" si="48"/>
        <v>294.45557293177131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18.752581392902236</v>
      </c>
      <c r="FT29" s="24">
        <f t="shared" si="24"/>
        <v>18.752581392902236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9.1999999999999993</v>
      </c>
      <c r="FZ29" s="13">
        <f>IF('Données projet'!$A$244&gt;35,FZ28+FY29-GH28,IF(A29&lt;'Données projet'!$A$244,$FW$205^A29,IF(A29='Données projet'!$A$244,'Données projet'!$B$244,FZ28+FY29-GH28)))</f>
        <v>84.200000000000017</v>
      </c>
      <c r="GA29" s="18">
        <f>FZ29*VLOOKUP('Données projet'!$B$17,Paramètres!$A$1:$I$89,3,0)*VLOOKUP('Données projet'!$B$17,Paramètres!$A$1:$I$89,5,0)</f>
        <v>80.124720000000011</v>
      </c>
      <c r="GB29" s="14">
        <f t="shared" si="49"/>
        <v>22.167676051748288</v>
      </c>
      <c r="GC29" s="22">
        <f t="shared" si="25"/>
        <v>178.15925645679496</v>
      </c>
      <c r="GD29" s="62">
        <f t="shared" si="26"/>
        <v>466.60370090123945</v>
      </c>
      <c r="GE29" s="62">
        <f ca="1">AVERAGE(OFFSET($GD$3,0,0,'Données projet'!$E$17+1,1))-AVERAGE(OFFSET($H$3,0,0,'Données projet'!$E$17+1,1))</f>
        <v>459.64120566196812</v>
      </c>
      <c r="GF29" s="62">
        <f t="shared" si="50"/>
        <v>290.39826583283588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8.4</v>
      </c>
      <c r="N30" s="14">
        <f>IF('Données projet'!$A$36&gt;35,N29+M30-V29,IF(A30&lt;'Données projet'!$A$36,$K$205^A30,IF(A30='Données projet'!$A$36,'Données projet'!$B$36,N29+M30-V29)))</f>
        <v>145.79999999999998</v>
      </c>
      <c r="O30" s="14">
        <f>N30*VLOOKUP('Données projet'!$B$9,Paramètres!$A$1:$I$89,3,0)*VLOOKUP('Données projet'!$B$9,Paramètres!$A$1:$I$89,5,0)</f>
        <v>79.606799999999993</v>
      </c>
      <c r="P30" s="14">
        <f t="shared" si="33"/>
        <v>22.041017133124218</v>
      </c>
      <c r="Q30" s="22">
        <f t="shared" si="2"/>
        <v>177.03661484019131</v>
      </c>
      <c r="R30" s="62">
        <f t="shared" si="0"/>
        <v>466.70328150685799</v>
      </c>
      <c r="S30" s="62">
        <f ca="1">AVERAGE(OFFSET($R$3,0,0,'Données projet'!$E$9+1,1))-AVERAGE(OFFSET($H$3,0,0,'Données projet'!$E$9+1,1))</f>
        <v>170.27677128684815</v>
      </c>
      <c r="T30" s="62">
        <f t="shared" si="34"/>
        <v>243.47439640666289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4.5047342641491328</v>
      </c>
      <c r="AB30" s="23">
        <f>EXP(-LN(2)/2)*AB29+(1-EXP(-LN(2)/2))/(LN(2)/2)*V30*Y30*VLOOKUP('Données projet'!$B$9,Paramètres!$A$1:$I$89,3,0)*0.475*44/12</f>
        <v>4.9228755917667923</v>
      </c>
      <c r="AC30" s="24">
        <f t="shared" si="3"/>
        <v>9.4276098559159252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11.4</v>
      </c>
      <c r="AI30" s="14">
        <f>IF('Données projet'!$A$62&gt;35,AI29+AH30-AQ29,IF(A30&lt;'Données projet'!$A$62,$AF$205^A30,IF(A30='Données projet'!$A$62,'Données projet'!$B$62,AI29+AH30-AQ29)))</f>
        <v>128.79999999999998</v>
      </c>
      <c r="AJ30" s="14">
        <f>AI30*VLOOKUP('Données projet'!$B$10,Paramètres!$A$1:$I$89,3,0)*VLOOKUP('Données projet'!$B$10,Paramètres!$A$1:$I$89,5,0)</f>
        <v>112.51968000000001</v>
      </c>
      <c r="AK30" s="14">
        <f t="shared" si="35"/>
        <v>29.923856072189899</v>
      </c>
      <c r="AL30" s="22">
        <f t="shared" si="4"/>
        <v>248.08915865906408</v>
      </c>
      <c r="AM30" s="62">
        <f t="shared" si="5"/>
        <v>537.75582532573071</v>
      </c>
      <c r="AN30" s="62">
        <f ca="1">AVERAGE(OFFSET($AM$3,0,0,'Données projet'!$E$10+1,1))-AVERAGE(OFFSET($H$3,0,0,'Données projet'!$E$10+1,1))</f>
        <v>327.826081588335</v>
      </c>
      <c r="AO30" s="62">
        <f t="shared" si="36"/>
        <v>348.84706693879735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7.2394264790517875</v>
      </c>
      <c r="AW30" s="23">
        <f>EXP(-LN(2)/2)*AW29+(1-EXP(-LN(2)/2))/(LN(2)/2)*AQ30*AT30*VLOOKUP('Données projet'!$B$10,Paramètres!$A$1:$I$89,3,0)*0.475*44/12</f>
        <v>7.6244522915432231</v>
      </c>
      <c r="AX30" s="23">
        <f t="shared" si="6"/>
        <v>14.863878770595012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16.399999999999999</v>
      </c>
      <c r="BD30" s="13">
        <f>IF('Données projet'!$A$88&gt;35,BD29+BC30-BL29,IF(A30&lt;'Données projet'!$A$88,$BA$205^A30,IF(A30='Données projet'!$A$88,'Données projet'!$B$88,BD29+BC30-BL29)))</f>
        <v>155.80000000000004</v>
      </c>
      <c r="BE30" s="14">
        <f>BD30*VLOOKUP('Données projet'!$B$11,Paramètres!$A$1:$I$89,3,0)*VLOOKUP('Données projet'!$B$11,Paramètres!$A$1:$I$89,5,0)</f>
        <v>114.23256000000002</v>
      </c>
      <c r="BF30" s="14">
        <f t="shared" si="37"/>
        <v>30.326006869580301</v>
      </c>
      <c r="BG30" s="22">
        <f t="shared" si="7"/>
        <v>251.77283729785236</v>
      </c>
      <c r="BH30" s="62">
        <f t="shared" si="8"/>
        <v>541.43950396451908</v>
      </c>
      <c r="BI30" s="62">
        <f ca="1">AVERAGE(OFFSET($BH$3,0,0,'Données projet'!$E$11+1,1))-AVERAGE(OFFSET($H$3,0,0,'Données projet'!$E$11+1,1))</f>
        <v>376.5422416541544</v>
      </c>
      <c r="BJ30" s="62">
        <f t="shared" si="38"/>
        <v>365.76175372075869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13.804436246213832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13.804436246213832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28.629999999999995</v>
      </c>
      <c r="BY30" s="13">
        <f>IF('Données projet'!$A$114&gt;35,BY29+BX30-CG29,IF(A30&lt;'Données projet'!$A$114,$BV$205^A30,IF(A30='Données projet'!$A$114,'Données projet'!$B$114,BY29+BX30-CG29)))</f>
        <v>321.43</v>
      </c>
      <c r="BZ30" s="14">
        <f>BY30*VLOOKUP('Données projet'!$B$12,Paramètres!$A$1:$I$89,3,0)*VLOOKUP('Données projet'!$B$12,Paramètres!$A$1:$I$89,5,0)</f>
        <v>179.67937000000001</v>
      </c>
      <c r="CA30" s="14">
        <f t="shared" si="39"/>
        <v>45.250844498664819</v>
      </c>
      <c r="CB30" s="22">
        <f t="shared" si="10"/>
        <v>391.75345691850794</v>
      </c>
      <c r="CC30" s="62">
        <f t="shared" si="11"/>
        <v>681.42012358517468</v>
      </c>
      <c r="CD30" s="62">
        <f ca="1">AVERAGE(OFFSET($CC$3,0,0,'Données projet'!$E$12+1,1))-AVERAGE(OFFSET($H$3,0,0,'Données projet'!$E$12+1,1))</f>
        <v>405.09126081846171</v>
      </c>
      <c r="CE30" s="62">
        <f t="shared" si="40"/>
        <v>534.22295841722166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10.453579326361632</v>
      </c>
      <c r="CL30" s="23">
        <f>EXP(-LN(2)/25)*CL29+(1-EXP(-LN(2)/25))/(LN(2)/25)*Calculateur!CG30*Calculateur!CI30*VLOOKUP('Données projet'!$B$12,Paramètres!$A$1:$I$89,3,0)*0.475*44/12</f>
        <v>15.236420721792744</v>
      </c>
      <c r="CM30" s="23">
        <f>EXP(-LN(2)/2)*CM29+(1-EXP(-LN(2)/2))/(LN(2)/2)*CG30*CJ30*VLOOKUP('Données projet'!$B$12,Paramètres!$A$1:$I$89,3,0)*0.475*44/12</f>
        <v>4.4962716433438876</v>
      </c>
      <c r="CN30" s="24">
        <f t="shared" si="12"/>
        <v>30.186271691498263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5.2</v>
      </c>
      <c r="CT30" s="13">
        <f>IF('Données projet'!$A$140&gt;35,CT29+CS30-DB29,IF(A30&lt;'Données projet'!$A$140,$CQ$205^A30,IF(A30='Données projet'!$A$140,'Données projet'!$B$140,CT29+CS30-DB29)))</f>
        <v>138.39999999999998</v>
      </c>
      <c r="CU30" s="18">
        <f>CT30*VLOOKUP('Données projet'!$B$13,Paramètres!$A$1:$I$89,3,0)*VLOOKUP('Données projet'!$B$13,Paramètres!$A$1:$I$89,5,0)</f>
        <v>125.22431999999996</v>
      </c>
      <c r="CV30" s="14">
        <f t="shared" si="41"/>
        <v>32.890447642602773</v>
      </c>
      <c r="CW30" s="22">
        <f t="shared" si="13"/>
        <v>275.38322031086642</v>
      </c>
      <c r="CX30" s="62">
        <f t="shared" si="14"/>
        <v>565.04988697753311</v>
      </c>
      <c r="CY30" s="62">
        <f ca="1">AVERAGE(OFFSET($CX$3,0,0,'Données projet'!$E$13+1,1))-AVERAGE(OFFSET($H$3,0,0,'Données projet'!$E$13+1,1))</f>
        <v>244.82163392718377</v>
      </c>
      <c r="CZ30" s="62">
        <f t="shared" si="42"/>
        <v>342.30266518164211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4.5508172452225146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4.5508172452225146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12</v>
      </c>
      <c r="DO30" s="13">
        <f>IF('Données projet'!$A$166&gt;35,DO29+DN30-DW29,IF(A30&lt;'Données projet'!$A$166,$DL$205^A30,IF(A30='Données projet'!$A$166,'Données projet'!$B$166,DO29+DN30-DW29)))</f>
        <v>110.99999999999997</v>
      </c>
      <c r="DP30" s="18">
        <f>DO30*VLOOKUP('Données projet'!$B$14,Paramètres!$A$1:$I$89,3,0)*VLOOKUP('Données projet'!$B$14,Paramètres!$A$1:$I$89,5,0)</f>
        <v>88.311599999999984</v>
      </c>
      <c r="DQ30" s="14">
        <f t="shared" si="43"/>
        <v>24.157575839957186</v>
      </c>
      <c r="DR30" s="22">
        <f t="shared" si="16"/>
        <v>195.8838145879254</v>
      </c>
      <c r="DS30" s="62">
        <f t="shared" si="17"/>
        <v>485.55048125459211</v>
      </c>
      <c r="DT30" s="62">
        <f ca="1">AVERAGE(OFFSET($DS$3,0,0,'Données projet'!$E$14+1,1))-AVERAGE(OFFSET($H$3,0,0,'Données projet'!$E$14+1,1))</f>
        <v>298.89893065707554</v>
      </c>
      <c r="DU30" s="62">
        <f t="shared" si="44"/>
        <v>294.28794439094878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9.1999999999999993</v>
      </c>
      <c r="EJ30" s="13">
        <f>IF('Données projet'!$A$192&gt;35,EJ29+EI30-ER29,IF(A30&lt;'Données projet'!$A$192,$EG$205^A30,IF(A30='Données projet'!$A$192,'Données projet'!$B$192,EJ29+EI30-ER29)))</f>
        <v>93.40000000000002</v>
      </c>
      <c r="EK30" s="18">
        <f>EJ30*VLOOKUP('Données projet'!$B$15,Paramètres!$A$1:$I$89,3,0)*VLOOKUP('Données projet'!$B$15,Paramètres!$A$1:$I$89,5,0)</f>
        <v>84.508320000000026</v>
      </c>
      <c r="EL30" s="14">
        <f t="shared" si="45"/>
        <v>23.235950088324714</v>
      </c>
      <c r="EM30" s="22">
        <f t="shared" si="19"/>
        <v>187.65460373716556</v>
      </c>
      <c r="EN30" s="62">
        <f t="shared" si="20"/>
        <v>477.32127040383227</v>
      </c>
      <c r="EO30" s="62">
        <f ca="1">AVERAGE(OFFSET($EN$3,0,0,'Données projet'!$E$15+1,1))-AVERAGE(OFFSET($H$3,0,0,'Données projet'!$E$15+1,1))</f>
        <v>439.06700232017681</v>
      </c>
      <c r="EP30" s="62">
        <f t="shared" si="46"/>
        <v>278.21741231699929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3.4044870469054347</v>
      </c>
      <c r="EX30" s="23">
        <f>EXP(-LN(2)/2)*EX29+(1-EXP(-LN(2)/2))/(LN(2)/2)*ER30*EU30*VLOOKUP('Données projet'!$B$15,Paramètres!$A$1:$I$89,3,0)*0.475*44/12</f>
        <v>8.3662908928825619</v>
      </c>
      <c r="EY30" s="24">
        <f t="shared" si="21"/>
        <v>11.770777939787997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9.1999999999999993</v>
      </c>
      <c r="FE30" s="13">
        <f>IF('Données projet'!$A$218&gt;35,FE29+FD30-FM29,IF(A30&lt;'Données projet'!$A$218,$FB$205^A30,IF(A30='Données projet'!$A$218,'Données projet'!$B$218,FE29+FD30-FM29)))</f>
        <v>93.40000000000002</v>
      </c>
      <c r="FF30" s="18">
        <f>FE30*VLOOKUP('Données projet'!$B$16,Paramètres!$A$1:$I$89,3,0)*VLOOKUP('Données projet'!$B$16,Paramètres!$A$1:$I$89,5,0)</f>
        <v>90.336480000000023</v>
      </c>
      <c r="FG30" s="14">
        <f t="shared" si="47"/>
        <v>24.646358234355564</v>
      </c>
      <c r="FH30" s="22">
        <f t="shared" si="22"/>
        <v>200.26177659150264</v>
      </c>
      <c r="FI30" s="62">
        <f t="shared" si="23"/>
        <v>489.9284432581693</v>
      </c>
      <c r="FJ30" s="62">
        <f ca="1">AVERAGE(OFFSET($FI$3,0,0,'Données projet'!$E$16+1,1))-AVERAGE(OFFSET($H$3,0,0,'Données projet'!$E$16+1,1))</f>
        <v>466.4945858005575</v>
      </c>
      <c r="FK30" s="62">
        <f t="shared" si="48"/>
        <v>294.45557293177131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13.260077467673845</v>
      </c>
      <c r="FT30" s="24">
        <f t="shared" si="24"/>
        <v>13.260077467673845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9.1999999999999993</v>
      </c>
      <c r="FZ30" s="13">
        <f>IF('Données projet'!$A$244&gt;35,FZ29+FY30-GH29,IF(A30&lt;'Données projet'!$A$244,$FW$205^A30,IF(A30='Données projet'!$A$244,'Données projet'!$B$244,FZ29+FY30-GH29)))</f>
        <v>93.40000000000002</v>
      </c>
      <c r="GA30" s="18">
        <f>FZ30*VLOOKUP('Données projet'!$B$17,Paramètres!$A$1:$I$89,3,0)*VLOOKUP('Données projet'!$B$17,Paramètres!$A$1:$I$89,5,0)</f>
        <v>88.879440000000017</v>
      </c>
      <c r="GB30" s="14">
        <f t="shared" si="49"/>
        <v>24.294776159113649</v>
      </c>
      <c r="GC30" s="22">
        <f t="shared" si="25"/>
        <v>197.11175981045631</v>
      </c>
      <c r="GD30" s="62">
        <f t="shared" si="26"/>
        <v>486.77842647712299</v>
      </c>
      <c r="GE30" s="62">
        <f ca="1">AVERAGE(OFFSET($GD$3,0,0,'Données projet'!$E$17+1,1))-AVERAGE(OFFSET($H$3,0,0,'Données projet'!$E$17+1,1))</f>
        <v>459.64120566196812</v>
      </c>
      <c r="GF30" s="62">
        <f t="shared" si="50"/>
        <v>290.39826583283588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8.4</v>
      </c>
      <c r="N31" s="14">
        <f>IF('Données projet'!$A$36&gt;35,N30+M31-V30,IF(A31&lt;'Données projet'!$A$36,$K$205^A31,IF(A31='Données projet'!$A$36,'Données projet'!$B$36,N30+M31-V30)))</f>
        <v>154.19999999999999</v>
      </c>
      <c r="O31" s="14">
        <f>N31*VLOOKUP('Données projet'!$B$9,Paramètres!$A$1:$I$89,3,0)*VLOOKUP('Données projet'!$B$9,Paramètres!$A$1:$I$89,5,0)</f>
        <v>84.193200000000004</v>
      </c>
      <c r="P31" s="14">
        <f t="shared" si="33"/>
        <v>23.159375086981562</v>
      </c>
      <c r="Q31" s="22">
        <f t="shared" si="2"/>
        <v>186.97240160982622</v>
      </c>
      <c r="R31" s="62">
        <f t="shared" si="0"/>
        <v>477.86129049871511</v>
      </c>
      <c r="S31" s="62">
        <f ca="1">AVERAGE(OFFSET($R$3,0,0,'Données projet'!$E$9+1,1))-AVERAGE(OFFSET($H$3,0,0,'Données projet'!$E$9+1,1))</f>
        <v>170.27677128684815</v>
      </c>
      <c r="T31" s="62">
        <f t="shared" si="34"/>
        <v>243.47439640666289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4.3815520688022955</v>
      </c>
      <c r="AB31" s="23">
        <f>EXP(-LN(2)/2)*AB30+(1-EXP(-LN(2)/2))/(LN(2)/2)*V31*Y31*VLOOKUP('Données projet'!$B$9,Paramètres!$A$1:$I$89,3,0)*0.475*44/12</f>
        <v>3.480998713876037</v>
      </c>
      <c r="AC31" s="24">
        <f t="shared" si="3"/>
        <v>7.8625507826783325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11.4</v>
      </c>
      <c r="AI31" s="14">
        <f>IF('Données projet'!$A$62&gt;35,AI30+AH31-AQ30,IF(A31&lt;'Données projet'!$A$62,$AF$205^A31,IF(A31='Données projet'!$A$62,'Données projet'!$B$62,AI30+AH31-AQ30)))</f>
        <v>140.19999999999999</v>
      </c>
      <c r="AJ31" s="14">
        <f>AI31*VLOOKUP('Données projet'!$B$10,Paramètres!$A$1:$I$89,3,0)*VLOOKUP('Données projet'!$B$10,Paramètres!$A$1:$I$89,5,0)</f>
        <v>122.47872000000001</v>
      </c>
      <c r="AK31" s="14">
        <f t="shared" si="35"/>
        <v>32.252430308904003</v>
      </c>
      <c r="AL31" s="22">
        <f t="shared" si="4"/>
        <v>269.49008678800777</v>
      </c>
      <c r="AM31" s="62">
        <f t="shared" si="5"/>
        <v>560.37897567689663</v>
      </c>
      <c r="AN31" s="62">
        <f ca="1">AVERAGE(OFFSET($AM$3,0,0,'Données projet'!$E$10+1,1))-AVERAGE(OFFSET($H$3,0,0,'Données projet'!$E$10+1,1))</f>
        <v>327.826081588335</v>
      </c>
      <c r="AO31" s="62">
        <f t="shared" si="36"/>
        <v>348.84706693879735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7.0414639812772242</v>
      </c>
      <c r="AW31" s="23">
        <f>EXP(-LN(2)/2)*AW30+(1-EXP(-LN(2)/2))/(LN(2)/2)*AQ31*AT31*VLOOKUP('Données projet'!$B$10,Paramètres!$A$1:$I$89,3,0)*0.475*44/12</f>
        <v>5.3913019181835251</v>
      </c>
      <c r="AX31" s="23">
        <f t="shared" si="6"/>
        <v>12.432765899460749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16.399999999999999</v>
      </c>
      <c r="BD31" s="13">
        <f>IF('Données projet'!$A$88&gt;35,BD30+BC31-BL30,IF(A31&lt;'Données projet'!$A$88,$BA$205^A31,IF(A31='Données projet'!$A$88,'Données projet'!$B$88,BD30+BC31-BL30)))</f>
        <v>172.20000000000005</v>
      </c>
      <c r="BE31" s="14">
        <f>BD31*VLOOKUP('Données projet'!$B$11,Paramètres!$A$1:$I$89,3,0)*VLOOKUP('Données projet'!$B$11,Paramètres!$A$1:$I$89,5,0)</f>
        <v>126.25704000000002</v>
      </c>
      <c r="BF31" s="14">
        <f t="shared" si="37"/>
        <v>33.130006114881255</v>
      </c>
      <c r="BG31" s="22">
        <f t="shared" si="7"/>
        <v>277.59910531675155</v>
      </c>
      <c r="BH31" s="62">
        <f t="shared" si="8"/>
        <v>568.48799420564046</v>
      </c>
      <c r="BI31" s="62">
        <f ca="1">AVERAGE(OFFSET($BH$3,0,0,'Données projet'!$E$11+1,1))-AVERAGE(OFFSET($H$3,0,0,'Données projet'!$E$11+1,1))</f>
        <v>376.5422416541544</v>
      </c>
      <c r="BJ31" s="62">
        <f t="shared" si="38"/>
        <v>365.76175372075869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13.533739671300296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13.533739671300296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>
        <f>VLOOKUP(A31,'Données projet'!$A$113:$I$133,2,0)</f>
        <v>350.06</v>
      </c>
      <c r="BW31" s="13">
        <f>VLOOKUP(A31,'Données projet'!$A$113:$I$133,9,0)</f>
        <v>28.629999999999995</v>
      </c>
      <c r="BX31" s="13">
        <f t="array" ref="BX31">INDEX(BW:BW,MIN(IF(ISNUMBER(BW31:BW227),ROW(BW31:BW227),"")))</f>
        <v>28.629999999999995</v>
      </c>
      <c r="BY31" s="13">
        <f>IF('Données projet'!$A$114&gt;35,BY30+BX31-CG30,IF(A31&lt;'Données projet'!$A$114,$BV$205^A31,IF(A31='Données projet'!$A$114,'Données projet'!$B$114,BY30+BX31-CG30)))</f>
        <v>350.06</v>
      </c>
      <c r="BZ31" s="14">
        <f>BY31*VLOOKUP('Données projet'!$B$12,Paramètres!$A$1:$I$89,3,0)*VLOOKUP('Données projet'!$B$12,Paramètres!$A$1:$I$89,5,0)</f>
        <v>195.68354000000002</v>
      </c>
      <c r="CA31" s="14">
        <f t="shared" si="39"/>
        <v>48.79433922175842</v>
      </c>
      <c r="CB31" s="22">
        <f t="shared" si="10"/>
        <v>425.79897297789597</v>
      </c>
      <c r="CC31" s="62">
        <f t="shared" si="11"/>
        <v>716.68786186678483</v>
      </c>
      <c r="CD31" s="62">
        <f ca="1">AVERAGE(OFFSET($CC$3,0,0,'Données projet'!$E$12+1,1))-AVERAGE(OFFSET($H$3,0,0,'Données projet'!$E$12+1,1))</f>
        <v>405.09126081846171</v>
      </c>
      <c r="CE31" s="62">
        <f t="shared" si="40"/>
        <v>534.22295841722166</v>
      </c>
      <c r="CF31" s="16">
        <f>IF(ISNA(VLOOKUP(A31,'Données projet'!$A$113:$I$133,3,0)),0,VLOOKUP(A31,'Données projet'!$A$113:$I$133,3,0))</f>
        <v>7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10.248591011825487</v>
      </c>
      <c r="CL31" s="23">
        <f>EXP(-LN(2)/25)*CL30+(1-EXP(-LN(2)/25))/(LN(2)/25)*Calculateur!CG31*Calculateur!CI31*VLOOKUP('Données projet'!$B$12,Paramètres!$A$1:$I$89,3,0)*0.475*44/12</f>
        <v>14.819779995906778</v>
      </c>
      <c r="CM31" s="23">
        <f>EXP(-LN(2)/2)*CM30+(1-EXP(-LN(2)/2))/(LN(2)/2)*CG31*CJ31*VLOOKUP('Données projet'!$B$12,Paramètres!$A$1:$I$89,3,0)*0.475*44/12</f>
        <v>3.1793441690652449</v>
      </c>
      <c r="CN31" s="24">
        <f t="shared" si="12"/>
        <v>28.247715176797513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5.2</v>
      </c>
      <c r="CT31" s="13">
        <f>IF('Données projet'!$A$140&gt;35,CT30+CS31-DB30,IF(A31&lt;'Données projet'!$A$140,$CQ$205^A31,IF(A31='Données projet'!$A$140,'Données projet'!$B$140,CT30+CS31-DB30)))</f>
        <v>143.59999999999997</v>
      </c>
      <c r="CU31" s="18">
        <f>CT31*VLOOKUP('Données projet'!$B$13,Paramètres!$A$1:$I$89,3,0)*VLOOKUP('Données projet'!$B$13,Paramètres!$A$1:$I$89,5,0)</f>
        <v>129.92927999999995</v>
      </c>
      <c r="CV31" s="14">
        <f t="shared" si="41"/>
        <v>33.980017499256149</v>
      </c>
      <c r="CW31" s="22">
        <f t="shared" si="13"/>
        <v>285.47535981120433</v>
      </c>
      <c r="CX31" s="62">
        <f t="shared" si="14"/>
        <v>576.36424870009319</v>
      </c>
      <c r="CY31" s="62">
        <f ca="1">AVERAGE(OFFSET($CX$3,0,0,'Données projet'!$E$13+1,1))-AVERAGE(OFFSET($H$3,0,0,'Données projet'!$E$13+1,1))</f>
        <v>244.82163392718377</v>
      </c>
      <c r="CZ31" s="62">
        <f t="shared" si="42"/>
        <v>342.30266518164211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4.4615784947681405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4.4615784947681405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12</v>
      </c>
      <c r="DO31" s="13">
        <f>IF('Données projet'!$A$166&gt;35,DO30+DN31-DW30,IF(A31&lt;'Données projet'!$A$166,$DL$205^A31,IF(A31='Données projet'!$A$166,'Données projet'!$B$166,DO30+DN31-DW30)))</f>
        <v>122.99999999999997</v>
      </c>
      <c r="DP31" s="18">
        <f>DO31*VLOOKUP('Données projet'!$B$14,Paramètres!$A$1:$I$89,3,0)*VLOOKUP('Données projet'!$B$14,Paramètres!$A$1:$I$89,5,0)</f>
        <v>97.858799999999988</v>
      </c>
      <c r="DQ31" s="14">
        <f t="shared" si="43"/>
        <v>26.45124536158788</v>
      </c>
      <c r="DR31" s="22">
        <f t="shared" si="16"/>
        <v>216.50666233809886</v>
      </c>
      <c r="DS31" s="62">
        <f t="shared" si="17"/>
        <v>507.39555122698772</v>
      </c>
      <c r="DT31" s="62">
        <f ca="1">AVERAGE(OFFSET($DS$3,0,0,'Données projet'!$E$14+1,1))-AVERAGE(OFFSET($H$3,0,0,'Données projet'!$E$14+1,1))</f>
        <v>298.89893065707554</v>
      </c>
      <c r="DU31" s="62">
        <f t="shared" si="44"/>
        <v>294.28794439094878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9.1999999999999993</v>
      </c>
      <c r="EJ31" s="13">
        <f>IF('Données projet'!$A$192&gt;35,EJ30+EI31-ER30,IF(A31&lt;'Données projet'!$A$192,$EG$205^A31,IF(A31='Données projet'!$A$192,'Données projet'!$B$192,EJ30+EI31-ER30)))</f>
        <v>102.60000000000002</v>
      </c>
      <c r="EK31" s="18">
        <f>EJ31*VLOOKUP('Données projet'!$B$15,Paramètres!$A$1:$I$89,3,0)*VLOOKUP('Données projet'!$B$15,Paramètres!$A$1:$I$89,5,0)</f>
        <v>92.832480000000018</v>
      </c>
      <c r="EL31" s="14">
        <f t="shared" si="45"/>
        <v>25.247114117480137</v>
      </c>
      <c r="EM31" s="22">
        <f t="shared" si="19"/>
        <v>205.65529308794461</v>
      </c>
      <c r="EN31" s="62">
        <f t="shared" si="20"/>
        <v>496.54418197683344</v>
      </c>
      <c r="EO31" s="62">
        <f ca="1">AVERAGE(OFFSET($EN$3,0,0,'Données projet'!$E$15+1,1))-AVERAGE(OFFSET($H$3,0,0,'Données projet'!$E$15+1,1))</f>
        <v>439.06700232017681</v>
      </c>
      <c r="EP31" s="62">
        <f t="shared" si="46"/>
        <v>278.21741231699929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3.3113911695736129</v>
      </c>
      <c r="EX31" s="23">
        <f>EXP(-LN(2)/2)*EX30+(1-EXP(-LN(2)/2))/(LN(2)/2)*ER31*EU31*VLOOKUP('Données projet'!$B$15,Paramètres!$A$1:$I$89,3,0)*0.475*44/12</f>
        <v>5.9158610237365155</v>
      </c>
      <c r="EY31" s="24">
        <f t="shared" si="21"/>
        <v>9.2272521933101288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9.1999999999999993</v>
      </c>
      <c r="FE31" s="13">
        <f>IF('Données projet'!$A$218&gt;35,FE30+FD31-FM30,IF(A31&lt;'Données projet'!$A$218,$FB$205^A31,IF(A31='Données projet'!$A$218,'Données projet'!$B$218,FE30+FD31-FM30)))</f>
        <v>102.60000000000002</v>
      </c>
      <c r="FF31" s="18">
        <f>FE31*VLOOKUP('Données projet'!$B$16,Paramètres!$A$1:$I$89,3,0)*VLOOKUP('Données projet'!$B$16,Paramètres!$A$1:$I$89,5,0)</f>
        <v>99.234720000000024</v>
      </c>
      <c r="FG31" s="14">
        <f t="shared" si="47"/>
        <v>26.779598706219044</v>
      </c>
      <c r="FH31" s="22">
        <f t="shared" si="22"/>
        <v>219.47493841333153</v>
      </c>
      <c r="FI31" s="62">
        <f t="shared" si="23"/>
        <v>510.36382730222039</v>
      </c>
      <c r="FJ31" s="62">
        <f ca="1">AVERAGE(OFFSET($FI$3,0,0,'Données projet'!$E$16+1,1))-AVERAGE(OFFSET($H$3,0,0,'Données projet'!$E$16+1,1))</f>
        <v>466.4945858005575</v>
      </c>
      <c r="FK31" s="62">
        <f t="shared" si="48"/>
        <v>294.45557293177131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9.3762906964511199</v>
      </c>
      <c r="FT31" s="24">
        <f t="shared" si="24"/>
        <v>9.3762906964511199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9.1999999999999993</v>
      </c>
      <c r="FZ31" s="13">
        <f>IF('Données projet'!$A$244&gt;35,FZ30+FY31-GH30,IF(A31&lt;'Données projet'!$A$244,$FW$205^A31,IF(A31='Données projet'!$A$244,'Données projet'!$B$244,FZ30+FY31-GH30)))</f>
        <v>102.60000000000002</v>
      </c>
      <c r="GA31" s="18">
        <f>FZ31*VLOOKUP('Données projet'!$B$17,Paramètres!$A$1:$I$89,3,0)*VLOOKUP('Données projet'!$B$17,Paramètres!$A$1:$I$89,5,0)</f>
        <v>97.634160000000023</v>
      </c>
      <c r="GB31" s="14">
        <f t="shared" si="49"/>
        <v>26.397585802010184</v>
      </c>
      <c r="GC31" s="22">
        <f t="shared" si="25"/>
        <v>216.02195727183445</v>
      </c>
      <c r="GD31" s="62">
        <f t="shared" si="26"/>
        <v>506.91084616072328</v>
      </c>
      <c r="GE31" s="62">
        <f ca="1">AVERAGE(OFFSET($GD$3,0,0,'Données projet'!$E$17+1,1))-AVERAGE(OFFSET($H$3,0,0,'Données projet'!$E$17+1,1))</f>
        <v>459.64120566196812</v>
      </c>
      <c r="GF31" s="62">
        <f t="shared" si="50"/>
        <v>290.39826583283588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8.4</v>
      </c>
      <c r="N32" s="14">
        <f>IF('Données projet'!$A$36&gt;35,N31+M32-V31,IF(A32&lt;'Données projet'!$A$36,$K$205^A32,IF(A32='Données projet'!$A$36,'Données projet'!$B$36,N31+M32-V31)))</f>
        <v>162.6</v>
      </c>
      <c r="O32" s="14">
        <f>N32*VLOOKUP('Données projet'!$B$9,Paramètres!$A$1:$I$89,3,0)*VLOOKUP('Données projet'!$B$9,Paramètres!$A$1:$I$89,5,0)</f>
        <v>88.779600000000002</v>
      </c>
      <c r="P32" s="14">
        <f t="shared" si="33"/>
        <v>24.270660436720163</v>
      </c>
      <c r="Q32" s="22">
        <f t="shared" si="2"/>
        <v>196.89587026062097</v>
      </c>
      <c r="R32" s="62">
        <f t="shared" si="0"/>
        <v>489.00698137173208</v>
      </c>
      <c r="S32" s="62">
        <f ca="1">AVERAGE(OFFSET($R$3,0,0,'Données projet'!$E$9+1,1))-AVERAGE(OFFSET($H$3,0,0,'Données projet'!$E$9+1,1))</f>
        <v>170.27677128684815</v>
      </c>
      <c r="T32" s="62">
        <f t="shared" si="34"/>
        <v>243.47439640666289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4.2617382970650874</v>
      </c>
      <c r="AB32" s="23">
        <f>EXP(-LN(2)/2)*AB31+(1-EXP(-LN(2)/2))/(LN(2)/2)*V32*Y32*VLOOKUP('Données projet'!$B$9,Paramètres!$A$1:$I$89,3,0)*0.475*44/12</f>
        <v>2.4614377958833966</v>
      </c>
      <c r="AC32" s="24">
        <f t="shared" si="3"/>
        <v>6.7231760929484841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11.4</v>
      </c>
      <c r="AI32" s="14">
        <f>IF('Données projet'!$A$62&gt;35,AI31+AH32-AQ31,IF(A32&lt;'Données projet'!$A$62,$AF$205^A32,IF(A32='Données projet'!$A$62,'Données projet'!$B$62,AI31+AH32-AQ31)))</f>
        <v>151.6</v>
      </c>
      <c r="AJ32" s="14">
        <f>AI32*VLOOKUP('Données projet'!$B$10,Paramètres!$A$1:$I$89,3,0)*VLOOKUP('Données projet'!$B$10,Paramètres!$A$1:$I$89,5,0)</f>
        <v>132.43776</v>
      </c>
      <c r="AK32" s="14">
        <f t="shared" si="35"/>
        <v>34.559043580858436</v>
      </c>
      <c r="AL32" s="22">
        <f t="shared" si="4"/>
        <v>290.85276623666175</v>
      </c>
      <c r="AM32" s="62">
        <f t="shared" si="5"/>
        <v>582.96387734777295</v>
      </c>
      <c r="AN32" s="62">
        <f ca="1">AVERAGE(OFFSET($AM$3,0,0,'Données projet'!$E$10+1,1))-AVERAGE(OFFSET($H$3,0,0,'Données projet'!$E$10+1,1))</f>
        <v>327.826081588335</v>
      </c>
      <c r="AO32" s="62">
        <f t="shared" si="36"/>
        <v>348.84706693879735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6.8489147784147013</v>
      </c>
      <c r="AW32" s="23">
        <f>EXP(-LN(2)/2)*AW31+(1-EXP(-LN(2)/2))/(LN(2)/2)*AQ32*AT32*VLOOKUP('Données projet'!$B$10,Paramètres!$A$1:$I$89,3,0)*0.475*44/12</f>
        <v>3.812226145771612</v>
      </c>
      <c r="AX32" s="23">
        <f t="shared" si="6"/>
        <v>10.661140924186313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16.399999999999999</v>
      </c>
      <c r="BD32" s="13">
        <f>IF('Données projet'!$A$88&gt;35,BD31+BC32-BL31,IF(A32&lt;'Données projet'!$A$88,$BA$205^A32,IF(A32='Données projet'!$A$88,'Données projet'!$B$88,BD31+BC32-BL31)))</f>
        <v>188.60000000000005</v>
      </c>
      <c r="BE32" s="14">
        <f>BD32*VLOOKUP('Données projet'!$B$11,Paramètres!$A$1:$I$89,3,0)*VLOOKUP('Données projet'!$B$11,Paramètres!$A$1:$I$89,5,0)</f>
        <v>138.28152000000003</v>
      </c>
      <c r="BF32" s="14">
        <f t="shared" si="37"/>
        <v>35.903043322174675</v>
      </c>
      <c r="BG32" s="22">
        <f t="shared" si="7"/>
        <v>303.37144778612094</v>
      </c>
      <c r="BH32" s="62">
        <f t="shared" si="8"/>
        <v>595.48255889723214</v>
      </c>
      <c r="BI32" s="62">
        <f ca="1">AVERAGE(OFFSET($BH$3,0,0,'Données projet'!$E$11+1,1))-AVERAGE(OFFSET($H$3,0,0,'Données projet'!$E$11+1,1))</f>
        <v>376.5422416541544</v>
      </c>
      <c r="BJ32" s="62">
        <f t="shared" si="38"/>
        <v>365.76175372075869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13.268351291112205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13.268351291112205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30.25</v>
      </c>
      <c r="BY32" s="13">
        <f>IF('Données projet'!$A$114&gt;35,BY31+BX32-CG31,IF(A32&lt;'Données projet'!$A$114,$BV$205^A32,IF(A32='Données projet'!$A$114,'Données projet'!$B$114,BY31+BX32-CG31)))</f>
        <v>380.31</v>
      </c>
      <c r="BZ32" s="14">
        <f>BY32*VLOOKUP('Données projet'!$B$12,Paramètres!$A$1:$I$89,3,0)*VLOOKUP('Données projet'!$B$12,Paramètres!$A$1:$I$89,5,0)</f>
        <v>212.59329</v>
      </c>
      <c r="CA32" s="14">
        <f t="shared" si="39"/>
        <v>52.501879375758435</v>
      </c>
      <c r="CB32" s="22">
        <f t="shared" si="10"/>
        <v>461.70741999611255</v>
      </c>
      <c r="CC32" s="62">
        <f t="shared" si="11"/>
        <v>753.81853110722363</v>
      </c>
      <c r="CD32" s="62">
        <f ca="1">AVERAGE(OFFSET($CC$3,0,0,'Données projet'!$E$12+1,1))-AVERAGE(OFFSET($H$3,0,0,'Données projet'!$E$12+1,1))</f>
        <v>405.09126081846171</v>
      </c>
      <c r="CE32" s="62">
        <f t="shared" si="40"/>
        <v>534.22295841722166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10.04762239310687</v>
      </c>
      <c r="CL32" s="23">
        <f>EXP(-LN(2)/25)*CL31+(1-EXP(-LN(2)/25))/(LN(2)/25)*Calculateur!CG32*Calculateur!CI32*VLOOKUP('Données projet'!$B$12,Paramètres!$A$1:$I$89,3,0)*0.475*44/12</f>
        <v>14.414532332580348</v>
      </c>
      <c r="CM32" s="23">
        <f>EXP(-LN(2)/2)*CM31+(1-EXP(-LN(2)/2))/(LN(2)/2)*CG32*CJ32*VLOOKUP('Données projet'!$B$12,Paramètres!$A$1:$I$89,3,0)*0.475*44/12</f>
        <v>2.2481358216719438</v>
      </c>
      <c r="CN32" s="24">
        <f t="shared" si="12"/>
        <v>26.710290547359165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5.2</v>
      </c>
      <c r="CT32" s="13">
        <f>IF('Données projet'!$A$140&gt;35,CT31+CS32-DB31,IF(A32&lt;'Données projet'!$A$140,$CQ$205^A32,IF(A32='Données projet'!$A$140,'Données projet'!$B$140,CT31+CS32-DB31)))</f>
        <v>148.79999999999995</v>
      </c>
      <c r="CU32" s="18">
        <f>CT32*VLOOKUP('Données projet'!$B$13,Paramètres!$A$1:$I$89,3,0)*VLOOKUP('Données projet'!$B$13,Paramètres!$A$1:$I$89,5,0)</f>
        <v>134.63423999999998</v>
      </c>
      <c r="CV32" s="14">
        <f t="shared" si="41"/>
        <v>35.065003380589694</v>
      </c>
      <c r="CW32" s="22">
        <f t="shared" si="13"/>
        <v>295.55951555452697</v>
      </c>
      <c r="CX32" s="62">
        <f t="shared" si="14"/>
        <v>587.67062666563811</v>
      </c>
      <c r="CY32" s="62">
        <f ca="1">AVERAGE(OFFSET($CX$3,0,0,'Données projet'!$E$13+1,1))-AVERAGE(OFFSET($H$3,0,0,'Données projet'!$E$13+1,1))</f>
        <v>244.82163392718377</v>
      </c>
      <c r="CZ32" s="62">
        <f t="shared" si="42"/>
        <v>342.30266518164211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4.3740896617799132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4.3740896617799132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12</v>
      </c>
      <c r="DO32" s="13">
        <f>IF('Données projet'!$A$166&gt;35,DO31+DN32-DW31,IF(A32&lt;'Données projet'!$A$166,$DL$205^A32,IF(A32='Données projet'!$A$166,'Données projet'!$B$166,DO31+DN32-DW31)))</f>
        <v>134.99999999999997</v>
      </c>
      <c r="DP32" s="18">
        <f>DO32*VLOOKUP('Données projet'!$B$14,Paramètres!$A$1:$I$89,3,0)*VLOOKUP('Données projet'!$B$14,Paramètres!$A$1:$I$89,5,0)</f>
        <v>107.40599999999998</v>
      </c>
      <c r="DQ32" s="14">
        <f t="shared" si="43"/>
        <v>28.718971683040337</v>
      </c>
      <c r="DR32" s="22">
        <f t="shared" si="16"/>
        <v>237.08432568129521</v>
      </c>
      <c r="DS32" s="62">
        <f t="shared" si="17"/>
        <v>529.19543679240633</v>
      </c>
      <c r="DT32" s="62">
        <f ca="1">AVERAGE(OFFSET($DS$3,0,0,'Données projet'!$E$14+1,1))-AVERAGE(OFFSET($H$3,0,0,'Données projet'!$E$14+1,1))</f>
        <v>298.89893065707554</v>
      </c>
      <c r="DU32" s="62">
        <f t="shared" si="44"/>
        <v>294.28794439094878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9.1999999999999993</v>
      </c>
      <c r="EJ32" s="13">
        <f>IF('Données projet'!$A$192&gt;35,EJ31+EI32-ER31,IF(A32&lt;'Données projet'!$A$192,$EG$205^A32,IF(A32='Données projet'!$A$192,'Données projet'!$B$192,EJ31+EI32-ER31)))</f>
        <v>111.80000000000003</v>
      </c>
      <c r="EK32" s="18">
        <f>EJ32*VLOOKUP('Données projet'!$B$15,Paramètres!$A$1:$I$89,3,0)*VLOOKUP('Données projet'!$B$15,Paramètres!$A$1:$I$89,5,0)</f>
        <v>101.15664000000001</v>
      </c>
      <c r="EL32" s="14">
        <f t="shared" si="45"/>
        <v>27.237366379381644</v>
      </c>
      <c r="EM32" s="22">
        <f t="shared" si="19"/>
        <v>223.61956111075639</v>
      </c>
      <c r="EN32" s="62">
        <f t="shared" si="20"/>
        <v>515.73067222186751</v>
      </c>
      <c r="EO32" s="62">
        <f ca="1">AVERAGE(OFFSET($EN$3,0,0,'Données projet'!$E$15+1,1))-AVERAGE(OFFSET($H$3,0,0,'Données projet'!$E$15+1,1))</f>
        <v>439.06700232017681</v>
      </c>
      <c r="EP32" s="62">
        <f t="shared" si="46"/>
        <v>278.21741231699929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3.220841003903129</v>
      </c>
      <c r="EX32" s="23">
        <f>EXP(-LN(2)/2)*EX31+(1-EXP(-LN(2)/2))/(LN(2)/2)*ER32*EU32*VLOOKUP('Données projet'!$B$15,Paramètres!$A$1:$I$89,3,0)*0.475*44/12</f>
        <v>4.1831454464412818</v>
      </c>
      <c r="EY32" s="24">
        <f t="shared" si="21"/>
        <v>7.4039864503444104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9.1999999999999993</v>
      </c>
      <c r="FE32" s="13">
        <f>IF('Données projet'!$A$218&gt;35,FE31+FD32-FM31,IF(A32&lt;'Données projet'!$A$218,$FB$205^A32,IF(A32='Données projet'!$A$218,'Données projet'!$B$218,FE31+FD32-FM31)))</f>
        <v>111.80000000000003</v>
      </c>
      <c r="FF32" s="18">
        <f>FE32*VLOOKUP('Données projet'!$B$16,Paramètres!$A$1:$I$89,3,0)*VLOOKUP('Données projet'!$B$16,Paramètres!$A$1:$I$89,5,0)</f>
        <v>108.13296000000003</v>
      </c>
      <c r="FG32" s="14">
        <f t="shared" si="47"/>
        <v>28.890658079177882</v>
      </c>
      <c r="FH32" s="22">
        <f t="shared" si="22"/>
        <v>238.64946815456821</v>
      </c>
      <c r="FI32" s="62">
        <f t="shared" si="23"/>
        <v>530.76057926567933</v>
      </c>
      <c r="FJ32" s="62">
        <f ca="1">AVERAGE(OFFSET($FI$3,0,0,'Données projet'!$E$16+1,1))-AVERAGE(OFFSET($H$3,0,0,'Données projet'!$E$16+1,1))</f>
        <v>466.4945858005575</v>
      </c>
      <c r="FK32" s="62">
        <f t="shared" si="48"/>
        <v>294.45557293177131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6.6300387338369235</v>
      </c>
      <c r="FT32" s="24">
        <f t="shared" si="24"/>
        <v>6.6300387338369235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9.1999999999999993</v>
      </c>
      <c r="FZ32" s="13">
        <f>IF('Données projet'!$A$244&gt;35,FZ31+FY32-GH31,IF(A32&lt;'Données projet'!$A$244,$FW$205^A32,IF(A32='Données projet'!$A$244,'Données projet'!$B$244,FZ31+FY32-GH31)))</f>
        <v>111.80000000000003</v>
      </c>
      <c r="GA32" s="18">
        <f>FZ32*VLOOKUP('Données projet'!$B$17,Paramètres!$A$1:$I$89,3,0)*VLOOKUP('Données projet'!$B$17,Paramètres!$A$1:$I$89,5,0)</f>
        <v>106.38888000000001</v>
      </c>
      <c r="GB32" s="14">
        <f t="shared" si="49"/>
        <v>28.478530760975403</v>
      </c>
      <c r="GC32" s="22">
        <f t="shared" si="25"/>
        <v>234.89407374203219</v>
      </c>
      <c r="GD32" s="62">
        <f t="shared" si="26"/>
        <v>527.00518485314331</v>
      </c>
      <c r="GE32" s="62">
        <f ca="1">AVERAGE(OFFSET($GD$3,0,0,'Données projet'!$E$17+1,1))-AVERAGE(OFFSET($H$3,0,0,'Données projet'!$E$17+1,1))</f>
        <v>459.64120566196812</v>
      </c>
      <c r="GF32" s="62">
        <f t="shared" si="50"/>
        <v>290.39826583283588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171</v>
      </c>
      <c r="L33" s="13">
        <f>VLOOKUP(A33,'Données projet'!$A$35:$I$55,9,0)</f>
        <v>8.4</v>
      </c>
      <c r="M33" s="13">
        <f t="array" ref="M33">INDEX(L:L,MIN(IF(ISNUMBER(L33:L229),ROW(L33:L229),"")))</f>
        <v>8.4</v>
      </c>
      <c r="N33" s="14">
        <f>IF('Données projet'!$A$36&gt;35,N32+M33-V32,IF(A33&lt;'Données projet'!$A$36,$K$205^A33,IF(A33='Données projet'!$A$36,'Données projet'!$B$36,N32+M33-V32)))</f>
        <v>171</v>
      </c>
      <c r="O33" s="14">
        <f>N33*VLOOKUP('Données projet'!$B$9,Paramètres!$A$1:$I$89,3,0)*VLOOKUP('Données projet'!$B$9,Paramètres!$A$1:$I$89,5,0)</f>
        <v>93.366</v>
      </c>
      <c r="P33" s="14">
        <f t="shared" si="33"/>
        <v>25.375280233490678</v>
      </c>
      <c r="Q33" s="22">
        <f t="shared" si="2"/>
        <v>206.80772973999626</v>
      </c>
      <c r="R33" s="62">
        <f t="shared" si="0"/>
        <v>500.14106307332958</v>
      </c>
      <c r="S33" s="62">
        <f ca="1">AVERAGE(OFFSET($R$3,0,0,'Données projet'!$E$9+1,1))-AVERAGE(OFFSET($H$3,0,0,'Données projet'!$E$9+1,1))</f>
        <v>170.27677128684815</v>
      </c>
      <c r="T33" s="62">
        <f t="shared" si="34"/>
        <v>243.47439640666289</v>
      </c>
      <c r="U33" s="16">
        <f>IF(ISNA(VLOOKUP(A33,'Données projet'!$A$35:$I$55,3,0)),0,VLOOKUP(A33,'Données projet'!$A$35:$I$55,3,0))</f>
        <v>5</v>
      </c>
      <c r="V33" s="16">
        <f>IF(ISNA(VLOOKUP(A33,'Données projet'!$A$35:$I$55,4,0)),0,VLOOKUP(A33,'Données projet'!$A$35:$I$55,4,0))</f>
        <v>19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0.3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8.2574791263836715</v>
      </c>
      <c r="AB33" s="23">
        <f>EXP(-LN(2)/2)*AB32+(1-EXP(-LN(2)/2))/(LN(2)/2)*V33*Y33*VLOOKUP('Données projet'!$B$9,Paramètres!$A$1:$I$89,3,0)*0.475*44/12</f>
        <v>7.6133882842077991</v>
      </c>
      <c r="AC33" s="24">
        <f t="shared" si="3"/>
        <v>15.870867410591471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163</v>
      </c>
      <c r="AG33" s="13">
        <f>VLOOKUP(A33,'Données projet'!$A$61:$I$81,9,0)</f>
        <v>11.4</v>
      </c>
      <c r="AH33" s="13">
        <f t="array" ref="AH33">INDEX(AG:AG,MIN(IF(ISNUMBER(AG33:AG229),ROW(AG33:AG229),"")))</f>
        <v>11.4</v>
      </c>
      <c r="AI33" s="14">
        <f>IF('Données projet'!$A$62&gt;35,AI32+AH33-AQ32,IF(A33&lt;'Données projet'!$A$62,$AF$205^A33,IF(A33='Données projet'!$A$62,'Données projet'!$B$62,AI32+AH33-AQ32)))</f>
        <v>163</v>
      </c>
      <c r="AJ33" s="14">
        <f>AI33*VLOOKUP('Données projet'!$B$10,Paramètres!$A$1:$I$89,3,0)*VLOOKUP('Données projet'!$B$10,Paramètres!$A$1:$I$89,5,0)</f>
        <v>142.39680000000004</v>
      </c>
      <c r="AK33" s="14">
        <f t="shared" si="35"/>
        <v>36.845535084476985</v>
      </c>
      <c r="AL33" s="22">
        <f t="shared" si="4"/>
        <v>312.18040027213078</v>
      </c>
      <c r="AM33" s="62">
        <f t="shared" si="5"/>
        <v>605.51373360546404</v>
      </c>
      <c r="AN33" s="62">
        <f ca="1">AVERAGE(OFFSET($AM$3,0,0,'Données projet'!$E$10+1,1))-AVERAGE(OFFSET($H$3,0,0,'Données projet'!$E$10+1,1))</f>
        <v>327.826081588335</v>
      </c>
      <c r="AO33" s="62">
        <f t="shared" si="36"/>
        <v>348.84706693879735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0.25800000000000001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15.844276113640767</v>
      </c>
      <c r="AW33" s="23">
        <f>EXP(-LN(2)/2)*AW32+(1-EXP(-LN(2)/2))/(LN(2)/2)*AQ33*AT33*VLOOKUP('Données projet'!$B$10,Paramètres!$A$1:$I$89,3,0)*0.475*44/12</f>
        <v>14.894774625560919</v>
      </c>
      <c r="AX33" s="23">
        <f t="shared" si="6"/>
        <v>30.739050739201687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205</v>
      </c>
      <c r="BB33" s="13">
        <f>VLOOKUP(A33,'Données projet'!$A$87:$I$107,9,0)</f>
        <v>16.399999999999999</v>
      </c>
      <c r="BC33" s="13">
        <f t="array" ref="BC33">INDEX(BB:BB,MIN(IF(ISNUMBER(BB33:BB229),ROW(BB33:BB229),"")))</f>
        <v>16.399999999999999</v>
      </c>
      <c r="BD33" s="13">
        <f>IF('Données projet'!$A$88&gt;35,BD32+BC33-BL32,IF(A33&lt;'Données projet'!$A$88,$BA$205^A33,IF(A33='Données projet'!$A$88,'Données projet'!$B$88,BD32+BC33-BL32)))</f>
        <v>205.00000000000006</v>
      </c>
      <c r="BE33" s="14">
        <f>BD33*VLOOKUP('Données projet'!$B$11,Paramètres!$A$1:$I$89,3,0)*VLOOKUP('Données projet'!$B$11,Paramètres!$A$1:$I$89,5,0)</f>
        <v>150.30600000000004</v>
      </c>
      <c r="BF33" s="14">
        <f t="shared" si="37"/>
        <v>38.648116968856677</v>
      </c>
      <c r="BG33" s="22">
        <f t="shared" si="7"/>
        <v>329.09508705409212</v>
      </c>
      <c r="BH33" s="62">
        <f t="shared" si="8"/>
        <v>622.42842038742538</v>
      </c>
      <c r="BI33" s="62">
        <f ca="1">AVERAGE(OFFSET($BH$3,0,0,'Données projet'!$E$11+1,1))-AVERAGE(OFFSET($H$3,0,0,'Données projet'!$E$11+1,1))</f>
        <v>376.5422416541544</v>
      </c>
      <c r="BJ33" s="62">
        <f t="shared" si="38"/>
        <v>365.76175372075869</v>
      </c>
      <c r="BK33" s="16">
        <f>IF(ISNA(VLOOKUP(A33,'Données projet'!$A$87:$I$107,3,0)),0,VLOOKUP(A33,'Données projet'!$A$87:$I$107,3,0))</f>
        <v>5</v>
      </c>
      <c r="BL33" s="16">
        <f>IF(ISNA(VLOOKUP(A33,'Données projet'!$A$87:$I$107,4,0)),0,VLOOKUP(A33,'Données projet'!$A$87:$I$107,4,0))</f>
        <v>42</v>
      </c>
      <c r="BM33" s="17">
        <f>IF(ISNA(VLOOKUP(A33,'Données projet'!$A$87:$I$107,5,0)),0%,VLOOKUP(A33,'Données projet'!$A$87:$I$107,5,0)*VLOOKUP('Données projet'!$B$11,Paramètres!$A$1:$I$89,7,0))</f>
        <v>0.34400000000000003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24.718717202277055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24.718717202277055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410.56</v>
      </c>
      <c r="BW33" s="13">
        <f>VLOOKUP(A33,'Données projet'!$A$113:$I$133,9,0)</f>
        <v>30.25</v>
      </c>
      <c r="BX33" s="13">
        <f t="array" ref="BX33">INDEX(BW:BW,MIN(IF(ISNUMBER(BW33:BW229),ROW(BW33:BW229),"")))</f>
        <v>30.25</v>
      </c>
      <c r="BY33" s="13">
        <f>IF('Données projet'!$A$114&gt;35,BY32+BX33-CG32,IF(A33&lt;'Données projet'!$A$114,$BV$205^A33,IF(A33='Données projet'!$A$114,'Données projet'!$B$114,BY32+BX33-CG32)))</f>
        <v>410.56</v>
      </c>
      <c r="BZ33" s="14">
        <f>BY33*VLOOKUP('Données projet'!$B$12,Paramètres!$A$1:$I$89,3,0)*VLOOKUP('Données projet'!$B$12,Paramètres!$A$1:$I$89,5,0)</f>
        <v>229.50304</v>
      </c>
      <c r="CA33" s="14">
        <f t="shared" si="39"/>
        <v>56.175213636682351</v>
      </c>
      <c r="CB33" s="22">
        <f t="shared" si="10"/>
        <v>497.55629175055515</v>
      </c>
      <c r="CC33" s="62">
        <f t="shared" si="11"/>
        <v>790.8896250838884</v>
      </c>
      <c r="CD33" s="62">
        <f ca="1">AVERAGE(OFFSET($CC$3,0,0,'Données projet'!$E$12+1,1))-AVERAGE(OFFSET($H$3,0,0,'Données projet'!$E$12+1,1))</f>
        <v>405.09126081846171</v>
      </c>
      <c r="CE33" s="62">
        <f t="shared" si="40"/>
        <v>534.22295841722166</v>
      </c>
      <c r="CF33" s="16">
        <f>IF(ISNA(VLOOKUP(A33,'Données projet'!$A$113:$I$133,3,0)),0,VLOOKUP(A33,'Données projet'!$A$113:$I$133,3,0))</f>
        <v>8</v>
      </c>
      <c r="CG33" s="16">
        <f>IF(ISNA(VLOOKUP(A33,'Données projet'!$A$113:$I$133,4,0)),0,VLOOKUP(A33,'Données projet'!$A$113:$I$133,4,0))</f>
        <v>80.97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9.8505946464225715</v>
      </c>
      <c r="CL33" s="23">
        <f>EXP(-LN(2)/25)*CL32+(1-EXP(-LN(2)/25))/(LN(2)/25)*Calculateur!CG33*Calculateur!CI33*VLOOKUP('Données projet'!$B$12,Paramètres!$A$1:$I$89,3,0)*0.475*44/12</f>
        <v>14.020366187918629</v>
      </c>
      <c r="CM33" s="23">
        <f>EXP(-LN(2)/2)*CM32+(1-EXP(-LN(2)/2))/(LN(2)/2)*CG33*CJ33*VLOOKUP('Données projet'!$B$12,Paramètres!$A$1:$I$89,3,0)*0.475*44/12</f>
        <v>1.5896720845326224</v>
      </c>
      <c r="CN33" s="24">
        <f t="shared" si="12"/>
        <v>25.460632918873824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154</v>
      </c>
      <c r="CR33" s="13">
        <f>VLOOKUP(A33,'Données projet'!$A$139:$I$159,9,0)</f>
        <v>5.2</v>
      </c>
      <c r="CS33" s="13">
        <f t="array" ref="CS33">INDEX(CR:CR,MIN(IF(ISNUMBER(CR33:CR229),ROW(CR33:CR229),"")))</f>
        <v>5.2</v>
      </c>
      <c r="CT33" s="13">
        <f>IF('Données projet'!$A$140&gt;35,CT32+CS33-DB32,IF(A33&lt;'Données projet'!$A$140,$CQ$205^A33,IF(A33='Données projet'!$A$140,'Données projet'!$B$140,CT32+CS33-DB32)))</f>
        <v>153.99999999999994</v>
      </c>
      <c r="CU33" s="18">
        <f>CT33*VLOOKUP('Données projet'!$B$13,Paramètres!$A$1:$I$89,3,0)*VLOOKUP('Données projet'!$B$13,Paramètres!$A$1:$I$89,5,0)</f>
        <v>139.33919999999995</v>
      </c>
      <c r="CV33" s="14">
        <f t="shared" si="41"/>
        <v>36.145583836349623</v>
      </c>
      <c r="CW33" s="22">
        <f t="shared" si="13"/>
        <v>305.63599851497548</v>
      </c>
      <c r="CX33" s="62">
        <f t="shared" si="14"/>
        <v>598.9693318483088</v>
      </c>
      <c r="CY33" s="62">
        <f ca="1">AVERAGE(OFFSET($CX$3,0,0,'Données projet'!$E$13+1,1))-AVERAGE(OFFSET($H$3,0,0,'Données projet'!$E$13+1,1))</f>
        <v>244.82163392718377</v>
      </c>
      <c r="CZ33" s="62">
        <f t="shared" si="42"/>
        <v>342.30266518164211</v>
      </c>
      <c r="DA33" s="16">
        <f>IF(ISNA(VLOOKUP(A33,'Données projet'!$A$139:$I$159,3,0)),0,VLOOKUP(A33,'Données projet'!$A$139:$I$159,3,0))</f>
        <v>6</v>
      </c>
      <c r="DB33" s="16">
        <f>IF(ISNA(VLOOKUP(A33,'Données projet'!$A$139:$I$159,4,0)),0,VLOOKUP(A33,'Données projet'!$A$139:$I$159,4,0))</f>
        <v>6</v>
      </c>
      <c r="DC33" s="17">
        <f>IF(ISNA(VLOOKUP(A33,'Données projet'!$A$139:$I$159,5,0)),0%,VLOOKUP(A33,'Données projet'!$A$139:$I$159,5,0)*VLOOKUP('Données projet'!$B$13,Paramètres!$A$1:$I$89,7,0))</f>
        <v>0.27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5.9086883824739562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5.9086883824739562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147</v>
      </c>
      <c r="DM33" s="13">
        <f>VLOOKUP(A33,'Données projet'!$A$165:$I$185,9,0)</f>
        <v>12</v>
      </c>
      <c r="DN33" s="13">
        <f t="array" ref="DN33">INDEX(DM:DM,MIN(IF(ISNUMBER(DM33:DM229),ROW(DM33:DM229),"")))</f>
        <v>12</v>
      </c>
      <c r="DO33" s="13">
        <f>IF('Données projet'!$A$166&gt;35,DO32+DN33-DW32,IF(A33&lt;'Données projet'!$A$166,$DL$205^A33,IF(A33='Données projet'!$A$166,'Données projet'!$B$166,DO32+DN33-DW32)))</f>
        <v>146.99999999999997</v>
      </c>
      <c r="DP33" s="18">
        <f>DO33*VLOOKUP('Données projet'!$B$14,Paramètres!$A$1:$I$89,3,0)*VLOOKUP('Données projet'!$B$14,Paramètres!$A$1:$I$89,5,0)</f>
        <v>116.95319999999998</v>
      </c>
      <c r="DQ33" s="14">
        <f t="shared" si="43"/>
        <v>30.963323095281662</v>
      </c>
      <c r="DR33" s="22">
        <f t="shared" si="16"/>
        <v>257.62127772428215</v>
      </c>
      <c r="DS33" s="62">
        <f t="shared" si="17"/>
        <v>550.95461105761547</v>
      </c>
      <c r="DT33" s="62">
        <f ca="1">AVERAGE(OFFSET($DS$3,0,0,'Données projet'!$E$14+1,1))-AVERAGE(OFFSET($H$3,0,0,'Données projet'!$E$14+1,1))</f>
        <v>298.89893065707554</v>
      </c>
      <c r="DU33" s="62">
        <f t="shared" si="44"/>
        <v>294.28794439094878</v>
      </c>
      <c r="DV33" s="16">
        <f>IF(ISNA(VLOOKUP(A33,'Données projet'!$A$165:$I$185,3,0)),0,VLOOKUP(A33,'Données projet'!$A$165:$I$185,3,0))</f>
        <v>4</v>
      </c>
      <c r="DW33" s="16">
        <f>IF(ISNA(VLOOKUP(A33,'Données projet'!$A$165:$I$185,4,0)),0,VLOOKUP(A33,'Données projet'!$A$165:$I$185,4,0))</f>
        <v>28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121</v>
      </c>
      <c r="EH33" s="13">
        <f>VLOOKUP(A33,'Données projet'!$A$191:$I$211,9,0)</f>
        <v>9.1999999999999993</v>
      </c>
      <c r="EI33" s="13">
        <f t="array" ref="EI33">INDEX(EH:EH,MIN(IF(ISNUMBER(EH33:EH229),ROW(EH33:EH229),"")))</f>
        <v>9.1999999999999993</v>
      </c>
      <c r="EJ33" s="13">
        <f>IF('Données projet'!$A$192&gt;35,EJ32+EI33-ER32,IF(A33&lt;'Données projet'!$A$192,$EG$205^A33,IF(A33='Données projet'!$A$192,'Données projet'!$B$192,EJ32+EI33-ER32)))</f>
        <v>121.00000000000003</v>
      </c>
      <c r="EK33" s="18">
        <f>EJ33*VLOOKUP('Données projet'!$B$15,Paramètres!$A$1:$I$89,3,0)*VLOOKUP('Données projet'!$B$15,Paramètres!$A$1:$I$89,5,0)</f>
        <v>109.48080000000002</v>
      </c>
      <c r="EL33" s="14">
        <f t="shared" si="45"/>
        <v>29.208623339903898</v>
      </c>
      <c r="EM33" s="22">
        <f t="shared" si="19"/>
        <v>241.55074565033269</v>
      </c>
      <c r="EN33" s="62">
        <f t="shared" si="20"/>
        <v>534.88407898366597</v>
      </c>
      <c r="EO33" s="62">
        <f ca="1">AVERAGE(OFFSET($EN$3,0,0,'Données projet'!$E$15+1,1))-AVERAGE(OFFSET($H$3,0,0,'Données projet'!$E$15+1,1))</f>
        <v>439.06700232017681</v>
      </c>
      <c r="EP33" s="62">
        <f t="shared" si="46"/>
        <v>278.21741231699929</v>
      </c>
      <c r="EQ33" s="16">
        <f>IF(ISNA(VLOOKUP(A33,'Données projet'!$A$191:$I$211,3,0)),0,VLOOKUP(A33,'Données projet'!$A$191:$I$211,3,0))</f>
        <v>3</v>
      </c>
      <c r="ER33" s="16">
        <f>IF(ISNA(VLOOKUP(A33,'Données projet'!$A$191:$I$211,4,0)),0,VLOOKUP(A33,'Données projet'!$A$191:$I$211,4,0))</f>
        <v>28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0.215</v>
      </c>
      <c r="EU33" s="17">
        <f>IF(ISNA(VLOOKUP(A33,'Données projet'!$A$191:$I$211,7,0)),0%,VLOOKUP(A33,'Données projet'!$A$191:$I$211,7,0))</f>
        <v>0.5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9.1304406496690369</v>
      </c>
      <c r="EX33" s="23">
        <f>EXP(-LN(2)/2)*EX32+(1-EXP(-LN(2)/2))/(LN(2)/2)*ER33*EU33*VLOOKUP('Données projet'!$B$15,Paramètres!$A$1:$I$89,3,0)*0.475*44/12</f>
        <v>14.909774644557633</v>
      </c>
      <c r="EY33" s="24">
        <f t="shared" si="21"/>
        <v>24.04021529422667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121</v>
      </c>
      <c r="FC33" s="13">
        <f>VLOOKUP(A33,'Données projet'!$A$217:$I$237,9,0)</f>
        <v>9.1999999999999993</v>
      </c>
      <c r="FD33" s="13">
        <f t="array" ref="FD33">INDEX(FC:FC,MIN(IF(ISNUMBER(FC33:FC229),ROW(FC33:FC229),"")))</f>
        <v>9.1999999999999993</v>
      </c>
      <c r="FE33" s="13">
        <f>IF('Données projet'!$A$218&gt;35,FE32+FD33-FM32,IF(A33&lt;'Données projet'!$A$218,$FB$205^A33,IF(A33='Données projet'!$A$218,'Données projet'!$B$218,FE32+FD33-FM32)))</f>
        <v>121.00000000000003</v>
      </c>
      <c r="FF33" s="18">
        <f>FE33*VLOOKUP('Données projet'!$B$16,Paramètres!$A$1:$I$89,3,0)*VLOOKUP('Données projet'!$B$16,Paramètres!$A$1:$I$89,5,0)</f>
        <v>117.03120000000003</v>
      </c>
      <c r="FG33" s="14">
        <f t="shared" si="47"/>
        <v>30.981569147428555</v>
      </c>
      <c r="FH33" s="22">
        <f t="shared" si="22"/>
        <v>257.78890626510474</v>
      </c>
      <c r="FI33" s="62">
        <f t="shared" si="23"/>
        <v>551.122239598438</v>
      </c>
      <c r="FJ33" s="62">
        <f ca="1">AVERAGE(OFFSET($FI$3,0,0,'Données projet'!$E$16+1,1))-AVERAGE(OFFSET($H$3,0,0,'Données projet'!$E$16+1,1))</f>
        <v>466.4945858005575</v>
      </c>
      <c r="FK33" s="62">
        <f t="shared" si="48"/>
        <v>294.45557293177131</v>
      </c>
      <c r="FL33" s="16">
        <f>IF(ISNA(VLOOKUP(A33,'Données projet'!$A$217:$I$237,3,0)),0,VLOOKUP(A33,'Données projet'!$A$217:$I$237,3,0))</f>
        <v>3</v>
      </c>
      <c r="FM33" s="16">
        <f>IF(ISNA(VLOOKUP(A33,'Données projet'!$A$217:$I$237,4,0)),0,VLOOKUP(A33,'Données projet'!$A$217:$I$237,4,0))</f>
        <v>28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1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30.240363838802846</v>
      </c>
      <c r="FT33" s="24">
        <f t="shared" si="24"/>
        <v>30.240363838802846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121</v>
      </c>
      <c r="FX33" s="13">
        <f>VLOOKUP(A33,'Données projet'!$A$243:$I$263,9,0)</f>
        <v>9.1999999999999993</v>
      </c>
      <c r="FY33" s="13">
        <f t="array" ref="FY33">INDEX(FX:FX,MIN(IF(ISNUMBER(FX33:FX229),ROW(FX33:FX229),"")))</f>
        <v>9.1999999999999993</v>
      </c>
      <c r="FZ33" s="13">
        <f>IF('Données projet'!$A$244&gt;35,FZ32+FY33-GH32,IF(A33&lt;'Données projet'!$A$244,$FW$205^A33,IF(A33='Données projet'!$A$244,'Données projet'!$B$244,FZ32+FY33-GH32)))</f>
        <v>121.00000000000003</v>
      </c>
      <c r="GA33" s="18">
        <f>FZ33*VLOOKUP('Données projet'!$B$17,Paramètres!$A$1:$I$89,3,0)*VLOOKUP('Données projet'!$B$17,Paramètres!$A$1:$I$89,5,0)</f>
        <v>115.14360000000003</v>
      </c>
      <c r="GB33" s="14">
        <f t="shared" si="49"/>
        <v>30.539614832250251</v>
      </c>
      <c r="GC33" s="22">
        <f t="shared" si="25"/>
        <v>253.73159916616927</v>
      </c>
      <c r="GD33" s="62">
        <f t="shared" si="26"/>
        <v>547.06493249950256</v>
      </c>
      <c r="GE33" s="62">
        <f ca="1">AVERAGE(OFFSET($GD$3,0,0,'Données projet'!$E$17+1,1))-AVERAGE(OFFSET($H$3,0,0,'Données projet'!$E$17+1,1))</f>
        <v>459.64120566196812</v>
      </c>
      <c r="GF33" s="62">
        <f t="shared" si="50"/>
        <v>290.39826583283588</v>
      </c>
      <c r="GG33" s="16">
        <f>IF(ISNA(VLOOKUP(A33,'Données projet'!$A$243:$I$263,3,0)),0,VLOOKUP(A33,'Données projet'!$A$243:$I$263,3,0))</f>
        <v>3</v>
      </c>
      <c r="GH33" s="16">
        <f>IF(ISNA(VLOOKUP(A33,'Données projet'!$A$243:$I$263,4,0)),0,VLOOKUP(A33,'Données projet'!$A$243:$I$263,4,0))</f>
        <v>28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6.6</v>
      </c>
      <c r="N34" s="14">
        <f>IF('Données projet'!$A$36&gt;35,N33+M34-V33,IF(A34&lt;'Données projet'!$A$36,$K$205^A34,IF(A34='Données projet'!$A$36,'Données projet'!$B$36,N33+M34-V33)))</f>
        <v>158.6</v>
      </c>
      <c r="O34" s="14">
        <f>N34*VLOOKUP('Données projet'!$B$9,Paramètres!$A$1:$I$89,3,0)*VLOOKUP('Données projet'!$B$9,Paramètres!$A$1:$I$89,5,0)</f>
        <v>86.59559999999999</v>
      </c>
      <c r="P34" s="14">
        <f t="shared" si="33"/>
        <v>23.742332153806089</v>
      </c>
      <c r="Q34" s="22">
        <f t="shared" si="2"/>
        <v>192.17189850121224</v>
      </c>
      <c r="R34" s="62">
        <f t="shared" si="0"/>
        <v>485.50523183454555</v>
      </c>
      <c r="S34" s="62">
        <f ca="1">AVERAGE(OFFSET($R$3,0,0,'Données projet'!$E$9+1,1))-AVERAGE(OFFSET($H$3,0,0,'Données projet'!$E$9+1,1))</f>
        <v>170.27677128684815</v>
      </c>
      <c r="T34" s="62">
        <f t="shared" si="34"/>
        <v>243.47439640666289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8.0316779254307562</v>
      </c>
      <c r="AB34" s="23">
        <f>EXP(-LN(2)/2)*AB33+(1-EXP(-LN(2)/2))/(LN(2)/2)*V34*Y34*VLOOKUP('Données projet'!$B$9,Paramètres!$A$1:$I$89,3,0)*0.475*44/12</f>
        <v>5.3834784835695491</v>
      </c>
      <c r="AC34" s="24">
        <f t="shared" si="3"/>
        <v>13.415156409000305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136.6</v>
      </c>
      <c r="AJ34" s="14">
        <f>AI34*VLOOKUP('Données projet'!$B$10,Paramètres!$A$1:$I$89,3,0)*VLOOKUP('Données projet'!$B$10,Paramètres!$A$1:$I$89,5,0)</f>
        <v>119.33376000000001</v>
      </c>
      <c r="AK34" s="14">
        <f t="shared" si="35"/>
        <v>31.519559440518702</v>
      </c>
      <c r="AL34" s="22">
        <f t="shared" si="4"/>
        <v>262.7361980255701</v>
      </c>
      <c r="AM34" s="62">
        <f t="shared" si="5"/>
        <v>556.06953135890342</v>
      </c>
      <c r="AN34" s="62">
        <f ca="1">AVERAGE(OFFSET($AM$3,0,0,'Données projet'!$E$10+1,1))-AVERAGE(OFFSET($H$3,0,0,'Données projet'!$E$10+1,1))</f>
        <v>327.826081588335</v>
      </c>
      <c r="AO34" s="62">
        <f t="shared" si="36"/>
        <v>348.84706693879735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15.411013550098993</v>
      </c>
      <c r="AW34" s="23">
        <f>EXP(-LN(2)/2)*AW33+(1-EXP(-LN(2)/2))/(LN(2)/2)*AQ34*AT34*VLOOKUP('Données projet'!$B$10,Paramètres!$A$1:$I$89,3,0)*0.475*44/12</f>
        <v>10.532196141979446</v>
      </c>
      <c r="AX34" s="23">
        <f t="shared" si="6"/>
        <v>25.94320969207844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15.2</v>
      </c>
      <c r="BD34" s="13">
        <f>IF('Données projet'!$A$88&gt;35,BD33+BC34-BL33,IF(A34&lt;'Données projet'!$A$88,$BA$205^A34,IF(A34='Données projet'!$A$88,'Données projet'!$B$88,BD33+BC34-BL33)))</f>
        <v>178.20000000000005</v>
      </c>
      <c r="BE34" s="14">
        <f>BD34*VLOOKUP('Données projet'!$B$11,Paramètres!$A$1:$I$89,3,0)*VLOOKUP('Données projet'!$B$11,Paramètres!$A$1:$I$89,5,0)</f>
        <v>130.65624000000003</v>
      </c>
      <c r="BF34" s="14">
        <f t="shared" si="37"/>
        <v>34.147952661921146</v>
      </c>
      <c r="BG34" s="22">
        <f t="shared" si="7"/>
        <v>287.03396888617937</v>
      </c>
      <c r="BH34" s="62">
        <f t="shared" si="8"/>
        <v>580.36730221951268</v>
      </c>
      <c r="BI34" s="62">
        <f ca="1">AVERAGE(OFFSET($BH$3,0,0,'Données projet'!$E$11+1,1))-AVERAGE(OFFSET($H$3,0,0,'Données projet'!$E$11+1,1))</f>
        <v>376.5422416541544</v>
      </c>
      <c r="BJ34" s="62">
        <f t="shared" si="38"/>
        <v>365.76175372075869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24.233998234869173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24.233998234869173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27.439999999999998</v>
      </c>
      <c r="BY34" s="13">
        <f>IF('Données projet'!$A$114&gt;35,BY33+BX34-CG33,IF(A34&lt;'Données projet'!$A$114,$BV$205^A34,IF(A34='Données projet'!$A$114,'Données projet'!$B$114,BY33+BX34-CG33)))</f>
        <v>357.03</v>
      </c>
      <c r="BZ34" s="14">
        <f>BY34*VLOOKUP('Données projet'!$B$12,Paramètres!$A$1:$I$89,3,0)*VLOOKUP('Données projet'!$B$12,Paramètres!$A$1:$I$89,5,0)</f>
        <v>199.57977</v>
      </c>
      <c r="CA34" s="14">
        <f t="shared" si="39"/>
        <v>49.651802587972696</v>
      </c>
      <c r="CB34" s="22">
        <f t="shared" si="10"/>
        <v>434.07832225738576</v>
      </c>
      <c r="CC34" s="62">
        <f t="shared" si="11"/>
        <v>727.41165559071908</v>
      </c>
      <c r="CD34" s="62">
        <f ca="1">AVERAGE(OFFSET($CC$3,0,0,'Données projet'!$E$12+1,1))-AVERAGE(OFFSET($H$3,0,0,'Données projet'!$E$12+1,1))</f>
        <v>405.09126081846171</v>
      </c>
      <c r="CE34" s="62">
        <f t="shared" si="40"/>
        <v>534.22295841722166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9.6574304936756921</v>
      </c>
      <c r="CL34" s="23">
        <f>EXP(-LN(2)/25)*CL33+(1-EXP(-LN(2)/25))/(LN(2)/25)*Calculateur!CG34*Calculateur!CI34*VLOOKUP('Données projet'!$B$12,Paramètres!$A$1:$I$89,3,0)*0.475*44/12</f>
        <v>13.636978537210981</v>
      </c>
      <c r="CM34" s="23">
        <f>EXP(-LN(2)/2)*CM33+(1-EXP(-LN(2)/2))/(LN(2)/2)*CG34*CJ34*VLOOKUP('Données projet'!$B$12,Paramètres!$A$1:$I$89,3,0)*0.475*44/12</f>
        <v>1.1240679108359719</v>
      </c>
      <c r="CN34" s="24">
        <f t="shared" si="12"/>
        <v>24.418476941722645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4.2</v>
      </c>
      <c r="CT34" s="13">
        <f>IF('Données projet'!$A$140&gt;35,CT33+CS34-DB33,IF(A34&lt;'Données projet'!$A$140,$CQ$205^A34,IF(A34='Données projet'!$A$140,'Données projet'!$B$140,CT33+CS34-DB33)))</f>
        <v>152.19999999999993</v>
      </c>
      <c r="CU34" s="18">
        <f>CT34*VLOOKUP('Données projet'!$B$13,Paramètres!$A$1:$I$89,3,0)*VLOOKUP('Données projet'!$B$13,Paramètres!$A$1:$I$89,5,0)</f>
        <v>137.71055999999993</v>
      </c>
      <c r="CV34" s="14">
        <f t="shared" si="41"/>
        <v>35.772024702085233</v>
      </c>
      <c r="CW34" s="22">
        <f t="shared" si="13"/>
        <v>302.14883502279832</v>
      </c>
      <c r="CX34" s="62">
        <f t="shared" si="14"/>
        <v>595.48216835613164</v>
      </c>
      <c r="CY34" s="62">
        <f ca="1">AVERAGE(OFFSET($CX$3,0,0,'Données projet'!$E$13+1,1))-AVERAGE(OFFSET($H$3,0,0,'Données projet'!$E$13+1,1))</f>
        <v>244.82163392718377</v>
      </c>
      <c r="CZ34" s="62">
        <f t="shared" si="42"/>
        <v>342.30266518164211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5.7928226072376949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5.7928226072376949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10.8</v>
      </c>
      <c r="DO34" s="13">
        <f>IF('Données projet'!$A$166&gt;35,DO33+DN34-DW33,IF(A34&lt;'Données projet'!$A$166,$DL$205^A34,IF(A34='Données projet'!$A$166,'Données projet'!$B$166,DO33+DN34-DW33)))</f>
        <v>129.79999999999998</v>
      </c>
      <c r="DP34" s="18">
        <f>DO34*VLOOKUP('Données projet'!$B$14,Paramètres!$A$1:$I$89,3,0)*VLOOKUP('Données projet'!$B$14,Paramètres!$A$1:$I$89,5,0)</f>
        <v>103.26888</v>
      </c>
      <c r="DQ34" s="14">
        <f t="shared" si="43"/>
        <v>27.739299256755746</v>
      </c>
      <c r="DR34" s="22">
        <f t="shared" si="16"/>
        <v>228.17257887218292</v>
      </c>
      <c r="DS34" s="62">
        <f t="shared" si="17"/>
        <v>521.50591220551621</v>
      </c>
      <c r="DT34" s="62">
        <f ca="1">AVERAGE(OFFSET($DS$3,0,0,'Données projet'!$E$14+1,1))-AVERAGE(OFFSET($H$3,0,0,'Données projet'!$E$14+1,1))</f>
        <v>298.89893065707554</v>
      </c>
      <c r="DU34" s="62">
        <f t="shared" si="44"/>
        <v>294.28794439094878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10.8</v>
      </c>
      <c r="EJ34" s="13">
        <f>IF('Données projet'!$A$192&gt;35,EJ33+EI34-ER33,IF(A34&lt;'Données projet'!$A$192,$EG$205^A34,IF(A34='Données projet'!$A$192,'Données projet'!$B$192,EJ33+EI34-ER33)))</f>
        <v>103.80000000000004</v>
      </c>
      <c r="EK34" s="18">
        <f>EJ34*VLOOKUP('Données projet'!$B$15,Paramètres!$A$1:$I$89,3,0)*VLOOKUP('Données projet'!$B$15,Paramètres!$A$1:$I$89,5,0)</f>
        <v>93.91824000000004</v>
      </c>
      <c r="EL34" s="14">
        <f t="shared" si="45"/>
        <v>25.507853654186022</v>
      </c>
      <c r="EM34" s="22">
        <f t="shared" si="19"/>
        <v>208.00044644770739</v>
      </c>
      <c r="EN34" s="62">
        <f t="shared" si="20"/>
        <v>501.33377978104068</v>
      </c>
      <c r="EO34" s="62">
        <f ca="1">AVERAGE(OFFSET($EN$3,0,0,'Données projet'!$E$15+1,1))-AVERAGE(OFFSET($H$3,0,0,'Données projet'!$E$15+1,1))</f>
        <v>439.06700232017681</v>
      </c>
      <c r="EP34" s="62">
        <f t="shared" si="46"/>
        <v>278.21741231699929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8.8807682699548316</v>
      </c>
      <c r="EX34" s="23">
        <f>EXP(-LN(2)/2)*EX33+(1-EXP(-LN(2)/2))/(LN(2)/2)*ER34*EU34*VLOOKUP('Données projet'!$B$15,Paramètres!$A$1:$I$89,3,0)*0.475*44/12</f>
        <v>10.54280275712995</v>
      </c>
      <c r="EY34" s="24">
        <f t="shared" si="21"/>
        <v>19.423571027084783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10.8</v>
      </c>
      <c r="FE34" s="13">
        <f>IF('Données projet'!$A$218&gt;35,FE33+FD34-FM33,IF(A34&lt;'Données projet'!$A$218,$FB$205^A34,IF(A34='Données projet'!$A$218,'Données projet'!$B$218,FE33+FD34-FM33)))</f>
        <v>103.80000000000004</v>
      </c>
      <c r="FF34" s="18">
        <f>FE34*VLOOKUP('Données projet'!$B$16,Paramètres!$A$1:$I$89,3,0)*VLOOKUP('Données projet'!$B$16,Paramètres!$A$1:$I$89,5,0)</f>
        <v>100.39536000000004</v>
      </c>
      <c r="FG34" s="14">
        <f t="shared" si="47"/>
        <v>27.056164975430569</v>
      </c>
      <c r="FH34" s="22">
        <f t="shared" si="22"/>
        <v>221.97807266554162</v>
      </c>
      <c r="FI34" s="62">
        <f t="shared" si="23"/>
        <v>515.31140599887499</v>
      </c>
      <c r="FJ34" s="62">
        <f ca="1">AVERAGE(OFFSET($FI$3,0,0,'Données projet'!$E$16+1,1))-AVERAGE(OFFSET($H$3,0,0,'Données projet'!$E$16+1,1))</f>
        <v>466.4945858005575</v>
      </c>
      <c r="FK34" s="62">
        <f t="shared" si="48"/>
        <v>294.45557293177131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21.383166335965949</v>
      </c>
      <c r="FT34" s="24">
        <f t="shared" si="24"/>
        <v>21.383166335965949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10.8</v>
      </c>
      <c r="FZ34" s="13">
        <f>IF('Données projet'!$A$244&gt;35,FZ33+FY34-GH33,IF(A34&lt;'Données projet'!$A$244,$FW$205^A34,IF(A34='Données projet'!$A$244,'Données projet'!$B$244,FZ33+FY34-GH33)))</f>
        <v>103.80000000000004</v>
      </c>
      <c r="GA34" s="18">
        <f>FZ34*VLOOKUP('Données projet'!$B$17,Paramètres!$A$1:$I$89,3,0)*VLOOKUP('Données projet'!$B$17,Paramètres!$A$1:$I$89,5,0)</f>
        <v>98.77608000000005</v>
      </c>
      <c r="GB34" s="14">
        <f t="shared" si="49"/>
        <v>26.670206833473124</v>
      </c>
      <c r="GC34" s="22">
        <f t="shared" si="25"/>
        <v>218.48561623496576</v>
      </c>
      <c r="GD34" s="62">
        <f t="shared" si="26"/>
        <v>511.8189495682991</v>
      </c>
      <c r="GE34" s="62">
        <f ca="1">AVERAGE(OFFSET($GD$3,0,0,'Données projet'!$E$17+1,1))-AVERAGE(OFFSET($H$3,0,0,'Données projet'!$E$17+1,1))</f>
        <v>459.64120566196812</v>
      </c>
      <c r="GF34" s="62">
        <f t="shared" si="50"/>
        <v>290.39826583283588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6.6</v>
      </c>
      <c r="N35" s="14">
        <f>IF('Données projet'!$A$36&gt;35,N34+M35-V34,IF(A35&lt;'Données projet'!$A$36,$K$205^A35,IF(A35='Données projet'!$A$36,'Données projet'!$B$36,N34+M35-V34)))</f>
        <v>165.2</v>
      </c>
      <c r="O35" s="14">
        <f>N35*VLOOKUP('Données projet'!$B$9,Paramètres!$A$1:$I$89,3,0)*VLOOKUP('Données projet'!$B$9,Paramètres!$A$1:$I$89,5,0)</f>
        <v>90.19919999999999</v>
      </c>
      <c r="P35" s="14">
        <f t="shared" si="33"/>
        <v>24.613261053665369</v>
      </c>
      <c r="Q35" s="22">
        <f t="shared" ref="Q35:Q66" si="53">(O35+P35)*0.475*44/12</f>
        <v>199.96503633513382</v>
      </c>
      <c r="R35" s="62">
        <f t="shared" si="0"/>
        <v>493.2983696684671</v>
      </c>
      <c r="S35" s="62">
        <f ca="1">AVERAGE(OFFSET($R$3,0,0,'Données projet'!$E$9+1,1))-AVERAGE(OFFSET($H$3,0,0,'Données projet'!$E$9+1,1))</f>
        <v>170.27677128684815</v>
      </c>
      <c r="T35" s="62">
        <f t="shared" si="34"/>
        <v>243.47439640666289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7.8120512701922671</v>
      </c>
      <c r="AB35" s="23">
        <f>EXP(-LN(2)/2)*AB34+(1-EXP(-LN(2)/2))/(LN(2)/2)*V35*Y35*VLOOKUP('Données projet'!$B$9,Paramètres!$A$1:$I$89,3,0)*0.475*44/12</f>
        <v>3.8066941421039</v>
      </c>
      <c r="AC35" s="24">
        <f t="shared" si="3"/>
        <v>11.618745412296168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147.19999999999999</v>
      </c>
      <c r="AJ35" s="14">
        <f>AI35*VLOOKUP('Données projet'!$B$10,Paramètres!$A$1:$I$89,3,0)*VLOOKUP('Données projet'!$B$10,Paramètres!$A$1:$I$89,5,0)</f>
        <v>128.59392</v>
      </c>
      <c r="AK35" s="14">
        <f t="shared" si="35"/>
        <v>33.671250175837564</v>
      </c>
      <c r="AL35" s="22">
        <f t="shared" si="4"/>
        <v>282.61183805625041</v>
      </c>
      <c r="AM35" s="62">
        <f t="shared" si="5"/>
        <v>575.94517138958372</v>
      </c>
      <c r="AN35" s="62">
        <f ca="1">AVERAGE(OFFSET($AM$3,0,0,'Données projet'!$E$10+1,1))-AVERAGE(OFFSET($H$3,0,0,'Données projet'!$E$10+1,1))</f>
        <v>327.826081588335</v>
      </c>
      <c r="AO35" s="62">
        <f t="shared" si="36"/>
        <v>348.84706693879735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14.989598574141555</v>
      </c>
      <c r="AW35" s="23">
        <f>EXP(-LN(2)/2)*AW34+(1-EXP(-LN(2)/2))/(LN(2)/2)*AQ35*AT35*VLOOKUP('Données projet'!$B$10,Paramètres!$A$1:$I$89,3,0)*0.475*44/12</f>
        <v>7.4473873127804602</v>
      </c>
      <c r="AX35" s="23">
        <f t="shared" si="6"/>
        <v>22.436985886922017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15.2</v>
      </c>
      <c r="BD35" s="13">
        <f>IF('Données projet'!$A$88&gt;35,BD34+BC35-BL34,IF(A35&lt;'Données projet'!$A$88,$BA$205^A35,IF(A35='Données projet'!$A$88,'Données projet'!$B$88,BD34+BC35-BL34)))</f>
        <v>193.40000000000003</v>
      </c>
      <c r="BE35" s="14">
        <f>BD35*VLOOKUP('Données projet'!$B$11,Paramètres!$A$1:$I$89,3,0)*VLOOKUP('Données projet'!$B$11,Paramètres!$A$1:$I$89,5,0)</f>
        <v>141.80088000000003</v>
      </c>
      <c r="BF35" s="14">
        <f t="shared" si="37"/>
        <v>36.709254421801973</v>
      </c>
      <c r="BG35" s="22">
        <f t="shared" si="7"/>
        <v>310.90515078463847</v>
      </c>
      <c r="BH35" s="62">
        <f t="shared" si="8"/>
        <v>604.23848411797178</v>
      </c>
      <c r="BI35" s="62">
        <f ca="1">AVERAGE(OFFSET($BH$3,0,0,'Données projet'!$E$11+1,1))-AVERAGE(OFFSET($H$3,0,0,'Données projet'!$E$11+1,1))</f>
        <v>376.5422416541544</v>
      </c>
      <c r="BJ35" s="62">
        <f t="shared" si="38"/>
        <v>365.76175372075869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23.758784310762781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23.758784310762781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>
        <f>VLOOKUP(A35,'Données projet'!$A$113:$I$133,2,0)</f>
        <v>384.47</v>
      </c>
      <c r="BW35" s="13">
        <f>VLOOKUP(A35,'Données projet'!$A$113:$I$133,9,0)</f>
        <v>27.439999999999998</v>
      </c>
      <c r="BX35" s="13">
        <f t="array" ref="BX35">INDEX(BW:BW,MIN(IF(ISNUMBER(BW35:BW231),ROW(BW35:BW231),"")))</f>
        <v>27.439999999999998</v>
      </c>
      <c r="BY35" s="13">
        <f>IF('Données projet'!$A$114&gt;35,BY34+BX35-CG34,IF(A35&lt;'Données projet'!$A$114,$BV$205^A35,IF(A35='Données projet'!$A$114,'Données projet'!$B$114,BY34+BX35-CG34)))</f>
        <v>384.46999999999997</v>
      </c>
      <c r="BZ35" s="14">
        <f>BY35*VLOOKUP('Données projet'!$B$12,Paramètres!$A$1:$I$89,3,0)*VLOOKUP('Données projet'!$B$12,Paramètres!$A$1:$I$89,5,0)</f>
        <v>214.91872999999998</v>
      </c>
      <c r="CA35" s="14">
        <f t="shared" si="39"/>
        <v>53.008999324398879</v>
      </c>
      <c r="CB35" s="22">
        <f t="shared" si="10"/>
        <v>466.6407952399947</v>
      </c>
      <c r="CC35" s="62">
        <f t="shared" si="11"/>
        <v>759.97412857332802</v>
      </c>
      <c r="CD35" s="62">
        <f ca="1">AVERAGE(OFFSET($CC$3,0,0,'Données projet'!$E$12+1,1))-AVERAGE(OFFSET($H$3,0,0,'Données projet'!$E$12+1,1))</f>
        <v>405.09126081846171</v>
      </c>
      <c r="CE35" s="62">
        <f t="shared" si="40"/>
        <v>534.22295841722166</v>
      </c>
      <c r="CF35" s="16">
        <f>IF(ISNA(VLOOKUP(A35,'Données projet'!$A$113:$I$133,3,0)),0,VLOOKUP(A35,'Données projet'!$A$113:$I$133,3,0))</f>
        <v>9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9.4680541721456795</v>
      </c>
      <c r="CL35" s="23">
        <f>EXP(-LN(2)/25)*CL34+(1-EXP(-LN(2)/25))/(LN(2)/25)*Calculateur!CG35*Calculateur!CI35*VLOOKUP('Données projet'!$B$12,Paramètres!$A$1:$I$89,3,0)*0.475*44/12</f>
        <v>13.264074641973412</v>
      </c>
      <c r="CM35" s="23">
        <f>EXP(-LN(2)/2)*CM34+(1-EXP(-LN(2)/2))/(LN(2)/2)*CG35*CJ35*VLOOKUP('Données projet'!$B$12,Paramètres!$A$1:$I$89,3,0)*0.475*44/12</f>
        <v>0.79483604226631122</v>
      </c>
      <c r="CN35" s="24">
        <f t="shared" si="12"/>
        <v>23.526964856385405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4.2</v>
      </c>
      <c r="CT35" s="13">
        <f>IF('Données projet'!$A$140&gt;35,CT34+CS35-DB34,IF(A35&lt;'Données projet'!$A$140,$CQ$205^A35,IF(A35='Données projet'!$A$140,'Données projet'!$B$140,CT34+CS35-DB34)))</f>
        <v>156.39999999999992</v>
      </c>
      <c r="CU35" s="18">
        <f>CT35*VLOOKUP('Données projet'!$B$13,Paramètres!$A$1:$I$89,3,0)*VLOOKUP('Données projet'!$B$13,Paramètres!$A$1:$I$89,5,0)</f>
        <v>141.51071999999994</v>
      </c>
      <c r="CV35" s="14">
        <f t="shared" si="41"/>
        <v>36.642873749766764</v>
      </c>
      <c r="CW35" s="22">
        <f t="shared" si="13"/>
        <v>310.28417578084361</v>
      </c>
      <c r="CX35" s="62">
        <f t="shared" si="14"/>
        <v>603.61750911417698</v>
      </c>
      <c r="CY35" s="62">
        <f ca="1">AVERAGE(OFFSET($CX$3,0,0,'Données projet'!$E$13+1,1))-AVERAGE(OFFSET($H$3,0,0,'Données projet'!$E$13+1,1))</f>
        <v>244.82163392718377</v>
      </c>
      <c r="CZ35" s="62">
        <f t="shared" si="42"/>
        <v>342.30266518164211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5.6792288891826725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5.6792288891826725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10.8</v>
      </c>
      <c r="DO35" s="13">
        <f>IF('Données projet'!$A$166&gt;35,DO34+DN35-DW34,IF(A35&lt;'Données projet'!$A$166,$DL$205^A35,IF(A35='Données projet'!$A$166,'Données projet'!$B$166,DO34+DN35-DW34)))</f>
        <v>140.6</v>
      </c>
      <c r="DP35" s="18">
        <f>DO35*VLOOKUP('Données projet'!$B$14,Paramètres!$A$1:$I$89,3,0)*VLOOKUP('Données projet'!$B$14,Paramètres!$A$1:$I$89,5,0)</f>
        <v>111.86136</v>
      </c>
      <c r="DQ35" s="14">
        <f t="shared" si="43"/>
        <v>29.769106304683568</v>
      </c>
      <c r="DR35" s="22">
        <f t="shared" si="16"/>
        <v>246.67306214732389</v>
      </c>
      <c r="DS35" s="62">
        <f t="shared" si="17"/>
        <v>540.00639548065715</v>
      </c>
      <c r="DT35" s="62">
        <f ca="1">AVERAGE(OFFSET($DS$3,0,0,'Données projet'!$E$14+1,1))-AVERAGE(OFFSET($H$3,0,0,'Données projet'!$E$14+1,1))</f>
        <v>298.89893065707554</v>
      </c>
      <c r="DU35" s="62">
        <f t="shared" si="44"/>
        <v>294.28794439094878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10.8</v>
      </c>
      <c r="EJ35" s="13">
        <f>IF('Données projet'!$A$192&gt;35,EJ34+EI35-ER34,IF(A35&lt;'Données projet'!$A$192,$EG$205^A35,IF(A35='Données projet'!$A$192,'Données projet'!$B$192,EJ34+EI35-ER34)))</f>
        <v>114.60000000000004</v>
      </c>
      <c r="EK35" s="18">
        <f>EJ35*VLOOKUP('Données projet'!$B$15,Paramètres!$A$1:$I$89,3,0)*VLOOKUP('Données projet'!$B$15,Paramètres!$A$1:$I$89,5,0)</f>
        <v>103.69008000000004</v>
      </c>
      <c r="EL35" s="14">
        <f t="shared" si="45"/>
        <v>27.83924565319537</v>
      </c>
      <c r="EM35" s="22">
        <f t="shared" si="19"/>
        <v>229.08024217931529</v>
      </c>
      <c r="EN35" s="62">
        <f t="shared" si="20"/>
        <v>522.41357551264855</v>
      </c>
      <c r="EO35" s="62">
        <f ca="1">AVERAGE(OFFSET($EN$3,0,0,'Données projet'!$E$15+1,1))-AVERAGE(OFFSET($H$3,0,0,'Données projet'!$E$15+1,1))</f>
        <v>439.06700232017681</v>
      </c>
      <c r="EP35" s="62">
        <f t="shared" si="46"/>
        <v>278.21741231699929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8.6379231945936112</v>
      </c>
      <c r="EX35" s="23">
        <f>EXP(-LN(2)/2)*EX34+(1-EXP(-LN(2)/2))/(LN(2)/2)*ER35*EU35*VLOOKUP('Données projet'!$B$15,Paramètres!$A$1:$I$89,3,0)*0.475*44/12</f>
        <v>7.4548873222788181</v>
      </c>
      <c r="EY35" s="24">
        <f t="shared" si="21"/>
        <v>16.092810516872429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10.8</v>
      </c>
      <c r="FE35" s="13">
        <f>IF('Données projet'!$A$218&gt;35,FE34+FD35-FM34,IF(A35&lt;'Données projet'!$A$218,$FB$205^A35,IF(A35='Données projet'!$A$218,'Données projet'!$B$218,FE34+FD35-FM34)))</f>
        <v>114.60000000000004</v>
      </c>
      <c r="FF35" s="18">
        <f>FE35*VLOOKUP('Données projet'!$B$16,Paramètres!$A$1:$I$89,3,0)*VLOOKUP('Données projet'!$B$16,Paramètres!$A$1:$I$89,5,0)</f>
        <v>110.84112000000003</v>
      </c>
      <c r="FG35" s="14">
        <f t="shared" si="47"/>
        <v>29.529071061640771</v>
      </c>
      <c r="FH35" s="22">
        <f t="shared" si="22"/>
        <v>244.47808276569106</v>
      </c>
      <c r="FI35" s="62">
        <f t="shared" si="23"/>
        <v>537.81141609902443</v>
      </c>
      <c r="FJ35" s="62">
        <f ca="1">AVERAGE(OFFSET($FI$3,0,0,'Données projet'!$E$16+1,1))-AVERAGE(OFFSET($H$3,0,0,'Données projet'!$E$16+1,1))</f>
        <v>466.4945858005575</v>
      </c>
      <c r="FK35" s="62">
        <f t="shared" si="48"/>
        <v>294.45557293177131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15.120181919401425</v>
      </c>
      <c r="FT35" s="24">
        <f t="shared" si="24"/>
        <v>15.120181919401425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10.8</v>
      </c>
      <c r="FZ35" s="13">
        <f>IF('Données projet'!$A$244&gt;35,FZ34+FY35-GH34,IF(A35&lt;'Données projet'!$A$244,$FW$205^A35,IF(A35='Données projet'!$A$244,'Données projet'!$B$244,FZ34+FY35-GH34)))</f>
        <v>114.60000000000004</v>
      </c>
      <c r="GA35" s="18">
        <f>FZ35*VLOOKUP('Données projet'!$B$17,Paramètres!$A$1:$I$89,3,0)*VLOOKUP('Données projet'!$B$17,Paramètres!$A$1:$I$89,5,0)</f>
        <v>109.05336000000004</v>
      </c>
      <c r="GB35" s="14">
        <f t="shared" si="49"/>
        <v>29.107836736265032</v>
      </c>
      <c r="GC35" s="22">
        <f t="shared" si="25"/>
        <v>240.63075098232832</v>
      </c>
      <c r="GD35" s="62">
        <f t="shared" si="26"/>
        <v>533.96408431566169</v>
      </c>
      <c r="GE35" s="62">
        <f ca="1">AVERAGE(OFFSET($GD$3,0,0,'Données projet'!$E$17+1,1))-AVERAGE(OFFSET($H$3,0,0,'Données projet'!$E$17+1,1))</f>
        <v>459.64120566196812</v>
      </c>
      <c r="GF35" s="62">
        <f t="shared" si="50"/>
        <v>290.39826583283588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6.6</v>
      </c>
      <c r="N36" s="14">
        <f>IF('Données projet'!$A$36&gt;35,N35+M36-V35,IF(A36&lt;'Données projet'!$A$36,$K$205^A36,IF(A36='Données projet'!$A$36,'Données projet'!$B$36,N35+M36-V35)))</f>
        <v>171.79999999999998</v>
      </c>
      <c r="O36" s="14">
        <f>N36*VLOOKUP('Données projet'!$B$9,Paramètres!$A$1:$I$89,3,0)*VLOOKUP('Données projet'!$B$9,Paramètres!$A$1:$I$89,5,0)</f>
        <v>93.802799999999991</v>
      </c>
      <c r="P36" s="14">
        <f t="shared" si="33"/>
        <v>25.480148084944911</v>
      </c>
      <c r="Q36" s="22">
        <f t="shared" si="53"/>
        <v>207.75113458127905</v>
      </c>
      <c r="R36" s="62">
        <f t="shared" si="0"/>
        <v>501.08446791461233</v>
      </c>
      <c r="S36" s="62">
        <f ca="1">AVERAGE(OFFSET($R$3,0,0,'Données projet'!$E$9+1,1))-AVERAGE(OFFSET($H$3,0,0,'Données projet'!$E$9+1,1))</f>
        <v>170.27677128684815</v>
      </c>
      <c r="T36" s="62">
        <f t="shared" si="34"/>
        <v>243.47439640666289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7.598430317390938</v>
      </c>
      <c r="AB36" s="23">
        <f>EXP(-LN(2)/2)*AB35+(1-EXP(-LN(2)/2))/(LN(2)/2)*V36*Y36*VLOOKUP('Données projet'!$B$9,Paramètres!$A$1:$I$89,3,0)*0.475*44/12</f>
        <v>2.691739241784775</v>
      </c>
      <c r="AC36" s="24">
        <f t="shared" si="3"/>
        <v>10.290169559175713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157.79999999999998</v>
      </c>
      <c r="AJ36" s="14">
        <f>AI36*VLOOKUP('Données projet'!$B$10,Paramètres!$A$1:$I$89,3,0)*VLOOKUP('Données projet'!$B$10,Paramètres!$A$1:$I$89,5,0)</f>
        <v>137.85408000000001</v>
      </c>
      <c r="AK36" s="14">
        <f t="shared" si="35"/>
        <v>35.804964283629964</v>
      </c>
      <c r="AL36" s="22">
        <f t="shared" si="4"/>
        <v>302.45616879398887</v>
      </c>
      <c r="AM36" s="62">
        <f t="shared" si="5"/>
        <v>595.78950212732218</v>
      </c>
      <c r="AN36" s="62">
        <f ca="1">AVERAGE(OFFSET($AM$3,0,0,'Données projet'!$E$10+1,1))-AVERAGE(OFFSET($H$3,0,0,'Données projet'!$E$10+1,1))</f>
        <v>327.826081588335</v>
      </c>
      <c r="AO36" s="62">
        <f t="shared" si="36"/>
        <v>348.84706693879735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14.579707212862925</v>
      </c>
      <c r="AW36" s="23">
        <f>EXP(-LN(2)/2)*AW35+(1-EXP(-LN(2)/2))/(LN(2)/2)*AQ36*AT36*VLOOKUP('Données projet'!$B$10,Paramètres!$A$1:$I$89,3,0)*0.475*44/12</f>
        <v>5.2660980709897238</v>
      </c>
      <c r="AX36" s="23">
        <f t="shared" si="6"/>
        <v>19.845805283852648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15.2</v>
      </c>
      <c r="BD36" s="13">
        <f>IF('Données projet'!$A$88&gt;35,BD35+BC36-BL35,IF(A36&lt;'Données projet'!$A$88,$BA$205^A36,IF(A36='Données projet'!$A$88,'Données projet'!$B$88,BD35+BC36-BL35)))</f>
        <v>208.60000000000002</v>
      </c>
      <c r="BE36" s="14">
        <f>BD36*VLOOKUP('Données projet'!$B$11,Paramètres!$A$1:$I$89,3,0)*VLOOKUP('Données projet'!$B$11,Paramètres!$A$1:$I$89,5,0)</f>
        <v>152.94552000000002</v>
      </c>
      <c r="BF36" s="14">
        <f t="shared" si="37"/>
        <v>39.247206134585156</v>
      </c>
      <c r="BG36" s="22">
        <f t="shared" si="7"/>
        <v>334.73566468440248</v>
      </c>
      <c r="BH36" s="62">
        <f t="shared" si="8"/>
        <v>628.06899801773579</v>
      </c>
      <c r="BI36" s="62">
        <f ca="1">AVERAGE(OFFSET($BH$3,0,0,'Données projet'!$E$11+1,1))-AVERAGE(OFFSET($H$3,0,0,'Données projet'!$E$11+1,1))</f>
        <v>376.5422416541544</v>
      </c>
      <c r="BJ36" s="62">
        <f t="shared" si="38"/>
        <v>365.76175372075869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23.292889041856242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23.292889041856242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28.699999999999989</v>
      </c>
      <c r="BY36" s="13">
        <f>IF('Données projet'!$A$114&gt;35,BY35+BX36-CG35,IF(A36&lt;'Données projet'!$A$114,$BV$205^A36,IF(A36='Données projet'!$A$114,'Données projet'!$B$114,BY35+BX36-CG35)))</f>
        <v>413.16999999999996</v>
      </c>
      <c r="BZ36" s="14">
        <f>BY36*VLOOKUP('Données projet'!$B$12,Paramètres!$A$1:$I$89,3,0)*VLOOKUP('Données projet'!$B$12,Paramètres!$A$1:$I$89,5,0)</f>
        <v>230.96203</v>
      </c>
      <c r="CA36" s="14">
        <f t="shared" si="39"/>
        <v>56.49064435022833</v>
      </c>
      <c r="CB36" s="22">
        <f t="shared" si="10"/>
        <v>500.64674115998105</v>
      </c>
      <c r="CC36" s="62">
        <f t="shared" si="11"/>
        <v>793.98007449331431</v>
      </c>
      <c r="CD36" s="62">
        <f ca="1">AVERAGE(OFFSET($CC$3,0,0,'Données projet'!$E$12+1,1))-AVERAGE(OFFSET($H$3,0,0,'Données projet'!$E$12+1,1))</f>
        <v>405.09126081846171</v>
      </c>
      <c r="CE36" s="62">
        <f t="shared" si="40"/>
        <v>534.22295841722166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9.282391404772719</v>
      </c>
      <c r="CL36" s="23">
        <f>EXP(-LN(2)/25)*CL35+(1-EXP(-LN(2)/25))/(LN(2)/25)*Calculateur!CG36*Calculateur!CI36*VLOOKUP('Données projet'!$B$12,Paramètres!$A$1:$I$89,3,0)*0.475*44/12</f>
        <v>12.90136782336128</v>
      </c>
      <c r="CM36" s="23">
        <f>EXP(-LN(2)/2)*CM35+(1-EXP(-LN(2)/2))/(LN(2)/2)*CG36*CJ36*VLOOKUP('Données projet'!$B$12,Paramètres!$A$1:$I$89,3,0)*0.475*44/12</f>
        <v>0.56203395541798595</v>
      </c>
      <c r="CN36" s="24">
        <f t="shared" si="12"/>
        <v>22.745793183551985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4.2</v>
      </c>
      <c r="CT36" s="13">
        <f>IF('Données projet'!$A$140&gt;35,CT35+CS36-DB35,IF(A36&lt;'Données projet'!$A$140,$CQ$205^A36,IF(A36='Données projet'!$A$140,'Données projet'!$B$140,CT35+CS36-DB35)))</f>
        <v>160.59999999999991</v>
      </c>
      <c r="CU36" s="18">
        <f>CT36*VLOOKUP('Données projet'!$B$13,Paramètres!$A$1:$I$89,3,0)*VLOOKUP('Données projet'!$B$13,Paramètres!$A$1:$I$89,5,0)</f>
        <v>145.31087999999991</v>
      </c>
      <c r="CV36" s="14">
        <f t="shared" si="41"/>
        <v>37.511004575106362</v>
      </c>
      <c r="CW36" s="22">
        <f t="shared" si="13"/>
        <v>318.41478230164341</v>
      </c>
      <c r="CX36" s="62">
        <f t="shared" si="14"/>
        <v>611.74811563497678</v>
      </c>
      <c r="CY36" s="62">
        <f ca="1">AVERAGE(OFFSET($CX$3,0,0,'Données projet'!$E$13+1,1))-AVERAGE(OFFSET($H$3,0,0,'Données projet'!$E$13+1,1))</f>
        <v>244.82163392718377</v>
      </c>
      <c r="CZ36" s="62">
        <f t="shared" si="42"/>
        <v>342.30266518164211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5.5678626746533828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5.5678626746533828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10.8</v>
      </c>
      <c r="DO36" s="13">
        <f>IF('Données projet'!$A$166&gt;35,DO35+DN36-DW35,IF(A36&lt;'Données projet'!$A$166,$DL$205^A36,IF(A36='Données projet'!$A$166,'Données projet'!$B$166,DO35+DN36-DW35)))</f>
        <v>151.4</v>
      </c>
      <c r="DP36" s="18">
        <f>DO36*VLOOKUP('Données projet'!$B$14,Paramètres!$A$1:$I$89,3,0)*VLOOKUP('Données projet'!$B$14,Paramètres!$A$1:$I$89,5,0)</f>
        <v>120.45384</v>
      </c>
      <c r="DQ36" s="14">
        <f t="shared" si="43"/>
        <v>31.780826754892406</v>
      </c>
      <c r="DR36" s="22">
        <f t="shared" si="16"/>
        <v>265.14204459810429</v>
      </c>
      <c r="DS36" s="62">
        <f t="shared" si="17"/>
        <v>558.47537793143761</v>
      </c>
      <c r="DT36" s="62">
        <f ca="1">AVERAGE(OFFSET($DS$3,0,0,'Données projet'!$E$14+1,1))-AVERAGE(OFFSET($H$3,0,0,'Données projet'!$E$14+1,1))</f>
        <v>298.89893065707554</v>
      </c>
      <c r="DU36" s="62">
        <f t="shared" si="44"/>
        <v>294.28794439094878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10.8</v>
      </c>
      <c r="EJ36" s="13">
        <f>IF('Données projet'!$A$192&gt;35,EJ35+EI36-ER35,IF(A36&lt;'Données projet'!$A$192,$EG$205^A36,IF(A36='Données projet'!$A$192,'Données projet'!$B$192,EJ35+EI36-ER35)))</f>
        <v>125.40000000000003</v>
      </c>
      <c r="EK36" s="18">
        <f>EJ36*VLOOKUP('Données projet'!$B$15,Paramètres!$A$1:$I$89,3,0)*VLOOKUP('Données projet'!$B$15,Paramètres!$A$1:$I$89,5,0)</f>
        <v>113.46192000000002</v>
      </c>
      <c r="EL36" s="14">
        <f t="shared" si="45"/>
        <v>30.145163126535493</v>
      </c>
      <c r="EM36" s="22">
        <f t="shared" si="19"/>
        <v>250.11566977871598</v>
      </c>
      <c r="EN36" s="62">
        <f t="shared" si="20"/>
        <v>543.44900311204924</v>
      </c>
      <c r="EO36" s="62">
        <f ca="1">AVERAGE(OFFSET($EN$3,0,0,'Données projet'!$E$15+1,1))-AVERAGE(OFFSET($H$3,0,0,'Données projet'!$E$15+1,1))</f>
        <v>439.06700232017681</v>
      </c>
      <c r="EP36" s="62">
        <f t="shared" si="46"/>
        <v>278.21741231699929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8.4017187305888097</v>
      </c>
      <c r="EX36" s="23">
        <f>EXP(-LN(2)/2)*EX35+(1-EXP(-LN(2)/2))/(LN(2)/2)*ER36*EU36*VLOOKUP('Données projet'!$B$15,Paramètres!$A$1:$I$89,3,0)*0.475*44/12</f>
        <v>5.2714013785649758</v>
      </c>
      <c r="EY36" s="24">
        <f t="shared" si="21"/>
        <v>13.673120109153786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10.8</v>
      </c>
      <c r="FE36" s="13">
        <f>IF('Données projet'!$A$218&gt;35,FE35+FD36-FM35,IF(A36&lt;'Données projet'!$A$218,$FB$205^A36,IF(A36='Données projet'!$A$218,'Données projet'!$B$218,FE35+FD36-FM35)))</f>
        <v>125.40000000000003</v>
      </c>
      <c r="FF36" s="18">
        <f>FE36*VLOOKUP('Données projet'!$B$16,Paramètres!$A$1:$I$89,3,0)*VLOOKUP('Données projet'!$B$16,Paramètres!$A$1:$I$89,5,0)</f>
        <v>121.28688000000004</v>
      </c>
      <c r="FG36" s="14">
        <f t="shared" si="47"/>
        <v>31.974956333849104</v>
      </c>
      <c r="FH36" s="22">
        <f t="shared" si="22"/>
        <v>266.93103161478729</v>
      </c>
      <c r="FI36" s="62">
        <f t="shared" si="23"/>
        <v>560.2643649481206</v>
      </c>
      <c r="FJ36" s="62">
        <f ca="1">AVERAGE(OFFSET($FI$3,0,0,'Données projet'!$E$16+1,1))-AVERAGE(OFFSET($H$3,0,0,'Données projet'!$E$16+1,1))</f>
        <v>466.4945858005575</v>
      </c>
      <c r="FK36" s="62">
        <f t="shared" si="48"/>
        <v>294.45557293177131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10.691583167982976</v>
      </c>
      <c r="FT36" s="24">
        <f t="shared" si="24"/>
        <v>10.691583167982976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10.8</v>
      </c>
      <c r="FZ36" s="13">
        <f>IF('Données projet'!$A$244&gt;35,FZ35+FY36-GH35,IF(A36&lt;'Données projet'!$A$244,$FW$205^A36,IF(A36='Données projet'!$A$244,'Données projet'!$B$244,FZ35+FY36-GH35)))</f>
        <v>125.40000000000003</v>
      </c>
      <c r="GA36" s="18">
        <f>FZ36*VLOOKUP('Données projet'!$B$17,Paramètres!$A$1:$I$89,3,0)*VLOOKUP('Données projet'!$B$17,Paramètres!$A$1:$I$89,5,0)</f>
        <v>119.33064000000003</v>
      </c>
      <c r="GB36" s="14">
        <f t="shared" si="49"/>
        <v>31.518831278912842</v>
      </c>
      <c r="GC36" s="22">
        <f t="shared" si="25"/>
        <v>262.72949581077319</v>
      </c>
      <c r="GD36" s="62">
        <f t="shared" si="26"/>
        <v>556.06282914410644</v>
      </c>
      <c r="GE36" s="62">
        <f ca="1">AVERAGE(OFFSET($GD$3,0,0,'Données projet'!$E$17+1,1))-AVERAGE(OFFSET($H$3,0,0,'Données projet'!$E$17+1,1))</f>
        <v>459.64120566196812</v>
      </c>
      <c r="GF36" s="62">
        <f t="shared" si="50"/>
        <v>290.39826583283588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6.6</v>
      </c>
      <c r="N37" s="14">
        <f>IF('Données projet'!$A$36&gt;35,N36+M37-V36,IF(A37&lt;'Données projet'!$A$36,$K$205^A37,IF(A37='Données projet'!$A$36,'Données projet'!$B$36,N36+M37-V36)))</f>
        <v>178.39999999999998</v>
      </c>
      <c r="O37" s="14">
        <f>N37*VLOOKUP('Données projet'!$B$9,Paramètres!$A$1:$I$89,3,0)*VLOOKUP('Données projet'!$B$9,Paramètres!$A$1:$I$89,5,0)</f>
        <v>97.406399999999977</v>
      </c>
      <c r="P37" s="14">
        <f t="shared" si="33"/>
        <v>26.343166296890836</v>
      </c>
      <c r="Q37" s="22">
        <f t="shared" si="53"/>
        <v>215.53049463375149</v>
      </c>
      <c r="R37" s="62">
        <f t="shared" si="0"/>
        <v>508.86382796708483</v>
      </c>
      <c r="S37" s="62">
        <f ca="1">AVERAGE(OFFSET($R$3,0,0,'Données projet'!$E$9+1,1))-AVERAGE(OFFSET($H$3,0,0,'Données projet'!$E$9+1,1))</f>
        <v>170.27677128684815</v>
      </c>
      <c r="T37" s="62">
        <f t="shared" si="34"/>
        <v>243.47439640666289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7.3906508407777984</v>
      </c>
      <c r="AB37" s="23">
        <f>EXP(-LN(2)/2)*AB36+(1-EXP(-LN(2)/2))/(LN(2)/2)*V37*Y37*VLOOKUP('Données projet'!$B$9,Paramètres!$A$1:$I$89,3,0)*0.475*44/12</f>
        <v>1.9033470710519504</v>
      </c>
      <c r="AC37" s="24">
        <f t="shared" si="3"/>
        <v>9.2939979118297487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168.39999999999998</v>
      </c>
      <c r="AJ37" s="14">
        <f>AI37*VLOOKUP('Données projet'!$B$10,Paramètres!$A$1:$I$89,3,0)*VLOOKUP('Données projet'!$B$10,Paramètres!$A$1:$I$89,5,0)</f>
        <v>147.11424</v>
      </c>
      <c r="AK37" s="14">
        <f t="shared" si="35"/>
        <v>37.922046712608186</v>
      </c>
      <c r="AL37" s="22">
        <f t="shared" si="4"/>
        <v>322.27153269112591</v>
      </c>
      <c r="AM37" s="62">
        <f t="shared" si="5"/>
        <v>615.60486602445917</v>
      </c>
      <c r="AN37" s="62">
        <f ca="1">AVERAGE(OFFSET($AM$3,0,0,'Données projet'!$E$10+1,1))-AVERAGE(OFFSET($H$3,0,0,'Données projet'!$E$10+1,1))</f>
        <v>327.826081588335</v>
      </c>
      <c r="AO37" s="62">
        <f t="shared" si="36"/>
        <v>348.84706693879735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14.181024352413708</v>
      </c>
      <c r="AW37" s="23">
        <f>EXP(-LN(2)/2)*AW36+(1-EXP(-LN(2)/2))/(LN(2)/2)*AQ37*AT37*VLOOKUP('Données projet'!$B$10,Paramètres!$A$1:$I$89,3,0)*0.475*44/12</f>
        <v>3.723693656390231</v>
      </c>
      <c r="AX37" s="23">
        <f t="shared" si="6"/>
        <v>17.90471800880394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15.2</v>
      </c>
      <c r="BD37" s="13">
        <f>IF('Données projet'!$A$88&gt;35,BD36+BC37-BL36,IF(A37&lt;'Données projet'!$A$88,$BA$205^A37,IF(A37='Données projet'!$A$88,'Données projet'!$B$88,BD36+BC37-BL36)))</f>
        <v>223.8</v>
      </c>
      <c r="BE37" s="14">
        <f>BD37*VLOOKUP('Données projet'!$B$11,Paramètres!$A$1:$I$89,3,0)*VLOOKUP('Données projet'!$B$11,Paramètres!$A$1:$I$89,5,0)</f>
        <v>164.09016</v>
      </c>
      <c r="BF37" s="14">
        <f t="shared" si="37"/>
        <v>41.763702733606458</v>
      </c>
      <c r="BG37" s="22">
        <f t="shared" si="7"/>
        <v>358.52881092769786</v>
      </c>
      <c r="BH37" s="62">
        <f t="shared" si="8"/>
        <v>651.86214426103118</v>
      </c>
      <c r="BI37" s="62">
        <f ca="1">AVERAGE(OFFSET($BH$3,0,0,'Données projet'!$E$11+1,1))-AVERAGE(OFFSET($H$3,0,0,'Données projet'!$E$11+1,1))</f>
        <v>376.5422416541544</v>
      </c>
      <c r="BJ37" s="62">
        <f t="shared" si="38"/>
        <v>365.76175372075869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22.836129695004907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22.836129695004907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441.87</v>
      </c>
      <c r="BW37" s="13">
        <f>VLOOKUP(A37,'Données projet'!$A$113:$I$133,9,0)</f>
        <v>28.699999999999989</v>
      </c>
      <c r="BX37" s="13">
        <f t="array" ref="BX37">INDEX(BW:BW,MIN(IF(ISNUMBER(BW37:BW233),ROW(BW37:BW233),"")))</f>
        <v>28.699999999999989</v>
      </c>
      <c r="BY37" s="13">
        <f>IF('Données projet'!$A$114&gt;35,BY36+BX37-CG36,IF(A37&lt;'Données projet'!$A$114,$BV$205^A37,IF(A37='Données projet'!$A$114,'Données projet'!$B$114,BY36+BX37-CG36)))</f>
        <v>441.86999999999995</v>
      </c>
      <c r="BZ37" s="14">
        <f>BY37*VLOOKUP('Données projet'!$B$12,Paramètres!$A$1:$I$89,3,0)*VLOOKUP('Données projet'!$B$12,Paramètres!$A$1:$I$89,5,0)</f>
        <v>247.00532999999996</v>
      </c>
      <c r="CA37" s="14">
        <f t="shared" si="39"/>
        <v>59.944228275257743</v>
      </c>
      <c r="CB37" s="22">
        <f t="shared" si="10"/>
        <v>534.60381399607388</v>
      </c>
      <c r="CC37" s="62">
        <f t="shared" si="11"/>
        <v>827.93714732940725</v>
      </c>
      <c r="CD37" s="62">
        <f ca="1">AVERAGE(OFFSET($CC$3,0,0,'Données projet'!$E$12+1,1))-AVERAGE(OFFSET($H$3,0,0,'Données projet'!$E$12+1,1))</f>
        <v>405.09126081846171</v>
      </c>
      <c r="CE37" s="62">
        <f t="shared" si="40"/>
        <v>534.22295841722166</v>
      </c>
      <c r="CF37" s="16">
        <f>IF(ISNA(VLOOKUP(A37,'Données projet'!$A$113:$I$133,3,0)),0,VLOOKUP(A37,'Données projet'!$A$113:$I$133,3,0))</f>
        <v>10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9.1003693710248363</v>
      </c>
      <c r="CL37" s="23">
        <f>EXP(-LN(2)/25)*CL36+(1-EXP(-LN(2)/25))/(LN(2)/25)*Calculateur!CG37*Calculateur!CI37*VLOOKUP('Données projet'!$B$12,Paramètres!$A$1:$I$89,3,0)*0.475*44/12</f>
        <v>12.548579241778018</v>
      </c>
      <c r="CM37" s="23">
        <f>EXP(-LN(2)/2)*CM36+(1-EXP(-LN(2)/2))/(LN(2)/2)*CG37*CJ37*VLOOKUP('Données projet'!$B$12,Paramètres!$A$1:$I$89,3,0)*0.475*44/12</f>
        <v>0.39741802113315561</v>
      </c>
      <c r="CN37" s="24">
        <f t="shared" si="12"/>
        <v>22.04636663393601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4.2</v>
      </c>
      <c r="CT37" s="13">
        <f>IF('Données projet'!$A$140&gt;35,CT36+CS37-DB36,IF(A37&lt;'Données projet'!$A$140,$CQ$205^A37,IF(A37='Données projet'!$A$140,'Données projet'!$B$140,CT36+CS37-DB36)))</f>
        <v>164.7999999999999</v>
      </c>
      <c r="CU37" s="18">
        <f>CT37*VLOOKUP('Données projet'!$B$13,Paramètres!$A$1:$I$89,3,0)*VLOOKUP('Données projet'!$B$13,Paramètres!$A$1:$I$89,5,0)</f>
        <v>149.11103999999989</v>
      </c>
      <c r="CV37" s="14">
        <f t="shared" si="41"/>
        <v>38.376496436982357</v>
      </c>
      <c r="CW37" s="22">
        <f t="shared" si="13"/>
        <v>326.54079262774405</v>
      </c>
      <c r="CX37" s="62">
        <f t="shared" si="14"/>
        <v>619.87412596107743</v>
      </c>
      <c r="CY37" s="62">
        <f ca="1">AVERAGE(OFFSET($CX$3,0,0,'Données projet'!$E$13+1,1))-AVERAGE(OFFSET($H$3,0,0,'Données projet'!$E$13+1,1))</f>
        <v>244.82163392718377</v>
      </c>
      <c r="CZ37" s="62">
        <f t="shared" si="42"/>
        <v>342.30266518164211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5.4586802836643287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5.4586802836643287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10.8</v>
      </c>
      <c r="DO37" s="13">
        <f>IF('Données projet'!$A$166&gt;35,DO36+DN37-DW36,IF(A37&lt;'Données projet'!$A$166,$DL$205^A37,IF(A37='Données projet'!$A$166,'Données projet'!$B$166,DO36+DN37-DW36)))</f>
        <v>162.20000000000002</v>
      </c>
      <c r="DP37" s="18">
        <f>DO37*VLOOKUP('Données projet'!$B$14,Paramètres!$A$1:$I$89,3,0)*VLOOKUP('Données projet'!$B$14,Paramètres!$A$1:$I$89,5,0)</f>
        <v>129.04632000000001</v>
      </c>
      <c r="DQ37" s="14">
        <f t="shared" si="43"/>
        <v>33.775897540199807</v>
      </c>
      <c r="DR37" s="22">
        <f t="shared" si="16"/>
        <v>283.58202888251463</v>
      </c>
      <c r="DS37" s="62">
        <f t="shared" si="17"/>
        <v>576.91536221584795</v>
      </c>
      <c r="DT37" s="62">
        <f ca="1">AVERAGE(OFFSET($DS$3,0,0,'Données projet'!$E$14+1,1))-AVERAGE(OFFSET($H$3,0,0,'Données projet'!$E$14+1,1))</f>
        <v>298.89893065707554</v>
      </c>
      <c r="DU37" s="62">
        <f t="shared" si="44"/>
        <v>294.28794439094878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10.8</v>
      </c>
      <c r="EJ37" s="13">
        <f>IF('Données projet'!$A$192&gt;35,EJ36+EI37-ER36,IF(A37&lt;'Données projet'!$A$192,$EG$205^A37,IF(A37='Données projet'!$A$192,'Données projet'!$B$192,EJ36+EI37-ER36)))</f>
        <v>136.20000000000005</v>
      </c>
      <c r="EK37" s="18">
        <f>EJ37*VLOOKUP('Données projet'!$B$15,Paramètres!$A$1:$I$89,3,0)*VLOOKUP('Données projet'!$B$15,Paramètres!$A$1:$I$89,5,0)</f>
        <v>123.23376000000005</v>
      </c>
      <c r="EL37" s="14">
        <f t="shared" si="45"/>
        <v>32.428049504876491</v>
      </c>
      <c r="EM37" s="22">
        <f t="shared" si="19"/>
        <v>271.11098488765998</v>
      </c>
      <c r="EN37" s="62">
        <f t="shared" si="20"/>
        <v>564.4443182209933</v>
      </c>
      <c r="EO37" s="62">
        <f ca="1">AVERAGE(OFFSET($EN$3,0,0,'Données projet'!$E$15+1,1))-AVERAGE(OFFSET($H$3,0,0,'Données projet'!$E$15+1,1))</f>
        <v>439.06700232017681</v>
      </c>
      <c r="EP37" s="62">
        <f t="shared" si="46"/>
        <v>278.21741231699929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8.171973290073673</v>
      </c>
      <c r="EX37" s="23">
        <f>EXP(-LN(2)/2)*EX36+(1-EXP(-LN(2)/2))/(LN(2)/2)*ER37*EU37*VLOOKUP('Données projet'!$B$15,Paramètres!$A$1:$I$89,3,0)*0.475*44/12</f>
        <v>3.7274436611394095</v>
      </c>
      <c r="EY37" s="24">
        <f t="shared" si="21"/>
        <v>11.899416951213082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10.8</v>
      </c>
      <c r="FE37" s="13">
        <f>IF('Données projet'!$A$218&gt;35,FE36+FD37-FM36,IF(A37&lt;'Données projet'!$A$218,$FB$205^A37,IF(A37='Données projet'!$A$218,'Données projet'!$B$218,FE36+FD37-FM36)))</f>
        <v>136.20000000000005</v>
      </c>
      <c r="FF37" s="18">
        <f>FE37*VLOOKUP('Données projet'!$B$16,Paramètres!$A$1:$I$89,3,0)*VLOOKUP('Données projet'!$B$16,Paramètres!$A$1:$I$89,5,0)</f>
        <v>131.73264000000006</v>
      </c>
      <c r="FG37" s="14">
        <f t="shared" si="47"/>
        <v>34.396412537492502</v>
      </c>
      <c r="FH37" s="22">
        <f t="shared" si="22"/>
        <v>289.3414331694662</v>
      </c>
      <c r="FI37" s="62">
        <f t="shared" si="23"/>
        <v>582.67476650279946</v>
      </c>
      <c r="FJ37" s="62">
        <f ca="1">AVERAGE(OFFSET($FI$3,0,0,'Données projet'!$E$16+1,1))-AVERAGE(OFFSET($H$3,0,0,'Données projet'!$E$16+1,1))</f>
        <v>466.4945858005575</v>
      </c>
      <c r="FK37" s="62">
        <f t="shared" si="48"/>
        <v>294.45557293177131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7.5600909597007133</v>
      </c>
      <c r="FT37" s="24">
        <f t="shared" si="24"/>
        <v>7.5600909597007133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10.8</v>
      </c>
      <c r="FZ37" s="13">
        <f>IF('Données projet'!$A$244&gt;35,FZ36+FY37-GH36,IF(A37&lt;'Données projet'!$A$244,$FW$205^A37,IF(A37='Données projet'!$A$244,'Données projet'!$B$244,FZ36+FY37-GH36)))</f>
        <v>136.20000000000005</v>
      </c>
      <c r="GA37" s="18">
        <f>FZ37*VLOOKUP('Données projet'!$B$17,Paramètres!$A$1:$I$89,3,0)*VLOOKUP('Données projet'!$B$17,Paramètres!$A$1:$I$89,5,0)</f>
        <v>129.60792000000004</v>
      </c>
      <c r="GB37" s="14">
        <f t="shared" si="49"/>
        <v>33.905745235418173</v>
      </c>
      <c r="GC37" s="22">
        <f t="shared" si="25"/>
        <v>284.78630028501999</v>
      </c>
      <c r="GD37" s="62">
        <f t="shared" si="26"/>
        <v>578.1196336183533</v>
      </c>
      <c r="GE37" s="62">
        <f ca="1">AVERAGE(OFFSET($GD$3,0,0,'Données projet'!$E$17+1,1))-AVERAGE(OFFSET($H$3,0,0,'Données projet'!$E$17+1,1))</f>
        <v>459.64120566196812</v>
      </c>
      <c r="GF37" s="62">
        <f t="shared" si="50"/>
        <v>290.39826583283588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185</v>
      </c>
      <c r="L38" s="13">
        <f>VLOOKUP(A38,'Données projet'!$A$35:$I$55,9,0)</f>
        <v>6.6</v>
      </c>
      <c r="M38" s="13">
        <f t="array" ref="M38">INDEX(L:L,MIN(IF(ISNUMBER(L38:L234),ROW(L38:L234),"")))</f>
        <v>6.6</v>
      </c>
      <c r="N38" s="14">
        <f>IF('Données projet'!$A$36&gt;35,N37+M38-V37,IF(A38&lt;'Données projet'!$A$36,$K$205^A38,IF(A38='Données projet'!$A$36,'Données projet'!$B$36,N37+M38-V37)))</f>
        <v>184.99999999999997</v>
      </c>
      <c r="O38" s="14">
        <f>N38*VLOOKUP('Données projet'!$B$9,Paramètres!$A$1:$I$89,3,0)*VLOOKUP('Données projet'!$B$9,Paramètres!$A$1:$I$89,5,0)</f>
        <v>101.00999999999999</v>
      </c>
      <c r="P38" s="14">
        <f t="shared" si="33"/>
        <v>27.202475209169602</v>
      </c>
      <c r="Q38" s="22">
        <f t="shared" si="53"/>
        <v>223.30339432263699</v>
      </c>
      <c r="R38" s="62">
        <f t="shared" si="0"/>
        <v>516.63672765597028</v>
      </c>
      <c r="S38" s="62">
        <f ca="1">AVERAGE(OFFSET($R$3,0,0,'Données projet'!$E$9+1,1))-AVERAGE(OFFSET($H$3,0,0,'Données projet'!$E$9+1,1))</f>
        <v>170.27677128684815</v>
      </c>
      <c r="T38" s="62">
        <f t="shared" si="34"/>
        <v>243.47439640666289</v>
      </c>
      <c r="U38" s="16">
        <f>IF(ISNA(VLOOKUP(A38,'Données projet'!$A$35:$I$55,3,0)),0,VLOOKUP(A38,'Données projet'!$A$35:$I$55,3,0))</f>
        <v>6</v>
      </c>
      <c r="V38" s="16">
        <f>IF(ISNA(VLOOKUP(A38,'Données projet'!$A$35:$I$55,4,0)),0,VLOOKUP(A38,'Données projet'!$A$35:$I$55,4,0))</f>
        <v>15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7.1885531048792934</v>
      </c>
      <c r="AB38" s="23">
        <f>EXP(-LN(2)/2)*AB37+(1-EXP(-LN(2)/2))/(LN(2)/2)*V38*Y38*VLOOKUP('Données projet'!$B$9,Paramètres!$A$1:$I$89,3,0)*0.475*44/12</f>
        <v>1.3458696208923877</v>
      </c>
      <c r="AC38" s="24">
        <f t="shared" si="3"/>
        <v>8.5344227257716803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179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178.99999999999997</v>
      </c>
      <c r="AJ38" s="14">
        <f>AI38*VLOOKUP('Données projet'!$B$10,Paramètres!$A$1:$I$89,3,0)*VLOOKUP('Données projet'!$B$10,Paramètres!$A$1:$I$89,5,0)</f>
        <v>156.37440000000001</v>
      </c>
      <c r="AK38" s="14">
        <f t="shared" si="35"/>
        <v>40.023663524293205</v>
      </c>
      <c r="AL38" s="22">
        <f t="shared" si="4"/>
        <v>342.05996063814399</v>
      </c>
      <c r="AM38" s="62">
        <f t="shared" si="5"/>
        <v>635.39329397147731</v>
      </c>
      <c r="AN38" s="62">
        <f ca="1">AVERAGE(OFFSET($AM$3,0,0,'Données projet'!$E$10+1,1))-AVERAGE(OFFSET($H$3,0,0,'Données projet'!$E$10+1,1))</f>
        <v>327.826081588335</v>
      </c>
      <c r="AO38" s="62">
        <f t="shared" si="36"/>
        <v>348.84706693879735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13.793243495749296</v>
      </c>
      <c r="AW38" s="23">
        <f>EXP(-LN(2)/2)*AW37+(1-EXP(-LN(2)/2))/(LN(2)/2)*AQ38*AT38*VLOOKUP('Données projet'!$B$10,Paramètres!$A$1:$I$89,3,0)*0.475*44/12</f>
        <v>2.6330490354948624</v>
      </c>
      <c r="AX38" s="23">
        <f t="shared" si="6"/>
        <v>16.426292531244158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239</v>
      </c>
      <c r="BB38" s="13">
        <f>VLOOKUP(A38,'Données projet'!$A$87:$I$107,9,0)</f>
        <v>15.2</v>
      </c>
      <c r="BC38" s="13">
        <f t="array" ref="BC38">INDEX(BB:BB,MIN(IF(ISNUMBER(BB38:BB234),ROW(BB38:BB234),"")))</f>
        <v>15.2</v>
      </c>
      <c r="BD38" s="13">
        <f>IF('Données projet'!$A$88&gt;35,BD37+BC38-BL37,IF(A38&lt;'Données projet'!$A$88,$BA$205^A38,IF(A38='Données projet'!$A$88,'Données projet'!$B$88,BD37+BC38-BL37)))</f>
        <v>239</v>
      </c>
      <c r="BE38" s="14">
        <f>BD38*VLOOKUP('Données projet'!$B$11,Paramètres!$A$1:$I$89,3,0)*VLOOKUP('Données projet'!$B$11,Paramètres!$A$1:$I$89,5,0)</f>
        <v>175.23480000000001</v>
      </c>
      <c r="BF38" s="14">
        <f t="shared" si="37"/>
        <v>44.260367185241513</v>
      </c>
      <c r="BG38" s="22">
        <f t="shared" si="7"/>
        <v>382.28741618096228</v>
      </c>
      <c r="BH38" s="62">
        <f t="shared" si="8"/>
        <v>675.62074951429554</v>
      </c>
      <c r="BI38" s="62">
        <f ca="1">AVERAGE(OFFSET($BH$3,0,0,'Données projet'!$E$11+1,1))-AVERAGE(OFFSET($H$3,0,0,'Données projet'!$E$11+1,1))</f>
        <v>376.5422416541544</v>
      </c>
      <c r="BJ38" s="62">
        <f t="shared" si="38"/>
        <v>365.76175372075869</v>
      </c>
      <c r="BK38" s="16">
        <f>IF(ISNA(VLOOKUP(A38,'Données projet'!$A$87:$I$107,3,0)),0,VLOOKUP(A38,'Données projet'!$A$87:$I$107,3,0))</f>
        <v>6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22.388327120349633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22.388327120349633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29.77000000000001</v>
      </c>
      <c r="BY38" s="13">
        <f>IF('Données projet'!$A$114&gt;35,BY37+BX38-CG37,IF(A38&lt;'Données projet'!$A$114,$BV$205^A38,IF(A38='Données projet'!$A$114,'Données projet'!$B$114,BY37+BX38-CG37)))</f>
        <v>471.64</v>
      </c>
      <c r="BZ38" s="14">
        <f>BY38*VLOOKUP('Données projet'!$B$12,Paramètres!$A$1:$I$89,3,0)*VLOOKUP('Données projet'!$B$12,Paramètres!$A$1:$I$89,5,0)</f>
        <v>263.64675999999997</v>
      </c>
      <c r="CA38" s="14">
        <f t="shared" si="39"/>
        <v>63.49908855254693</v>
      </c>
      <c r="CB38" s="22">
        <f t="shared" si="10"/>
        <v>569.77901956235246</v>
      </c>
      <c r="CC38" s="62">
        <f t="shared" si="11"/>
        <v>863.11235289568572</v>
      </c>
      <c r="CD38" s="62">
        <f ca="1">AVERAGE(OFFSET($CC$3,0,0,'Données projet'!$E$12+1,1))-AVERAGE(OFFSET($H$3,0,0,'Données projet'!$E$12+1,1))</f>
        <v>405.09126081846171</v>
      </c>
      <c r="CE38" s="62">
        <f t="shared" si="40"/>
        <v>534.22295841722166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8.921916678336272</v>
      </c>
      <c r="CL38" s="23">
        <f>EXP(-LN(2)/25)*CL37+(1-EXP(-LN(2)/25))/(LN(2)/25)*Calculateur!CG38*Calculateur!CI38*VLOOKUP('Données projet'!$B$12,Paramètres!$A$1:$I$89,3,0)*0.475*44/12</f>
        <v>12.205437682510496</v>
      </c>
      <c r="CM38" s="23">
        <f>EXP(-LN(2)/2)*CM37+(1-EXP(-LN(2)/2))/(LN(2)/2)*CG38*CJ38*VLOOKUP('Données projet'!$B$12,Paramètres!$A$1:$I$89,3,0)*0.475*44/12</f>
        <v>0.28101697770899298</v>
      </c>
      <c r="CN38" s="24">
        <f t="shared" si="12"/>
        <v>21.40837133855576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169</v>
      </c>
      <c r="CR38" s="13">
        <f>VLOOKUP(A38,'Données projet'!$A$139:$I$159,9,0)</f>
        <v>4.2</v>
      </c>
      <c r="CS38" s="13">
        <f t="array" ref="CS38">INDEX(CR:CR,MIN(IF(ISNUMBER(CR38:CR234),ROW(CR38:CR234),"")))</f>
        <v>4.2</v>
      </c>
      <c r="CT38" s="13">
        <f>IF('Données projet'!$A$140&gt;35,CT37+CS38-DB37,IF(A38&lt;'Données projet'!$A$140,$CQ$205^A38,IF(A38='Données projet'!$A$140,'Données projet'!$B$140,CT37+CS38-DB37)))</f>
        <v>168.99999999999989</v>
      </c>
      <c r="CU38" s="18">
        <f>CT38*VLOOKUP('Données projet'!$B$13,Paramètres!$A$1:$I$89,3,0)*VLOOKUP('Données projet'!$B$13,Paramètres!$A$1:$I$89,5,0)</f>
        <v>152.91119999999989</v>
      </c>
      <c r="CV38" s="14">
        <f t="shared" si="41"/>
        <v>39.239424324197508</v>
      </c>
      <c r="CW38" s="22">
        <f t="shared" si="13"/>
        <v>334.66233736464375</v>
      </c>
      <c r="CX38" s="62">
        <f t="shared" si="14"/>
        <v>627.99567069797706</v>
      </c>
      <c r="CY38" s="62">
        <f ca="1">AVERAGE(OFFSET($CX$3,0,0,'Données projet'!$E$13+1,1))-AVERAGE(OFFSET($H$3,0,0,'Données projet'!$E$13+1,1))</f>
        <v>244.82163392718377</v>
      </c>
      <c r="CZ38" s="62">
        <f t="shared" si="42"/>
        <v>342.30266518164211</v>
      </c>
      <c r="DA38" s="16">
        <f>IF(ISNA(VLOOKUP(A38,'Données projet'!$A$139:$I$159,3,0)),0,VLOOKUP(A38,'Données projet'!$A$139:$I$159,3,0))</f>
        <v>7</v>
      </c>
      <c r="DB38" s="16">
        <f>IF(ISNA(VLOOKUP(A38,'Données projet'!$A$139:$I$159,4,0)),0,VLOOKUP(A38,'Données projet'!$A$139:$I$159,4,0))</f>
        <v>5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5.3516388927678866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5.3516388927678866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173</v>
      </c>
      <c r="DM38" s="13">
        <f>VLOOKUP(A38,'Données projet'!$A$165:$I$185,9,0)</f>
        <v>10.8</v>
      </c>
      <c r="DN38" s="13">
        <f t="array" ref="DN38">INDEX(DM:DM,MIN(IF(ISNUMBER(DM38:DM234),ROW(DM38:DM234),"")))</f>
        <v>10.8</v>
      </c>
      <c r="DO38" s="13">
        <f>IF('Données projet'!$A$166&gt;35,DO37+DN38-DW37,IF(A38&lt;'Données projet'!$A$166,$DL$205^A38,IF(A38='Données projet'!$A$166,'Données projet'!$B$166,DO37+DN38-DW37)))</f>
        <v>173.00000000000003</v>
      </c>
      <c r="DP38" s="18">
        <f>DO38*VLOOKUP('Données projet'!$B$14,Paramètres!$A$1:$I$89,3,0)*VLOOKUP('Données projet'!$B$14,Paramètres!$A$1:$I$89,5,0)</f>
        <v>137.63880000000003</v>
      </c>
      <c r="DQ38" s="14">
        <f t="shared" si="43"/>
        <v>35.755553413044268</v>
      </c>
      <c r="DR38" s="22">
        <f t="shared" si="16"/>
        <v>301.99516552771883</v>
      </c>
      <c r="DS38" s="62">
        <f t="shared" si="17"/>
        <v>595.32849886105214</v>
      </c>
      <c r="DT38" s="62">
        <f ca="1">AVERAGE(OFFSET($DS$3,0,0,'Données projet'!$E$14+1,1))-AVERAGE(OFFSET($H$3,0,0,'Données projet'!$E$14+1,1))</f>
        <v>298.89893065707554</v>
      </c>
      <c r="DU38" s="62">
        <f t="shared" si="44"/>
        <v>294.28794439094878</v>
      </c>
      <c r="DV38" s="16">
        <f>IF(ISNA(VLOOKUP(A38,'Données projet'!$A$165:$I$185,3,0)),0,VLOOKUP(A38,'Données projet'!$A$165:$I$185,3,0))</f>
        <v>5</v>
      </c>
      <c r="DW38" s="16">
        <f>IF(ISNA(VLOOKUP(A38,'Données projet'!$A$165:$I$185,4,0)),0,VLOOKUP(A38,'Données projet'!$A$165:$I$185,4,0))</f>
        <v>28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147</v>
      </c>
      <c r="EH38" s="13">
        <f>VLOOKUP(A38,'Données projet'!$A$191:$I$211,9,0)</f>
        <v>10.8</v>
      </c>
      <c r="EI38" s="13">
        <f t="array" ref="EI38">INDEX(EH:EH,MIN(IF(ISNUMBER(EH38:EH234),ROW(EH38:EH234),"")))</f>
        <v>10.8</v>
      </c>
      <c r="EJ38" s="13">
        <f>IF('Données projet'!$A$192&gt;35,EJ37+EI38-ER37,IF(A38&lt;'Données projet'!$A$192,$EG$205^A38,IF(A38='Données projet'!$A$192,'Données projet'!$B$192,EJ37+EI38-ER37)))</f>
        <v>147.00000000000006</v>
      </c>
      <c r="EK38" s="18">
        <f>EJ38*VLOOKUP('Données projet'!$B$15,Paramètres!$A$1:$I$89,3,0)*VLOOKUP('Données projet'!$B$15,Paramètres!$A$1:$I$89,5,0)</f>
        <v>133.00560000000004</v>
      </c>
      <c r="EL38" s="14">
        <f t="shared" si="45"/>
        <v>34.689938673073549</v>
      </c>
      <c r="EM38" s="22">
        <f t="shared" si="19"/>
        <v>292.06972985560316</v>
      </c>
      <c r="EN38" s="62">
        <f t="shared" si="20"/>
        <v>585.40306318893647</v>
      </c>
      <c r="EO38" s="62">
        <f ca="1">AVERAGE(OFFSET($EN$3,0,0,'Données projet'!$E$15+1,1))-AVERAGE(OFFSET($H$3,0,0,'Données projet'!$E$15+1,1))</f>
        <v>439.06700232017681</v>
      </c>
      <c r="EP38" s="62">
        <f t="shared" si="46"/>
        <v>278.21741231699929</v>
      </c>
      <c r="EQ38" s="16">
        <f>IF(ISNA(VLOOKUP(A38,'Données projet'!$A$191:$I$211,3,0)),0,VLOOKUP(A38,'Données projet'!$A$191:$I$211,3,0))</f>
        <v>4</v>
      </c>
      <c r="ER38" s="16">
        <f>IF(ISNA(VLOOKUP(A38,'Données projet'!$A$191:$I$211,4,0)),0,VLOOKUP(A38,'Données projet'!$A$191:$I$211,4,0))</f>
        <v>28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7.9485102507112106</v>
      </c>
      <c r="EX38" s="23">
        <f>EXP(-LN(2)/2)*EX37+(1-EXP(-LN(2)/2))/(LN(2)/2)*ER38*EU38*VLOOKUP('Données projet'!$B$15,Paramètres!$A$1:$I$89,3,0)*0.475*44/12</f>
        <v>2.6357006892824884</v>
      </c>
      <c r="EY38" s="24">
        <f t="shared" si="21"/>
        <v>10.584210939993699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147</v>
      </c>
      <c r="FC38" s="13">
        <f>VLOOKUP(A38,'Données projet'!$A$217:$I$237,9,0)</f>
        <v>10.8</v>
      </c>
      <c r="FD38" s="13">
        <f t="array" ref="FD38">INDEX(FC:FC,MIN(IF(ISNUMBER(FC38:FC234),ROW(FC38:FC234),"")))</f>
        <v>10.8</v>
      </c>
      <c r="FE38" s="13">
        <f>IF('Données projet'!$A$218&gt;35,FE37+FD38-FM37,IF(A38&lt;'Données projet'!$A$218,$FB$205^A38,IF(A38='Données projet'!$A$218,'Données projet'!$B$218,FE37+FD38-FM37)))</f>
        <v>147.00000000000006</v>
      </c>
      <c r="FF38" s="18">
        <f>FE38*VLOOKUP('Données projet'!$B$16,Paramètres!$A$1:$I$89,3,0)*VLOOKUP('Données projet'!$B$16,Paramètres!$A$1:$I$89,5,0)</f>
        <v>142.17840000000004</v>
      </c>
      <c r="FG38" s="14">
        <f t="shared" si="47"/>
        <v>36.795597013009356</v>
      </c>
      <c r="FH38" s="22">
        <f t="shared" si="22"/>
        <v>311.71304479765803</v>
      </c>
      <c r="FI38" s="62">
        <f t="shared" si="23"/>
        <v>605.04637813099134</v>
      </c>
      <c r="FJ38" s="62">
        <f ca="1">AVERAGE(OFFSET($FI$3,0,0,'Données projet'!$E$16+1,1))-AVERAGE(OFFSET($H$3,0,0,'Données projet'!$E$16+1,1))</f>
        <v>466.4945858005575</v>
      </c>
      <c r="FK38" s="62">
        <f t="shared" si="48"/>
        <v>294.45557293177131</v>
      </c>
      <c r="FL38" s="16">
        <f>IF(ISNA(VLOOKUP(A38,'Données projet'!$A$217:$I$237,3,0)),0,VLOOKUP(A38,'Données projet'!$A$217:$I$237,3,0))</f>
        <v>4</v>
      </c>
      <c r="FM38" s="16">
        <f>IF(ISNA(VLOOKUP(A38,'Données projet'!$A$217:$I$237,4,0)),0,VLOOKUP(A38,'Données projet'!$A$217:$I$237,4,0))</f>
        <v>28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5.3457915839914891</v>
      </c>
      <c r="FT38" s="24">
        <f t="shared" si="24"/>
        <v>5.3457915839914891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147</v>
      </c>
      <c r="FX38" s="13">
        <f>VLOOKUP(A38,'Données projet'!$A$243:$I$263,9,0)</f>
        <v>10.8</v>
      </c>
      <c r="FY38" s="13">
        <f t="array" ref="FY38">INDEX(FX:FX,MIN(IF(ISNUMBER(FX38:FX234),ROW(FX38:FX234),"")))</f>
        <v>10.8</v>
      </c>
      <c r="FZ38" s="13">
        <f>IF('Données projet'!$A$244&gt;35,FZ37+FY38-GH37,IF(A38&lt;'Données projet'!$A$244,$FW$205^A38,IF(A38='Données projet'!$A$244,'Données projet'!$B$244,FZ37+FY38-GH37)))</f>
        <v>147.00000000000006</v>
      </c>
      <c r="GA38" s="18">
        <f>FZ38*VLOOKUP('Données projet'!$B$17,Paramètres!$A$1:$I$89,3,0)*VLOOKUP('Données projet'!$B$17,Paramètres!$A$1:$I$89,5,0)</f>
        <v>139.88520000000005</v>
      </c>
      <c r="GB38" s="14">
        <f t="shared" si="49"/>
        <v>36.270705171602728</v>
      </c>
      <c r="GC38" s="22">
        <f t="shared" si="25"/>
        <v>306.80486817387487</v>
      </c>
      <c r="GD38" s="62">
        <f t="shared" si="26"/>
        <v>600.13820150720812</v>
      </c>
      <c r="GE38" s="62">
        <f ca="1">AVERAGE(OFFSET($GD$3,0,0,'Données projet'!$E$17+1,1))-AVERAGE(OFFSET($H$3,0,0,'Données projet'!$E$17+1,1))</f>
        <v>459.64120566196812</v>
      </c>
      <c r="GF38" s="62">
        <f t="shared" si="50"/>
        <v>290.39826583283588</v>
      </c>
      <c r="GG38" s="16">
        <f>IF(ISNA(VLOOKUP(A38,'Données projet'!$A$243:$I$263,3,0)),0,VLOOKUP(A38,'Données projet'!$A$243:$I$263,3,0))</f>
        <v>4</v>
      </c>
      <c r="GH38" s="16">
        <f>IF(ISNA(VLOOKUP(A38,'Données projet'!$A$243:$I$263,4,0)),0,VLOOKUP(A38,'Données projet'!$A$243:$I$263,4,0))</f>
        <v>28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4.8</v>
      </c>
      <c r="N39" s="14">
        <f>IF('Données projet'!$A$36&gt;35,N38+M39-V38,IF(A39&lt;'Données projet'!$A$36,$K$205^A39,IF(A39='Données projet'!$A$36,'Données projet'!$B$36,N38+M39-V38)))</f>
        <v>174.79999999999998</v>
      </c>
      <c r="O39" s="14">
        <f>N39*VLOOKUP('Données projet'!$B$9,Paramètres!$A$1:$I$89,3,0)*VLOOKUP('Données projet'!$B$9,Paramètres!$A$1:$I$89,5,0)</f>
        <v>95.440799999999996</v>
      </c>
      <c r="P39" s="14">
        <f t="shared" si="33"/>
        <v>25.872898812185603</v>
      </c>
      <c r="Q39" s="22">
        <f t="shared" si="53"/>
        <v>211.28802543122325</v>
      </c>
      <c r="R39" s="62">
        <f t="shared" si="0"/>
        <v>504.62135876455659</v>
      </c>
      <c r="S39" s="62">
        <f ca="1">AVERAGE(OFFSET($R$3,0,0,'Données projet'!$E$9+1,1))-AVERAGE(OFFSET($H$3,0,0,'Données projet'!$E$9+1,1))</f>
        <v>170.27677128684815</v>
      </c>
      <c r="T39" s="62">
        <f t="shared" si="34"/>
        <v>243.47439640666289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6.9919817421967911</v>
      </c>
      <c r="AB39" s="23">
        <f>EXP(-LN(2)/2)*AB38+(1-EXP(-LN(2)/2))/(LN(2)/2)*V39*Y39*VLOOKUP('Données projet'!$B$9,Paramètres!$A$1:$I$89,3,0)*0.475*44/12</f>
        <v>0.95167353552597533</v>
      </c>
      <c r="AC39" s="24">
        <f t="shared" si="3"/>
        <v>7.9436552777227663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152.59999999999997</v>
      </c>
      <c r="AJ39" s="14">
        <f>AI39*VLOOKUP('Données projet'!$B$10,Paramètres!$A$1:$I$89,3,0)*VLOOKUP('Données projet'!$B$10,Paramètres!$A$1:$I$89,5,0)</f>
        <v>133.31135999999998</v>
      </c>
      <c r="AK39" s="14">
        <f t="shared" si="35"/>
        <v>34.760393689821633</v>
      </c>
      <c r="AL39" s="22">
        <f t="shared" si="4"/>
        <v>292.72497100977256</v>
      </c>
      <c r="AM39" s="62">
        <f t="shared" si="5"/>
        <v>586.05830434310587</v>
      </c>
      <c r="AN39" s="62">
        <f ca="1">AVERAGE(OFFSET($AM$3,0,0,'Données projet'!$E$10+1,1))-AVERAGE(OFFSET($H$3,0,0,'Données projet'!$E$10+1,1))</f>
        <v>327.826081588335</v>
      </c>
      <c r="AO39" s="62">
        <f t="shared" si="36"/>
        <v>348.84706693879735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13.416066527002881</v>
      </c>
      <c r="AW39" s="23">
        <f>EXP(-LN(2)/2)*AW38+(1-EXP(-LN(2)/2))/(LN(2)/2)*AQ39*AT39*VLOOKUP('Données projet'!$B$10,Paramètres!$A$1:$I$89,3,0)*0.475*44/12</f>
        <v>1.8618468281951157</v>
      </c>
      <c r="AX39" s="23">
        <f t="shared" si="6"/>
        <v>15.277913355197997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13.2</v>
      </c>
      <c r="BD39" s="13">
        <f>IF('Données projet'!$A$88&gt;35,BD38+BC39-BL38,IF(A39&lt;'Données projet'!$A$88,$BA$205^A39,IF(A39='Données projet'!$A$88,'Données projet'!$B$88,BD38+BC39-BL38)))</f>
        <v>210.2</v>
      </c>
      <c r="BE39" s="14">
        <f>BD39*VLOOKUP('Données projet'!$B$11,Paramètres!$A$1:$I$89,3,0)*VLOOKUP('Données projet'!$B$11,Paramètres!$A$1:$I$89,5,0)</f>
        <v>154.11863999999997</v>
      </c>
      <c r="BF39" s="14">
        <f t="shared" si="37"/>
        <v>39.513080685376593</v>
      </c>
      <c r="BG39" s="22">
        <f t="shared" si="7"/>
        <v>337.24191352703082</v>
      </c>
      <c r="BH39" s="62">
        <f t="shared" si="8"/>
        <v>630.57524686036413</v>
      </c>
      <c r="BI39" s="62">
        <f ca="1">AVERAGE(OFFSET($BH$3,0,0,'Données projet'!$E$11+1,1))-AVERAGE(OFFSET($H$3,0,0,'Données projet'!$E$11+1,1))</f>
        <v>376.5422416541544</v>
      </c>
      <c r="BJ39" s="62">
        <f t="shared" si="38"/>
        <v>365.76175372075869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21.949305681050749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21.949305681050749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>
        <f>VLOOKUP(A39,'Données projet'!$A$113:$I$133,2,0)</f>
        <v>501.41</v>
      </c>
      <c r="BW39" s="13">
        <f>VLOOKUP(A39,'Données projet'!$A$113:$I$133,9,0)</f>
        <v>29.77000000000001</v>
      </c>
      <c r="BX39" s="13">
        <f t="array" ref="BX39">INDEX(BW:BW,MIN(IF(ISNUMBER(BW39:BW235),ROW(BW39:BW235),"")))</f>
        <v>29.77000000000001</v>
      </c>
      <c r="BY39" s="13">
        <f>IF('Données projet'!$A$114&gt;35,BY38+BX39-CG38,IF(A39&lt;'Données projet'!$A$114,$BV$205^A39,IF(A39='Données projet'!$A$114,'Données projet'!$B$114,BY38+BX39-CG38)))</f>
        <v>501.40999999999997</v>
      </c>
      <c r="BZ39" s="14">
        <f>BY39*VLOOKUP('Données projet'!$B$12,Paramètres!$A$1:$I$89,3,0)*VLOOKUP('Données projet'!$B$12,Paramètres!$A$1:$I$89,5,0)</f>
        <v>280.28818999999999</v>
      </c>
      <c r="CA39" s="14">
        <f t="shared" si="39"/>
        <v>67.027908065763796</v>
      </c>
      <c r="CB39" s="22">
        <f t="shared" si="10"/>
        <v>604.90887079787183</v>
      </c>
      <c r="CC39" s="62">
        <f t="shared" si="11"/>
        <v>898.2422041312052</v>
      </c>
      <c r="CD39" s="62">
        <f ca="1">AVERAGE(OFFSET($CC$3,0,0,'Données projet'!$E$12+1,1))-AVERAGE(OFFSET($H$3,0,0,'Données projet'!$E$12+1,1))</f>
        <v>405.09126081846171</v>
      </c>
      <c r="CE39" s="62">
        <f t="shared" si="40"/>
        <v>534.22295841722166</v>
      </c>
      <c r="CF39" s="16">
        <f>IF(ISNA(VLOOKUP(A39,'Données projet'!$A$113:$I$133,3,0)),0,VLOOKUP(A39,'Données projet'!$A$113:$I$133,3,0))</f>
        <v>11</v>
      </c>
      <c r="CG39" s="16">
        <f>IF(ISNA(VLOOKUP(A39,'Données projet'!$A$113:$I$133,4,0)),0,VLOOKUP(A39,'Données projet'!$A$113:$I$133,4,0))</f>
        <v>85.88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8.746963334105935</v>
      </c>
      <c r="CL39" s="23">
        <f>EXP(-LN(2)/25)*CL38+(1-EXP(-LN(2)/25))/(LN(2)/25)*Calculateur!CG39*Calculateur!CI39*VLOOKUP('Données projet'!$B$12,Paramètres!$A$1:$I$89,3,0)*0.475*44/12</f>
        <v>11.871679347226175</v>
      </c>
      <c r="CM39" s="23">
        <f>EXP(-LN(2)/2)*CM38+(1-EXP(-LN(2)/2))/(LN(2)/2)*CG39*CJ39*VLOOKUP('Données projet'!$B$12,Paramètres!$A$1:$I$89,3,0)*0.475*44/12</f>
        <v>0.1987090105665778</v>
      </c>
      <c r="CN39" s="24">
        <f t="shared" si="12"/>
        <v>20.81735169189869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3.8</v>
      </c>
      <c r="CT39" s="13">
        <f>IF('Données projet'!$A$140&gt;35,CT38+CS39-DB38,IF(A39&lt;'Données projet'!$A$140,$CQ$205^A39,IF(A39='Données projet'!$A$140,'Données projet'!$B$140,CT38+CS39-DB38)))</f>
        <v>167.7999999999999</v>
      </c>
      <c r="CU39" s="18">
        <f>CT39*VLOOKUP('Données projet'!$B$13,Paramètres!$A$1:$I$89,3,0)*VLOOKUP('Données projet'!$B$13,Paramètres!$A$1:$I$89,5,0)</f>
        <v>151.8254399999999</v>
      </c>
      <c r="CV39" s="14">
        <f t="shared" si="41"/>
        <v>38.993130915848106</v>
      </c>
      <c r="CW39" s="22">
        <f t="shared" si="13"/>
        <v>332.34234434510194</v>
      </c>
      <c r="CX39" s="62">
        <f t="shared" si="14"/>
        <v>625.67567767843525</v>
      </c>
      <c r="CY39" s="62">
        <f ca="1">AVERAGE(OFFSET($CX$3,0,0,'Données projet'!$E$13+1,1))-AVERAGE(OFFSET($H$3,0,0,'Données projet'!$E$13+1,1))</f>
        <v>244.82163392718377</v>
      </c>
      <c r="CZ39" s="62">
        <f t="shared" si="42"/>
        <v>342.30266518164211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5.2466965182581218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5.2466965182581218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9.4</v>
      </c>
      <c r="DO39" s="13">
        <f>IF('Données projet'!$A$166&gt;35,DO38+DN39-DW38,IF(A39&lt;'Données projet'!$A$166,$DL$205^A39,IF(A39='Données projet'!$A$166,'Données projet'!$B$166,DO38+DN39-DW38)))</f>
        <v>154.40000000000003</v>
      </c>
      <c r="DP39" s="18">
        <f>DO39*VLOOKUP('Données projet'!$B$14,Paramètres!$A$1:$I$89,3,0)*VLOOKUP('Données projet'!$B$14,Paramètres!$A$1:$I$89,5,0)</f>
        <v>122.84064000000002</v>
      </c>
      <c r="DQ39" s="14">
        <f t="shared" si="43"/>
        <v>32.336627088964654</v>
      </c>
      <c r="DR39" s="22">
        <f t="shared" si="16"/>
        <v>270.26707351328014</v>
      </c>
      <c r="DS39" s="62">
        <f t="shared" si="17"/>
        <v>563.6004068466134</v>
      </c>
      <c r="DT39" s="62">
        <f ca="1">AVERAGE(OFFSET($DS$3,0,0,'Données projet'!$E$14+1,1))-AVERAGE(OFFSET($H$3,0,0,'Données projet'!$E$14+1,1))</f>
        <v>298.89893065707554</v>
      </c>
      <c r="DU39" s="62">
        <f t="shared" si="44"/>
        <v>294.28794439094878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11.2</v>
      </c>
      <c r="EJ39" s="13">
        <f>IF('Données projet'!$A$192&gt;35,EJ38+EI39-ER38,IF(A39&lt;'Données projet'!$A$192,$EG$205^A39,IF(A39='Données projet'!$A$192,'Données projet'!$B$192,EJ38+EI39-ER38)))</f>
        <v>130.20000000000005</v>
      </c>
      <c r="EK39" s="18">
        <f>EJ39*VLOOKUP('Données projet'!$B$15,Paramètres!$A$1:$I$89,3,0)*VLOOKUP('Données projet'!$B$15,Paramètres!$A$1:$I$89,5,0)</f>
        <v>117.80496000000004</v>
      </c>
      <c r="EL39" s="14">
        <f t="shared" si="45"/>
        <v>31.162493487829593</v>
      </c>
      <c r="EM39" s="22">
        <f t="shared" si="19"/>
        <v>259.45164815796994</v>
      </c>
      <c r="EN39" s="62">
        <f t="shared" si="20"/>
        <v>552.78498149130326</v>
      </c>
      <c r="EO39" s="62">
        <f ca="1">AVERAGE(OFFSET($EN$3,0,0,'Données projet'!$E$15+1,1))-AVERAGE(OFFSET($H$3,0,0,'Données projet'!$E$15+1,1))</f>
        <v>439.06700232017681</v>
      </c>
      <c r="EP39" s="62">
        <f t="shared" si="46"/>
        <v>278.21741231699929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7.731157819911525</v>
      </c>
      <c r="EX39" s="23">
        <f>EXP(-LN(2)/2)*EX38+(1-EXP(-LN(2)/2))/(LN(2)/2)*ER39*EU39*VLOOKUP('Données projet'!$B$15,Paramètres!$A$1:$I$89,3,0)*0.475*44/12</f>
        <v>1.8637218305697052</v>
      </c>
      <c r="EY39" s="24">
        <f t="shared" si="21"/>
        <v>9.5948796504812304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11.2</v>
      </c>
      <c r="FE39" s="13">
        <f>IF('Données projet'!$A$218&gt;35,FE38+FD39-FM38,IF(A39&lt;'Données projet'!$A$218,$FB$205^A39,IF(A39='Données projet'!$A$218,'Données projet'!$B$218,FE38+FD39-FM38)))</f>
        <v>130.20000000000005</v>
      </c>
      <c r="FF39" s="18">
        <f>FE39*VLOOKUP('Données projet'!$B$16,Paramètres!$A$1:$I$89,3,0)*VLOOKUP('Données projet'!$B$16,Paramètres!$A$1:$I$89,5,0)</f>
        <v>125.92944000000006</v>
      </c>
      <c r="FG39" s="14">
        <f t="shared" si="47"/>
        <v>33.054038034052077</v>
      </c>
      <c r="FH39" s="22">
        <f t="shared" si="22"/>
        <v>276.89622424264081</v>
      </c>
      <c r="FI39" s="62">
        <f t="shared" si="23"/>
        <v>570.22955757597413</v>
      </c>
      <c r="FJ39" s="62">
        <f ca="1">AVERAGE(OFFSET($FI$3,0,0,'Données projet'!$E$16+1,1))-AVERAGE(OFFSET($H$3,0,0,'Données projet'!$E$16+1,1))</f>
        <v>466.4945858005575</v>
      </c>
      <c r="FK39" s="62">
        <f t="shared" si="48"/>
        <v>294.45557293177131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3.7800454798503575</v>
      </c>
      <c r="FT39" s="24">
        <f t="shared" si="24"/>
        <v>3.7800454798503575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11.2</v>
      </c>
      <c r="FZ39" s="13">
        <f>IF('Données projet'!$A$244&gt;35,FZ38+FY39-GH38,IF(A39&lt;'Données projet'!$A$244,$FW$205^A39,IF(A39='Données projet'!$A$244,'Données projet'!$B$244,FZ38+FY39-GH38)))</f>
        <v>130.20000000000005</v>
      </c>
      <c r="GA39" s="18">
        <f>FZ39*VLOOKUP('Données projet'!$B$17,Paramètres!$A$1:$I$89,3,0)*VLOOKUP('Données projet'!$B$17,Paramètres!$A$1:$I$89,5,0)</f>
        <v>123.89832000000004</v>
      </c>
      <c r="GB39" s="14">
        <f t="shared" si="49"/>
        <v>32.58251980094704</v>
      </c>
      <c r="GC39" s="22">
        <f t="shared" si="25"/>
        <v>272.53746265331614</v>
      </c>
      <c r="GD39" s="62">
        <f t="shared" si="26"/>
        <v>565.87079598664945</v>
      </c>
      <c r="GE39" s="62">
        <f ca="1">AVERAGE(OFFSET($GD$3,0,0,'Données projet'!$E$17+1,1))-AVERAGE(OFFSET($H$3,0,0,'Données projet'!$E$17+1,1))</f>
        <v>459.64120566196812</v>
      </c>
      <c r="GF39" s="62">
        <f t="shared" si="50"/>
        <v>290.39826583283588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4.8</v>
      </c>
      <c r="N40" s="14">
        <f>IF('Données projet'!$A$36&gt;35,N39+M40-V39,IF(A40&lt;'Données projet'!$A$36,$K$205^A40,IF(A40='Données projet'!$A$36,'Données projet'!$B$36,N39+M40-V39)))</f>
        <v>179.6</v>
      </c>
      <c r="O40" s="14">
        <f>N40*VLOOKUP('Données projet'!$B$9,Paramètres!$A$1:$I$89,3,0)*VLOOKUP('Données projet'!$B$9,Paramètres!$A$1:$I$89,5,0)</f>
        <v>98.061599999999984</v>
      </c>
      <c r="P40" s="14">
        <f t="shared" si="33"/>
        <v>26.499675705384416</v>
      </c>
      <c r="Q40" s="22">
        <f t="shared" si="53"/>
        <v>216.94422185354449</v>
      </c>
      <c r="R40" s="62">
        <f t="shared" si="0"/>
        <v>510.27755518687781</v>
      </c>
      <c r="S40" s="62">
        <f ca="1">AVERAGE(OFFSET($R$3,0,0,'Données projet'!$E$9+1,1))-AVERAGE(OFFSET($H$3,0,0,'Données projet'!$E$9+1,1))</f>
        <v>170.27677128684815</v>
      </c>
      <c r="T40" s="62">
        <f t="shared" si="34"/>
        <v>243.47439640666289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6.8007856337640806</v>
      </c>
      <c r="AB40" s="23">
        <f>EXP(-LN(2)/2)*AB39+(1-EXP(-LN(2)/2))/(LN(2)/2)*V40*Y40*VLOOKUP('Données projet'!$B$9,Paramètres!$A$1:$I$89,3,0)*0.475*44/12</f>
        <v>0.67293481044619397</v>
      </c>
      <c r="AC40" s="24">
        <f t="shared" si="3"/>
        <v>7.4737204442102749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162.19999999999996</v>
      </c>
      <c r="AJ40" s="14">
        <f>AI40*VLOOKUP('Données projet'!$B$10,Paramètres!$A$1:$I$89,3,0)*VLOOKUP('Données projet'!$B$10,Paramètres!$A$1:$I$89,5,0)</f>
        <v>141.69791999999998</v>
      </c>
      <c r="AK40" s="14">
        <f t="shared" si="35"/>
        <v>36.685701801209362</v>
      </c>
      <c r="AL40" s="22">
        <f t="shared" si="4"/>
        <v>310.68480797043964</v>
      </c>
      <c r="AM40" s="62">
        <f t="shared" si="5"/>
        <v>604.01814130377295</v>
      </c>
      <c r="AN40" s="62">
        <f ca="1">AVERAGE(OFFSET($AM$3,0,0,'Données projet'!$E$10+1,1))-AVERAGE(OFFSET($H$3,0,0,'Données projet'!$E$10+1,1))</f>
        <v>327.826081588335</v>
      </c>
      <c r="AO40" s="62">
        <f t="shared" si="36"/>
        <v>348.84706693879735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13.049203482301712</v>
      </c>
      <c r="AW40" s="23">
        <f>EXP(-LN(2)/2)*AW39+(1-EXP(-LN(2)/2))/(LN(2)/2)*AQ40*AT40*VLOOKUP('Données projet'!$B$10,Paramètres!$A$1:$I$89,3,0)*0.475*44/12</f>
        <v>1.3165245177474314</v>
      </c>
      <c r="AX40" s="23">
        <f t="shared" si="6"/>
        <v>14.365728000049144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13.2</v>
      </c>
      <c r="BD40" s="13">
        <f>IF('Données projet'!$A$88&gt;35,BD39+BC40-BL39,IF(A40&lt;'Données projet'!$A$88,$BA$205^A40,IF(A40='Données projet'!$A$88,'Données projet'!$B$88,BD39+BC40-BL39)))</f>
        <v>223.39999999999998</v>
      </c>
      <c r="BE40" s="14">
        <f>BD40*VLOOKUP('Données projet'!$B$11,Paramètres!$A$1:$I$89,3,0)*VLOOKUP('Données projet'!$B$11,Paramètres!$A$1:$I$89,5,0)</f>
        <v>163.79687999999999</v>
      </c>
      <c r="BF40" s="14">
        <f t="shared" si="37"/>
        <v>41.697739822198329</v>
      </c>
      <c r="BG40" s="22">
        <f t="shared" si="7"/>
        <v>357.90312952366207</v>
      </c>
      <c r="BH40" s="62">
        <f t="shared" si="8"/>
        <v>651.23646285699533</v>
      </c>
      <c r="BI40" s="62">
        <f ca="1">AVERAGE(OFFSET($BH$3,0,0,'Données projet'!$E$11+1,1))-AVERAGE(OFFSET($H$3,0,0,'Données projet'!$E$11+1,1))</f>
        <v>376.5422416541544</v>
      </c>
      <c r="BJ40" s="62">
        <f t="shared" si="38"/>
        <v>365.76175372075869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21.518893184399879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21.518893184399879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27.234999999999985</v>
      </c>
      <c r="BY40" s="13">
        <f>IF('Données projet'!$A$114&gt;35,BY39+BX40-CG39,IF(A40&lt;'Données projet'!$A$114,$BV$205^A40,IF(A40='Données projet'!$A$114,'Données projet'!$B$114,BY39+BX40-CG39)))</f>
        <v>442.76499999999999</v>
      </c>
      <c r="BZ40" s="14">
        <f>BY40*VLOOKUP('Données projet'!$B$12,Paramètres!$A$1:$I$89,3,0)*VLOOKUP('Données projet'!$B$12,Paramètres!$A$1:$I$89,5,0)</f>
        <v>247.50563500000001</v>
      </c>
      <c r="CA40" s="14">
        <f t="shared" si="39"/>
        <v>60.051498808282631</v>
      </c>
      <c r="CB40" s="22">
        <f t="shared" si="10"/>
        <v>535.66200804942548</v>
      </c>
      <c r="CC40" s="62">
        <f t="shared" si="11"/>
        <v>828.99534138275885</v>
      </c>
      <c r="CD40" s="62">
        <f ca="1">AVERAGE(OFFSET($CC$3,0,0,'Données projet'!$E$12+1,1))-AVERAGE(OFFSET($H$3,0,0,'Données projet'!$E$12+1,1))</f>
        <v>405.09126081846171</v>
      </c>
      <c r="CE40" s="62">
        <f t="shared" si="40"/>
        <v>534.22295841722166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8.5754407182449519</v>
      </c>
      <c r="CL40" s="23">
        <f>EXP(-LN(2)/25)*CL39+(1-EXP(-LN(2)/25))/(LN(2)/25)*Calculateur!CG40*Calculateur!CI40*VLOOKUP('Données projet'!$B$12,Paramètres!$A$1:$I$89,3,0)*0.475*44/12</f>
        <v>11.547047651171791</v>
      </c>
      <c r="CM40" s="23">
        <f>EXP(-LN(2)/2)*CM39+(1-EXP(-LN(2)/2))/(LN(2)/2)*CG40*CJ40*VLOOKUP('Données projet'!$B$12,Paramètres!$A$1:$I$89,3,0)*0.475*44/12</f>
        <v>0.14050848885449649</v>
      </c>
      <c r="CN40" s="24">
        <f t="shared" si="12"/>
        <v>20.26299685827124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3.8</v>
      </c>
      <c r="CT40" s="13">
        <f>IF('Données projet'!$A$140&gt;35,CT39+CS40-DB39,IF(A40&lt;'Données projet'!$A$140,$CQ$205^A40,IF(A40='Données projet'!$A$140,'Données projet'!$B$140,CT39+CS40-DB39)))</f>
        <v>171.59999999999991</v>
      </c>
      <c r="CU40" s="18">
        <f>CT40*VLOOKUP('Données projet'!$B$13,Paramètres!$A$1:$I$89,3,0)*VLOOKUP('Données projet'!$B$13,Paramètres!$A$1:$I$89,5,0)</f>
        <v>155.26367999999991</v>
      </c>
      <c r="CV40" s="14">
        <f t="shared" si="41"/>
        <v>39.77236412265178</v>
      </c>
      <c r="CW40" s="22">
        <f t="shared" si="13"/>
        <v>339.68777684695164</v>
      </c>
      <c r="CX40" s="62">
        <f t="shared" si="14"/>
        <v>633.02111018028495</v>
      </c>
      <c r="CY40" s="62">
        <f ca="1">AVERAGE(OFFSET($CX$3,0,0,'Données projet'!$E$13+1,1))-AVERAGE(OFFSET($H$3,0,0,'Données projet'!$E$13+1,1))</f>
        <v>244.82163392718377</v>
      </c>
      <c r="CZ40" s="62">
        <f t="shared" si="42"/>
        <v>342.30266518164211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5.1438119997039653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5.1438119997039653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9.4</v>
      </c>
      <c r="DO40" s="13">
        <f>IF('Données projet'!$A$166&gt;35,DO39+DN40-DW39,IF(A40&lt;'Données projet'!$A$166,$DL$205^A40,IF(A40='Données projet'!$A$166,'Données projet'!$B$166,DO39+DN40-DW39)))</f>
        <v>163.80000000000004</v>
      </c>
      <c r="DP40" s="18">
        <f>DO40*VLOOKUP('Données projet'!$B$14,Paramètres!$A$1:$I$89,3,0)*VLOOKUP('Données projet'!$B$14,Paramètres!$A$1:$I$89,5,0)</f>
        <v>130.31928000000005</v>
      </c>
      <c r="DQ40" s="14">
        <f t="shared" si="43"/>
        <v>34.070125030168121</v>
      </c>
      <c r="DR40" s="22">
        <f t="shared" si="16"/>
        <v>286.31154709420952</v>
      </c>
      <c r="DS40" s="62">
        <f t="shared" si="17"/>
        <v>579.64488042754283</v>
      </c>
      <c r="DT40" s="62">
        <f ca="1">AVERAGE(OFFSET($DS$3,0,0,'Données projet'!$E$14+1,1))-AVERAGE(OFFSET($H$3,0,0,'Données projet'!$E$14+1,1))</f>
        <v>298.89893065707554</v>
      </c>
      <c r="DU40" s="62">
        <f t="shared" si="44"/>
        <v>294.28794439094878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11.2</v>
      </c>
      <c r="EJ40" s="13">
        <f>IF('Données projet'!$A$192&gt;35,EJ39+EI40-ER39,IF(A40&lt;'Données projet'!$A$192,$EG$205^A40,IF(A40='Données projet'!$A$192,'Données projet'!$B$192,EJ39+EI40-ER39)))</f>
        <v>141.40000000000003</v>
      </c>
      <c r="EK40" s="18">
        <f>EJ40*VLOOKUP('Données projet'!$B$15,Paramètres!$A$1:$I$89,3,0)*VLOOKUP('Données projet'!$B$15,Paramètres!$A$1:$I$89,5,0)</f>
        <v>127.93872000000003</v>
      </c>
      <c r="EL40" s="14">
        <f t="shared" si="45"/>
        <v>33.519615889545641</v>
      </c>
      <c r="EM40" s="22">
        <f t="shared" si="19"/>
        <v>281.20660167429202</v>
      </c>
      <c r="EN40" s="62">
        <f t="shared" si="20"/>
        <v>574.53993500762533</v>
      </c>
      <c r="EO40" s="62">
        <f ca="1">AVERAGE(OFFSET($EN$3,0,0,'Données projet'!$E$15+1,1))-AVERAGE(OFFSET($H$3,0,0,'Données projet'!$E$15+1,1))</f>
        <v>439.06700232017681</v>
      </c>
      <c r="EP40" s="62">
        <f t="shared" si="46"/>
        <v>278.21741231699929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7.5197489027621245</v>
      </c>
      <c r="EX40" s="23">
        <f>EXP(-LN(2)/2)*EX39+(1-EXP(-LN(2)/2))/(LN(2)/2)*ER40*EU40*VLOOKUP('Données projet'!$B$15,Paramètres!$A$1:$I$89,3,0)*0.475*44/12</f>
        <v>1.3178503446412444</v>
      </c>
      <c r="EY40" s="24">
        <f t="shared" si="21"/>
        <v>8.837599247403368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11.2</v>
      </c>
      <c r="FE40" s="13">
        <f>IF('Données projet'!$A$218&gt;35,FE39+FD40-FM39,IF(A40&lt;'Données projet'!$A$218,$FB$205^A40,IF(A40='Données projet'!$A$218,'Données projet'!$B$218,FE39+FD40-FM39)))</f>
        <v>141.40000000000003</v>
      </c>
      <c r="FF40" s="18">
        <f>FE40*VLOOKUP('Données projet'!$B$16,Paramètres!$A$1:$I$89,3,0)*VLOOKUP('Données projet'!$B$16,Paramètres!$A$1:$I$89,5,0)</f>
        <v>136.76208000000003</v>
      </c>
      <c r="FG40" s="14">
        <f t="shared" si="47"/>
        <v>35.554236342883392</v>
      </c>
      <c r="FH40" s="22">
        <f t="shared" si="22"/>
        <v>300.11758429718861</v>
      </c>
      <c r="FI40" s="62">
        <f t="shared" si="23"/>
        <v>593.45091763052187</v>
      </c>
      <c r="FJ40" s="62">
        <f ca="1">AVERAGE(OFFSET($FI$3,0,0,'Données projet'!$E$16+1,1))-AVERAGE(OFFSET($H$3,0,0,'Données projet'!$E$16+1,1))</f>
        <v>466.4945858005575</v>
      </c>
      <c r="FK40" s="62">
        <f t="shared" si="48"/>
        <v>294.45557293177131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2.672895791995745</v>
      </c>
      <c r="FT40" s="24">
        <f t="shared" si="24"/>
        <v>2.672895791995745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11.2</v>
      </c>
      <c r="FZ40" s="13">
        <f>IF('Données projet'!$A$244&gt;35,FZ39+FY40-GH39,IF(A40&lt;'Données projet'!$A$244,$FW$205^A40,IF(A40='Données projet'!$A$244,'Données projet'!$B$244,FZ39+FY40-GH39)))</f>
        <v>141.40000000000003</v>
      </c>
      <c r="GA40" s="18">
        <f>FZ40*VLOOKUP('Données projet'!$B$17,Paramètres!$A$1:$I$89,3,0)*VLOOKUP('Données projet'!$B$17,Paramètres!$A$1:$I$89,5,0)</f>
        <v>134.55624000000003</v>
      </c>
      <c r="GB40" s="14">
        <f t="shared" si="49"/>
        <v>35.047052600838754</v>
      </c>
      <c r="GC40" s="22">
        <f t="shared" si="25"/>
        <v>295.39240127979423</v>
      </c>
      <c r="GD40" s="62">
        <f t="shared" si="26"/>
        <v>588.72573461312754</v>
      </c>
      <c r="GE40" s="62">
        <f ca="1">AVERAGE(OFFSET($GD$3,0,0,'Données projet'!$E$17+1,1))-AVERAGE(OFFSET($H$3,0,0,'Données projet'!$E$17+1,1))</f>
        <v>459.64120566196812</v>
      </c>
      <c r="GF40" s="62">
        <f t="shared" si="50"/>
        <v>290.39826583283588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4.8</v>
      </c>
      <c r="N41" s="14">
        <f>IF('Données projet'!$A$36&gt;35,N40+M41-V40,IF(A41&lt;'Données projet'!$A$36,$K$205^A41,IF(A41='Données projet'!$A$36,'Données projet'!$B$36,N40+M41-V40)))</f>
        <v>184.4</v>
      </c>
      <c r="O41" s="14">
        <f>N41*VLOOKUP('Données projet'!$B$9,Paramètres!$A$1:$I$89,3,0)*VLOOKUP('Données projet'!$B$9,Paramètres!$A$1:$I$89,5,0)</f>
        <v>100.6824</v>
      </c>
      <c r="P41" s="14">
        <f t="shared" si="33"/>
        <v>27.124505534928659</v>
      </c>
      <c r="Q41" s="22">
        <f t="shared" si="53"/>
        <v>222.59702714000073</v>
      </c>
      <c r="R41" s="62">
        <f t="shared" si="0"/>
        <v>515.93036047333408</v>
      </c>
      <c r="S41" s="62">
        <f ca="1">AVERAGE(OFFSET($R$3,0,0,'Données projet'!$E$9+1,1))-AVERAGE(OFFSET($H$3,0,0,'Données projet'!$E$9+1,1))</f>
        <v>170.27677128684815</v>
      </c>
      <c r="T41" s="62">
        <f t="shared" si="34"/>
        <v>243.47439640666289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6.6148177929710288</v>
      </c>
      <c r="AB41" s="23">
        <f>EXP(-LN(2)/2)*AB40+(1-EXP(-LN(2)/2))/(LN(2)/2)*V41*Y41*VLOOKUP('Données projet'!$B$9,Paramètres!$A$1:$I$89,3,0)*0.475*44/12</f>
        <v>0.47583676776298772</v>
      </c>
      <c r="AC41" s="24">
        <f t="shared" si="3"/>
        <v>7.0906545607340163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171.79999999999995</v>
      </c>
      <c r="AJ41" s="14">
        <f>AI41*VLOOKUP('Données projet'!$B$10,Paramètres!$A$1:$I$89,3,0)*VLOOKUP('Données projet'!$B$10,Paramètres!$A$1:$I$89,5,0)</f>
        <v>150.08447999999999</v>
      </c>
      <c r="AK41" s="14">
        <f t="shared" si="35"/>
        <v>38.597783374841299</v>
      </c>
      <c r="AL41" s="22">
        <f t="shared" si="4"/>
        <v>328.62160871118186</v>
      </c>
      <c r="AM41" s="62">
        <f t="shared" si="5"/>
        <v>621.95494204451518</v>
      </c>
      <c r="AN41" s="62">
        <f ca="1">AVERAGE(OFFSET($AM$3,0,0,'Données projet'!$E$10+1,1))-AVERAGE(OFFSET($H$3,0,0,'Données projet'!$E$10+1,1))</f>
        <v>327.826081588335</v>
      </c>
      <c r="AO41" s="62">
        <f t="shared" si="36"/>
        <v>348.84706693879735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12.692372326850384</v>
      </c>
      <c r="AW41" s="23">
        <f>EXP(-LN(2)/2)*AW40+(1-EXP(-LN(2)/2))/(LN(2)/2)*AQ41*AT41*VLOOKUP('Données projet'!$B$10,Paramètres!$A$1:$I$89,3,0)*0.475*44/12</f>
        <v>0.93092341409755808</v>
      </c>
      <c r="AX41" s="23">
        <f t="shared" si="6"/>
        <v>13.623295740947942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13.2</v>
      </c>
      <c r="BD41" s="13">
        <f>IF('Données projet'!$A$88&gt;35,BD40+BC41-BL40,IF(A41&lt;'Données projet'!$A$88,$BA$205^A41,IF(A41='Données projet'!$A$88,'Données projet'!$B$88,BD40+BC41-BL40)))</f>
        <v>236.59999999999997</v>
      </c>
      <c r="BE41" s="14">
        <f>BD41*VLOOKUP('Données projet'!$B$11,Paramètres!$A$1:$I$89,3,0)*VLOOKUP('Données projet'!$B$11,Paramètres!$A$1:$I$89,5,0)</f>
        <v>173.47511999999998</v>
      </c>
      <c r="BF41" s="14">
        <f t="shared" si="37"/>
        <v>43.867415861334891</v>
      </c>
      <c r="BG41" s="22">
        <f t="shared" si="7"/>
        <v>378.53824995849158</v>
      </c>
      <c r="BH41" s="62">
        <f t="shared" si="8"/>
        <v>671.87158329182489</v>
      </c>
      <c r="BI41" s="62">
        <f ca="1">AVERAGE(OFFSET($BH$3,0,0,'Données projet'!$E$11+1,1))-AVERAGE(OFFSET($H$3,0,0,'Données projet'!$E$11+1,1))</f>
        <v>376.5422416541544</v>
      </c>
      <c r="BJ41" s="62">
        <f t="shared" si="38"/>
        <v>365.76175372075869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21.09692081428263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21.09692081428263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>
        <f>VLOOKUP(A41,'Données projet'!$A$113:$I$133,2,0)</f>
        <v>470</v>
      </c>
      <c r="BW41" s="13">
        <f>VLOOKUP(A41,'Données projet'!$A$113:$I$133,9,0)</f>
        <v>27.234999999999985</v>
      </c>
      <c r="BX41" s="13">
        <f t="array" ref="BX41">INDEX(BW:BW,MIN(IF(ISNUMBER(BW41:BW237),ROW(BW41:BW237),"")))</f>
        <v>27.234999999999985</v>
      </c>
      <c r="BY41" s="13">
        <f>IF('Données projet'!$A$114&gt;35,BY40+BX41-CG40,IF(A41&lt;'Données projet'!$A$114,$BV$205^A41,IF(A41='Données projet'!$A$114,'Données projet'!$B$114,BY40+BX41-CG40)))</f>
        <v>470</v>
      </c>
      <c r="BZ41" s="14">
        <f>BY41*VLOOKUP('Données projet'!$B$12,Paramètres!$A$1:$I$89,3,0)*VLOOKUP('Données projet'!$B$12,Paramètres!$A$1:$I$89,5,0)</f>
        <v>262.73</v>
      </c>
      <c r="CA41" s="14">
        <f t="shared" si="39"/>
        <v>63.303949401442225</v>
      </c>
      <c r="CB41" s="22">
        <f t="shared" si="10"/>
        <v>567.84246187417853</v>
      </c>
      <c r="CC41" s="62">
        <f t="shared" si="11"/>
        <v>861.17579520751178</v>
      </c>
      <c r="CD41" s="62">
        <f ca="1">AVERAGE(OFFSET($CC$3,0,0,'Données projet'!$E$12+1,1))-AVERAGE(OFFSET($H$3,0,0,'Données projet'!$E$12+1,1))</f>
        <v>405.09126081846171</v>
      </c>
      <c r="CE41" s="62">
        <f t="shared" si="40"/>
        <v>534.22295841722166</v>
      </c>
      <c r="CF41" s="16">
        <f>IF(ISNA(VLOOKUP(A41,'Données projet'!$A$113:$I$133,3,0)),0,VLOOKUP(A41,'Données projet'!$A$113:$I$133,3,0))</f>
        <v>12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8.4072815562625376</v>
      </c>
      <c r="CL41" s="23">
        <f>EXP(-LN(2)/25)*CL40+(1-EXP(-LN(2)/25))/(LN(2)/25)*Calculateur!CG41*Calculateur!CI41*VLOOKUP('Données projet'!$B$12,Paramètres!$A$1:$I$89,3,0)*0.475*44/12</f>
        <v>11.231293025917653</v>
      </c>
      <c r="CM41" s="23">
        <f>EXP(-LN(2)/2)*CM40+(1-EXP(-LN(2)/2))/(LN(2)/2)*CG41*CJ41*VLOOKUP('Données projet'!$B$12,Paramètres!$A$1:$I$89,3,0)*0.475*44/12</f>
        <v>9.9354505283288902E-2</v>
      </c>
      <c r="CN41" s="24">
        <f t="shared" si="12"/>
        <v>19.737929087463478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3.8</v>
      </c>
      <c r="CT41" s="13">
        <f>IF('Données projet'!$A$140&gt;35,CT40+CS41-DB40,IF(A41&lt;'Données projet'!$A$140,$CQ$205^A41,IF(A41='Données projet'!$A$140,'Données projet'!$B$140,CT40+CS41-DB40)))</f>
        <v>175.39999999999992</v>
      </c>
      <c r="CU41" s="18">
        <f>CT41*VLOOKUP('Données projet'!$B$13,Paramètres!$A$1:$I$89,3,0)*VLOOKUP('Données projet'!$B$13,Paramètres!$A$1:$I$89,5,0)</f>
        <v>158.70191999999992</v>
      </c>
      <c r="CV41" s="14">
        <f t="shared" si="41"/>
        <v>40.549591173644728</v>
      </c>
      <c r="CW41" s="22">
        <f t="shared" si="13"/>
        <v>347.02971529409774</v>
      </c>
      <c r="CX41" s="62">
        <f t="shared" si="14"/>
        <v>640.363048627431</v>
      </c>
      <c r="CY41" s="62">
        <f ca="1">AVERAGE(OFFSET($CX$3,0,0,'Données projet'!$E$13+1,1))-AVERAGE(OFFSET($H$3,0,0,'Données projet'!$E$13+1,1))</f>
        <v>244.82163392718377</v>
      </c>
      <c r="CZ41" s="62">
        <f t="shared" si="42"/>
        <v>342.30266518164211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5.0429449838052962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5.0429449838052962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9.4</v>
      </c>
      <c r="DO41" s="13">
        <f>IF('Données projet'!$A$166&gt;35,DO40+DN41-DW40,IF(A41&lt;'Données projet'!$A$166,$DL$205^A41,IF(A41='Données projet'!$A$166,'Données projet'!$B$166,DO40+DN41-DW40)))</f>
        <v>173.20000000000005</v>
      </c>
      <c r="DP41" s="18">
        <f>DO41*VLOOKUP('Données projet'!$B$14,Paramètres!$A$1:$I$89,3,0)*VLOOKUP('Données projet'!$B$14,Paramètres!$A$1:$I$89,5,0)</f>
        <v>137.79792000000003</v>
      </c>
      <c r="DQ41" s="14">
        <f t="shared" si="43"/>
        <v>35.792075357772092</v>
      </c>
      <c r="DR41" s="22">
        <f t="shared" si="16"/>
        <v>302.33590858145311</v>
      </c>
      <c r="DS41" s="62">
        <f t="shared" si="17"/>
        <v>595.66924191478643</v>
      </c>
      <c r="DT41" s="62">
        <f ca="1">AVERAGE(OFFSET($DS$3,0,0,'Données projet'!$E$14+1,1))-AVERAGE(OFFSET($H$3,0,0,'Données projet'!$E$14+1,1))</f>
        <v>298.89893065707554</v>
      </c>
      <c r="DU41" s="62">
        <f t="shared" si="44"/>
        <v>294.28794439094878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11.2</v>
      </c>
      <c r="EJ41" s="13">
        <f>IF('Données projet'!$A$192&gt;35,EJ40+EI41-ER40,IF(A41&lt;'Données projet'!$A$192,$EG$205^A41,IF(A41='Données projet'!$A$192,'Données projet'!$B$192,EJ40+EI41-ER40)))</f>
        <v>152.60000000000002</v>
      </c>
      <c r="EK41" s="18">
        <f>EJ41*VLOOKUP('Données projet'!$B$15,Paramètres!$A$1:$I$89,3,0)*VLOOKUP('Données projet'!$B$15,Paramètres!$A$1:$I$89,5,0)</f>
        <v>138.07248000000001</v>
      </c>
      <c r="EL41" s="14">
        <f t="shared" si="45"/>
        <v>35.85508207677799</v>
      </c>
      <c r="EM41" s="22">
        <f t="shared" si="19"/>
        <v>302.9238372837217</v>
      </c>
      <c r="EN41" s="62">
        <f t="shared" si="20"/>
        <v>596.25717061705495</v>
      </c>
      <c r="EO41" s="62">
        <f ca="1">AVERAGE(OFFSET($EN$3,0,0,'Données projet'!$E$15+1,1))-AVERAGE(OFFSET($H$3,0,0,'Données projet'!$E$15+1,1))</f>
        <v>439.06700232017681</v>
      </c>
      <c r="EP41" s="62">
        <f t="shared" si="46"/>
        <v>278.21741231699929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7.3141209735696862</v>
      </c>
      <c r="EX41" s="23">
        <f>EXP(-LN(2)/2)*EX40+(1-EXP(-LN(2)/2))/(LN(2)/2)*ER41*EU41*VLOOKUP('Données projet'!$B$15,Paramètres!$A$1:$I$89,3,0)*0.475*44/12</f>
        <v>0.93186091528485271</v>
      </c>
      <c r="EY41" s="24">
        <f t="shared" si="21"/>
        <v>8.2459818888545389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11.2</v>
      </c>
      <c r="FE41" s="13">
        <f>IF('Données projet'!$A$218&gt;35,FE40+FD41-FM40,IF(A41&lt;'Données projet'!$A$218,$FB$205^A41,IF(A41='Données projet'!$A$218,'Données projet'!$B$218,FE40+FD41-FM40)))</f>
        <v>152.60000000000002</v>
      </c>
      <c r="FF41" s="18">
        <f>FE41*VLOOKUP('Données projet'!$B$16,Paramètres!$A$1:$I$89,3,0)*VLOOKUP('Données projet'!$B$16,Paramètres!$A$1:$I$89,5,0)</f>
        <v>147.59472000000002</v>
      </c>
      <c r="FG41" s="14">
        <f t="shared" si="47"/>
        <v>38.031463918082679</v>
      </c>
      <c r="FH41" s="22">
        <f t="shared" si="22"/>
        <v>323.29893699066071</v>
      </c>
      <c r="FI41" s="62">
        <f t="shared" si="23"/>
        <v>616.63227032399402</v>
      </c>
      <c r="FJ41" s="62">
        <f ca="1">AVERAGE(OFFSET($FI$3,0,0,'Données projet'!$E$16+1,1))-AVERAGE(OFFSET($H$3,0,0,'Données projet'!$E$16+1,1))</f>
        <v>466.4945858005575</v>
      </c>
      <c r="FK41" s="62">
        <f t="shared" si="48"/>
        <v>294.45557293177131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1.890022739925179</v>
      </c>
      <c r="FT41" s="24">
        <f t="shared" si="24"/>
        <v>1.890022739925179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11.2</v>
      </c>
      <c r="FZ41" s="13">
        <f>IF('Données projet'!$A$244&gt;35,FZ40+FY41-GH40,IF(A41&lt;'Données projet'!$A$244,$FW$205^A41,IF(A41='Données projet'!$A$244,'Données projet'!$B$244,FZ40+FY41-GH40)))</f>
        <v>152.60000000000002</v>
      </c>
      <c r="GA41" s="18">
        <f>FZ41*VLOOKUP('Données projet'!$B$17,Paramètres!$A$1:$I$89,3,0)*VLOOKUP('Données projet'!$B$17,Paramètres!$A$1:$I$89,5,0)</f>
        <v>145.21416000000002</v>
      </c>
      <c r="GB41" s="14">
        <f t="shared" si="49"/>
        <v>37.488942346268111</v>
      </c>
      <c r="GC41" s="22">
        <f t="shared" si="25"/>
        <v>318.20790325308366</v>
      </c>
      <c r="GD41" s="62">
        <f t="shared" si="26"/>
        <v>611.54123658641697</v>
      </c>
      <c r="GE41" s="62">
        <f ca="1">AVERAGE(OFFSET($GD$3,0,0,'Données projet'!$E$17+1,1))-AVERAGE(OFFSET($H$3,0,0,'Données projet'!$E$17+1,1))</f>
        <v>459.64120566196812</v>
      </c>
      <c r="GF41" s="62">
        <f t="shared" si="50"/>
        <v>290.39826583283588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4.8</v>
      </c>
      <c r="N42" s="14">
        <f>IF('Données projet'!$A$36&gt;35,N41+M42-V41,IF(A42&lt;'Données projet'!$A$36,$K$205^A42,IF(A42='Données projet'!$A$36,'Données projet'!$B$36,N41+M42-V41)))</f>
        <v>189.20000000000002</v>
      </c>
      <c r="O42" s="14">
        <f>N42*VLOOKUP('Données projet'!$B$9,Paramètres!$A$1:$I$89,3,0)*VLOOKUP('Données projet'!$B$9,Paramètres!$A$1:$I$89,5,0)</f>
        <v>103.3032</v>
      </c>
      <c r="P42" s="14">
        <f t="shared" si="33"/>
        <v>27.747444810362108</v>
      </c>
      <c r="Q42" s="22">
        <f t="shared" si="53"/>
        <v>228.24653971138068</v>
      </c>
      <c r="R42" s="62">
        <f t="shared" si="0"/>
        <v>521.57987304471396</v>
      </c>
      <c r="S42" s="62">
        <f ca="1">AVERAGE(OFFSET($R$3,0,0,'Données projet'!$E$9+1,1))-AVERAGE(OFFSET($H$3,0,0,'Données projet'!$E$9+1,1))</f>
        <v>170.27677128684815</v>
      </c>
      <c r="T42" s="62">
        <f t="shared" si="34"/>
        <v>243.47439640666289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6.4339352525640869</v>
      </c>
      <c r="AB42" s="23">
        <f>EXP(-LN(2)/2)*AB41+(1-EXP(-LN(2)/2))/(LN(2)/2)*V42*Y42*VLOOKUP('Données projet'!$B$9,Paramètres!$A$1:$I$89,3,0)*0.475*44/12</f>
        <v>0.33646740522309704</v>
      </c>
      <c r="AC42" s="24">
        <f t="shared" si="3"/>
        <v>6.7704026577871836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181.39999999999995</v>
      </c>
      <c r="AJ42" s="14">
        <f>AI42*VLOOKUP('Données projet'!$B$10,Paramètres!$A$1:$I$89,3,0)*VLOOKUP('Données projet'!$B$10,Paramètres!$A$1:$I$89,5,0)</f>
        <v>158.47103999999996</v>
      </c>
      <c r="AK42" s="14">
        <f t="shared" si="35"/>
        <v>40.497461727609561</v>
      </c>
      <c r="AL42" s="22">
        <f t="shared" si="4"/>
        <v>346.53680717558655</v>
      </c>
      <c r="AM42" s="62">
        <f t="shared" si="5"/>
        <v>639.8701405089198</v>
      </c>
      <c r="AN42" s="62">
        <f ca="1">AVERAGE(OFFSET($AM$3,0,0,'Données projet'!$E$10+1,1))-AVERAGE(OFFSET($H$3,0,0,'Données projet'!$E$10+1,1))</f>
        <v>327.826081588335</v>
      </c>
      <c r="AO42" s="62">
        <f t="shared" si="36"/>
        <v>348.84706693879735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12.345298738109808</v>
      </c>
      <c r="AW42" s="23">
        <f>EXP(-LN(2)/2)*AW41+(1-EXP(-LN(2)/2))/(LN(2)/2)*AQ42*AT42*VLOOKUP('Données projet'!$B$10,Paramètres!$A$1:$I$89,3,0)*0.475*44/12</f>
        <v>0.65826225887371581</v>
      </c>
      <c r="AX42" s="23">
        <f t="shared" si="6"/>
        <v>13.003560996983524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13.2</v>
      </c>
      <c r="BD42" s="13">
        <f>IF('Données projet'!$A$88&gt;35,BD41+BC42-BL41,IF(A42&lt;'Données projet'!$A$88,$BA$205^A42,IF(A42='Données projet'!$A$88,'Données projet'!$B$88,BD41+BC42-BL41)))</f>
        <v>249.79999999999995</v>
      </c>
      <c r="BE42" s="14">
        <f>BD42*VLOOKUP('Données projet'!$B$11,Paramètres!$A$1:$I$89,3,0)*VLOOKUP('Données projet'!$B$11,Paramètres!$A$1:$I$89,5,0)</f>
        <v>183.15335999999996</v>
      </c>
      <c r="BF42" s="14">
        <f t="shared" si="37"/>
        <v>46.023039984246878</v>
      </c>
      <c r="BG42" s="22">
        <f t="shared" si="7"/>
        <v>399.14889663922986</v>
      </c>
      <c r="BH42" s="62">
        <f t="shared" si="8"/>
        <v>692.48222997256312</v>
      </c>
      <c r="BI42" s="62">
        <f ca="1">AVERAGE(OFFSET($BH$3,0,0,'Données projet'!$E$11+1,1))-AVERAGE(OFFSET($H$3,0,0,'Données projet'!$E$11+1,1))</f>
        <v>376.5422416541544</v>
      </c>
      <c r="BJ42" s="62">
        <f t="shared" si="38"/>
        <v>365.76175372075869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20.683223064965649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20.683223064965649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28.095000000000027</v>
      </c>
      <c r="BY42" s="13">
        <f>IF('Données projet'!$A$114&gt;35,BY41+BX42-CG41,IF(A42&lt;'Données projet'!$A$114,$BV$205^A42,IF(A42='Données projet'!$A$114,'Données projet'!$B$114,BY41+BX42-CG41)))</f>
        <v>498.09500000000003</v>
      </c>
      <c r="BZ42" s="14">
        <f>BY42*VLOOKUP('Données projet'!$B$12,Paramètres!$A$1:$I$89,3,0)*VLOOKUP('Données projet'!$B$12,Paramètres!$A$1:$I$89,5,0)</f>
        <v>278.43510500000002</v>
      </c>
      <c r="CA42" s="14">
        <f t="shared" si="39"/>
        <v>66.636193787123958</v>
      </c>
      <c r="CB42" s="22">
        <f t="shared" si="10"/>
        <v>600.99917872090748</v>
      </c>
      <c r="CC42" s="62">
        <f t="shared" si="11"/>
        <v>894.33251205424085</v>
      </c>
      <c r="CD42" s="62">
        <f ca="1">AVERAGE(OFFSET($CC$3,0,0,'Données projet'!$E$12+1,1))-AVERAGE(OFFSET($H$3,0,0,'Données projet'!$E$12+1,1))</f>
        <v>405.09126081846171</v>
      </c>
      <c r="CE42" s="62">
        <f t="shared" si="40"/>
        <v>534.22295841722166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8.2424198928796368</v>
      </c>
      <c r="CL42" s="23">
        <f>EXP(-LN(2)/25)*CL41+(1-EXP(-LN(2)/25))/(LN(2)/25)*Calculateur!CG42*Calculateur!CI42*VLOOKUP('Données projet'!$B$12,Paramètres!$A$1:$I$89,3,0)*0.475*44/12</f>
        <v>10.924172727495904</v>
      </c>
      <c r="CM42" s="23">
        <f>EXP(-LN(2)/2)*CM41+(1-EXP(-LN(2)/2))/(LN(2)/2)*CG42*CJ42*VLOOKUP('Données projet'!$B$12,Paramètres!$A$1:$I$89,3,0)*0.475*44/12</f>
        <v>7.0254244427248244E-2</v>
      </c>
      <c r="CN42" s="24">
        <f t="shared" si="12"/>
        <v>19.236846864802786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3.8</v>
      </c>
      <c r="CT42" s="13">
        <f>IF('Données projet'!$A$140&gt;35,CT41+CS42-DB41,IF(A42&lt;'Données projet'!$A$140,$CQ$205^A42,IF(A42='Données projet'!$A$140,'Données projet'!$B$140,CT41+CS42-DB41)))</f>
        <v>179.19999999999993</v>
      </c>
      <c r="CU42" s="18">
        <f>CT42*VLOOKUP('Données projet'!$B$13,Paramètres!$A$1:$I$89,3,0)*VLOOKUP('Données projet'!$B$13,Paramètres!$A$1:$I$89,5,0)</f>
        <v>162.14015999999992</v>
      </c>
      <c r="CV42" s="14">
        <f t="shared" si="41"/>
        <v>41.324860537333677</v>
      </c>
      <c r="CW42" s="22">
        <f t="shared" si="13"/>
        <v>354.36824410252262</v>
      </c>
      <c r="CX42" s="62">
        <f t="shared" si="14"/>
        <v>647.70157743585594</v>
      </c>
      <c r="CY42" s="62">
        <f ca="1">AVERAGE(OFFSET($CX$3,0,0,'Données projet'!$E$13+1,1))-AVERAGE(OFFSET($H$3,0,0,'Données projet'!$E$13+1,1))</f>
        <v>244.82163392718377</v>
      </c>
      <c r="CZ42" s="62">
        <f t="shared" si="42"/>
        <v>342.30266518164211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4.9440559085655957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4.9440559085655957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9.4</v>
      </c>
      <c r="DO42" s="13">
        <f>IF('Données projet'!$A$166&gt;35,DO41+DN42-DW41,IF(A42&lt;'Données projet'!$A$166,$DL$205^A42,IF(A42='Données projet'!$A$166,'Données projet'!$B$166,DO41+DN42-DW41)))</f>
        <v>182.60000000000005</v>
      </c>
      <c r="DP42" s="18">
        <f>DO42*VLOOKUP('Données projet'!$B$14,Paramètres!$A$1:$I$89,3,0)*VLOOKUP('Données projet'!$B$14,Paramètres!$A$1:$I$89,5,0)</f>
        <v>145.27656000000005</v>
      </c>
      <c r="DQ42" s="14">
        <f t="shared" si="43"/>
        <v>37.503176238005366</v>
      </c>
      <c r="DR42" s="22">
        <f t="shared" si="16"/>
        <v>318.34137394785938</v>
      </c>
      <c r="DS42" s="62">
        <f t="shared" si="17"/>
        <v>611.6747072811927</v>
      </c>
      <c r="DT42" s="62">
        <f ca="1">AVERAGE(OFFSET($DS$3,0,0,'Données projet'!$E$14+1,1))-AVERAGE(OFFSET($H$3,0,0,'Données projet'!$E$14+1,1))</f>
        <v>298.89893065707554</v>
      </c>
      <c r="DU42" s="62">
        <f t="shared" si="44"/>
        <v>294.28794439094878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11.2</v>
      </c>
      <c r="EJ42" s="13">
        <f>IF('Données projet'!$A$192&gt;35,EJ41+EI42-ER41,IF(A42&lt;'Données projet'!$A$192,$EG$205^A42,IF(A42='Données projet'!$A$192,'Données projet'!$B$192,EJ41+EI42-ER41)))</f>
        <v>163.80000000000001</v>
      </c>
      <c r="EK42" s="18">
        <f>EJ42*VLOOKUP('Données projet'!$B$15,Paramètres!$A$1:$I$89,3,0)*VLOOKUP('Données projet'!$B$15,Paramètres!$A$1:$I$89,5,0)</f>
        <v>148.20624000000001</v>
      </c>
      <c r="EL42" s="14">
        <f t="shared" si="45"/>
        <v>38.170662245893794</v>
      </c>
      <c r="EM42" s="22">
        <f t="shared" si="19"/>
        <v>324.60643807826506</v>
      </c>
      <c r="EN42" s="62">
        <f t="shared" si="20"/>
        <v>617.93977141159837</v>
      </c>
      <c r="EO42" s="62">
        <f ca="1">AVERAGE(OFFSET($EN$3,0,0,'Données projet'!$E$15+1,1))-AVERAGE(OFFSET($H$3,0,0,'Données projet'!$E$15+1,1))</f>
        <v>439.06700232017681</v>
      </c>
      <c r="EP42" s="62">
        <f t="shared" si="46"/>
        <v>278.21741231699929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7.1141159509145178</v>
      </c>
      <c r="EX42" s="23">
        <f>EXP(-LN(2)/2)*EX41+(1-EXP(-LN(2)/2))/(LN(2)/2)*ER42*EU42*VLOOKUP('Données projet'!$B$15,Paramètres!$A$1:$I$89,3,0)*0.475*44/12</f>
        <v>0.65892517232062231</v>
      </c>
      <c r="EY42" s="24">
        <f t="shared" si="21"/>
        <v>7.7730411232351404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11.2</v>
      </c>
      <c r="FE42" s="13">
        <f>IF('Données projet'!$A$218&gt;35,FE41+FD42-FM41,IF(A42&lt;'Données projet'!$A$218,$FB$205^A42,IF(A42='Données projet'!$A$218,'Données projet'!$B$218,FE41+FD42-FM41)))</f>
        <v>163.80000000000001</v>
      </c>
      <c r="FF42" s="18">
        <f>FE42*VLOOKUP('Données projet'!$B$16,Paramètres!$A$1:$I$89,3,0)*VLOOKUP('Données projet'!$B$16,Paramètres!$A$1:$I$89,5,0)</f>
        <v>158.42736000000002</v>
      </c>
      <c r="FG42" s="14">
        <f t="shared" si="47"/>
        <v>40.487598405868248</v>
      </c>
      <c r="FH42" s="22">
        <f t="shared" si="22"/>
        <v>346.4435525568872</v>
      </c>
      <c r="FI42" s="62">
        <f t="shared" si="23"/>
        <v>639.77688589022046</v>
      </c>
      <c r="FJ42" s="62">
        <f ca="1">AVERAGE(OFFSET($FI$3,0,0,'Données projet'!$E$16+1,1))-AVERAGE(OFFSET($H$3,0,0,'Données projet'!$E$16+1,1))</f>
        <v>466.4945858005575</v>
      </c>
      <c r="FK42" s="62">
        <f t="shared" si="48"/>
        <v>294.45557293177131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1.3364478959978727</v>
      </c>
      <c r="FT42" s="24">
        <f t="shared" si="24"/>
        <v>1.3364478959978727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11.2</v>
      </c>
      <c r="FZ42" s="13">
        <f>IF('Données projet'!$A$244&gt;35,FZ41+FY42-GH41,IF(A42&lt;'Données projet'!$A$244,$FW$205^A42,IF(A42='Données projet'!$A$244,'Données projet'!$B$244,FZ41+FY42-GH41)))</f>
        <v>163.80000000000001</v>
      </c>
      <c r="GA42" s="18">
        <f>FZ42*VLOOKUP('Données projet'!$B$17,Paramètres!$A$1:$I$89,3,0)*VLOOKUP('Données projet'!$B$17,Paramètres!$A$1:$I$89,5,0)</f>
        <v>155.87208000000001</v>
      </c>
      <c r="GB42" s="14">
        <f t="shared" si="49"/>
        <v>39.910039898694805</v>
      </c>
      <c r="GC42" s="22">
        <f t="shared" si="25"/>
        <v>340.98719215689346</v>
      </c>
      <c r="GD42" s="62">
        <f t="shared" si="26"/>
        <v>634.32052549022683</v>
      </c>
      <c r="GE42" s="62">
        <f ca="1">AVERAGE(OFFSET($GD$3,0,0,'Données projet'!$E$17+1,1))-AVERAGE(OFFSET($H$3,0,0,'Données projet'!$E$17+1,1))</f>
        <v>459.64120566196812</v>
      </c>
      <c r="GF42" s="62">
        <f t="shared" si="50"/>
        <v>290.39826583283588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194</v>
      </c>
      <c r="L43" s="13">
        <f>VLOOKUP(A43,'Données projet'!$A$35:$I$55,9,0)</f>
        <v>4.8</v>
      </c>
      <c r="M43" s="13">
        <f t="array" ref="M43">INDEX(L:L,MIN(IF(ISNUMBER(L43:L239),ROW(L43:L239),"")))</f>
        <v>4.8</v>
      </c>
      <c r="N43" s="14">
        <f>IF('Données projet'!$A$36&gt;35,N42+M43-V42,IF(A43&lt;'Données projet'!$A$36,$K$205^A43,IF(A43='Données projet'!$A$36,'Données projet'!$B$36,N42+M43-V42)))</f>
        <v>194.00000000000003</v>
      </c>
      <c r="O43" s="14">
        <f>N43*VLOOKUP('Données projet'!$B$9,Paramètres!$A$1:$I$89,3,0)*VLOOKUP('Données projet'!$B$9,Paramètres!$A$1:$I$89,5,0)</f>
        <v>105.92400000000001</v>
      </c>
      <c r="P43" s="14">
        <f t="shared" si="33"/>
        <v>28.368547010555485</v>
      </c>
      <c r="Q43" s="22">
        <f t="shared" si="53"/>
        <v>233.89285271005079</v>
      </c>
      <c r="R43" s="62">
        <f t="shared" si="0"/>
        <v>527.22618604338413</v>
      </c>
      <c r="S43" s="62">
        <f ca="1">AVERAGE(OFFSET($R$3,0,0,'Données projet'!$E$9+1,1))-AVERAGE(OFFSET($H$3,0,0,'Données projet'!$E$9+1,1))</f>
        <v>170.27677128684815</v>
      </c>
      <c r="T43" s="62">
        <f t="shared" si="34"/>
        <v>243.47439640666289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11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6.257998954736772</v>
      </c>
      <c r="AB43" s="23">
        <f>EXP(-LN(2)/2)*AB42+(1-EXP(-LN(2)/2))/(LN(2)/2)*V43*Y43*VLOOKUP('Données projet'!$B$9,Paramètres!$A$1:$I$89,3,0)*0.475*44/12</f>
        <v>0.23791838388149392</v>
      </c>
      <c r="AC43" s="24">
        <f t="shared" si="3"/>
        <v>6.4959173386182663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191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190.99999999999994</v>
      </c>
      <c r="AJ43" s="14">
        <f>AI43*VLOOKUP('Données projet'!$B$10,Paramètres!$A$1:$I$89,3,0)*VLOOKUP('Données projet'!$B$10,Paramètres!$A$1:$I$89,5,0)</f>
        <v>166.85759999999996</v>
      </c>
      <c r="AK43" s="14">
        <f t="shared" si="35"/>
        <v>42.385468111966098</v>
      </c>
      <c r="AL43" s="22">
        <f t="shared" si="4"/>
        <v>364.43167696167421</v>
      </c>
      <c r="AM43" s="62">
        <f t="shared" si="5"/>
        <v>657.76501029500753</v>
      </c>
      <c r="AN43" s="62">
        <f ca="1">AVERAGE(OFFSET($AM$3,0,0,'Données projet'!$E$10+1,1))-AVERAGE(OFFSET($H$3,0,0,'Données projet'!$E$10+1,1))</f>
        <v>327.826081588335</v>
      </c>
      <c r="AO43" s="62">
        <f t="shared" si="36"/>
        <v>348.84706693879735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33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12.00771589490515</v>
      </c>
      <c r="AW43" s="23">
        <f>EXP(-LN(2)/2)*AW42+(1-EXP(-LN(2)/2))/(LN(2)/2)*AQ43*AT43*VLOOKUP('Données projet'!$B$10,Paramètres!$A$1:$I$89,3,0)*0.475*44/12</f>
        <v>0.46546170704877909</v>
      </c>
      <c r="AX43" s="23">
        <f t="shared" si="6"/>
        <v>12.47317760195393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263</v>
      </c>
      <c r="BB43" s="13">
        <f>VLOOKUP(A43,'Données projet'!$A$87:$I$107,9,0)</f>
        <v>13.2</v>
      </c>
      <c r="BC43" s="13">
        <f t="array" ref="BC43">INDEX(BB:BB,MIN(IF(ISNUMBER(BB43:BB239),ROW(BB43:BB239),"")))</f>
        <v>13.2</v>
      </c>
      <c r="BD43" s="13">
        <f>IF('Données projet'!$A$88&gt;35,BD42+BC43-BL42,IF(A43&lt;'Données projet'!$A$88,$BA$205^A43,IF(A43='Données projet'!$A$88,'Données projet'!$B$88,BD42+BC43-BL42)))</f>
        <v>262.99999999999994</v>
      </c>
      <c r="BE43" s="14">
        <f>BD43*VLOOKUP('Données projet'!$B$11,Paramètres!$A$1:$I$89,3,0)*VLOOKUP('Données projet'!$B$11,Paramètres!$A$1:$I$89,5,0)</f>
        <v>192.83159999999995</v>
      </c>
      <c r="BF43" s="14">
        <f t="shared" si="37"/>
        <v>48.165439402688818</v>
      </c>
      <c r="BG43" s="22">
        <f t="shared" si="7"/>
        <v>419.73651029301618</v>
      </c>
      <c r="BH43" s="62">
        <f t="shared" si="8"/>
        <v>713.06984362634944</v>
      </c>
      <c r="BI43" s="62">
        <f ca="1">AVERAGE(OFFSET($BH$3,0,0,'Données projet'!$E$11+1,1))-AVERAGE(OFFSET($H$3,0,0,'Données projet'!$E$11+1,1))</f>
        <v>376.5422416541544</v>
      </c>
      <c r="BJ43" s="62">
        <f t="shared" si="38"/>
        <v>365.76175372075869</v>
      </c>
      <c r="BK43" s="16">
        <f>IF(ISNA(VLOOKUP(A43,'Données projet'!$A$87:$I$107,3,0)),0,VLOOKUP(A43,'Données projet'!$A$87:$I$107,3,0))</f>
        <v>7</v>
      </c>
      <c r="BL43" s="16">
        <f>IF(ISNA(VLOOKUP(A43,'Données projet'!$A$87:$I$107,4,0)),0,VLOOKUP(A43,'Données projet'!$A$87:$I$107,4,0))</f>
        <v>40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20.277637676182064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20.277637676182064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526.19000000000005</v>
      </c>
      <c r="BW43" s="13">
        <f>VLOOKUP(A43,'Données projet'!$A$113:$I$133,9,0)</f>
        <v>28.095000000000027</v>
      </c>
      <c r="BX43" s="13">
        <f t="array" ref="BX43">INDEX(BW:BW,MIN(IF(ISNUMBER(BW43:BW239),ROW(BW43:BW239),"")))</f>
        <v>28.095000000000027</v>
      </c>
      <c r="BY43" s="13">
        <f>IF('Données projet'!$A$114&gt;35,BY42+BX43-CG42,IF(A43&lt;'Données projet'!$A$114,$BV$205^A43,IF(A43='Données projet'!$A$114,'Données projet'!$B$114,BY42+BX43-CG42)))</f>
        <v>526.19000000000005</v>
      </c>
      <c r="BZ43" s="14">
        <f>BY43*VLOOKUP('Données projet'!$B$12,Paramètres!$A$1:$I$89,3,0)*VLOOKUP('Données projet'!$B$12,Paramètres!$A$1:$I$89,5,0)</f>
        <v>294.14021000000002</v>
      </c>
      <c r="CA43" s="14">
        <f t="shared" si="39"/>
        <v>69.946619671428806</v>
      </c>
      <c r="CB43" s="22">
        <f t="shared" si="10"/>
        <v>634.11789501107194</v>
      </c>
      <c r="CC43" s="62">
        <f t="shared" si="11"/>
        <v>927.45122834440531</v>
      </c>
      <c r="CD43" s="62">
        <f ca="1">AVERAGE(OFFSET($CC$3,0,0,'Données projet'!$E$12+1,1))-AVERAGE(OFFSET($H$3,0,0,'Données projet'!$E$12+1,1))</f>
        <v>405.09126081846171</v>
      </c>
      <c r="CE43" s="62">
        <f t="shared" si="40"/>
        <v>534.22295841722166</v>
      </c>
      <c r="CF43" s="16">
        <f>IF(ISNA(VLOOKUP(A43,'Données projet'!$A$113:$I$133,3,0)),0,VLOOKUP(A43,'Données projet'!$A$113:$I$133,3,0))</f>
        <v>13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8.0807910661599891</v>
      </c>
      <c r="CL43" s="23">
        <f>EXP(-LN(2)/25)*CL42+(1-EXP(-LN(2)/25))/(LN(2)/25)*Calculateur!CG43*Calculateur!CI43*VLOOKUP('Données projet'!$B$12,Paramètres!$A$1:$I$89,3,0)*0.475*44/12</f>
        <v>10.625450649785252</v>
      </c>
      <c r="CM43" s="23">
        <f>EXP(-LN(2)/2)*CM42+(1-EXP(-LN(2)/2))/(LN(2)/2)*CG43*CJ43*VLOOKUP('Données projet'!$B$12,Paramètres!$A$1:$I$89,3,0)*0.475*44/12</f>
        <v>4.9677252641644451E-2</v>
      </c>
      <c r="CN43" s="24">
        <f t="shared" si="12"/>
        <v>18.755918968586883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183</v>
      </c>
      <c r="CR43" s="13">
        <f>VLOOKUP(A43,'Données projet'!$A$139:$I$159,9,0)</f>
        <v>3.8</v>
      </c>
      <c r="CS43" s="13">
        <f t="array" ref="CS43">INDEX(CR:CR,MIN(IF(ISNUMBER(CR43:CR239),ROW(CR43:CR239),"")))</f>
        <v>3.8</v>
      </c>
      <c r="CT43" s="13">
        <f>IF('Données projet'!$A$140&gt;35,CT42+CS43-DB42,IF(A43&lt;'Données projet'!$A$140,$CQ$205^A43,IF(A43='Données projet'!$A$140,'Données projet'!$B$140,CT42+CS43-DB42)))</f>
        <v>182.99999999999994</v>
      </c>
      <c r="CU43" s="18">
        <f>CT43*VLOOKUP('Données projet'!$B$13,Paramètres!$A$1:$I$89,3,0)*VLOOKUP('Données projet'!$B$13,Paramètres!$A$1:$I$89,5,0)</f>
        <v>165.57839999999993</v>
      </c>
      <c r="CV43" s="14">
        <f t="shared" si="41"/>
        <v>42.098218509199661</v>
      </c>
      <c r="CW43" s="22">
        <f t="shared" si="13"/>
        <v>361.70344390352261</v>
      </c>
      <c r="CX43" s="62">
        <f t="shared" si="14"/>
        <v>655.03677723685587</v>
      </c>
      <c r="CY43" s="62">
        <f ca="1">AVERAGE(OFFSET($CX$3,0,0,'Données projet'!$E$13+1,1))-AVERAGE(OFFSET($H$3,0,0,'Données projet'!$E$13+1,1))</f>
        <v>244.82163392718377</v>
      </c>
      <c r="CZ43" s="62">
        <f t="shared" si="42"/>
        <v>342.30266518164211</v>
      </c>
      <c r="DA43" s="16">
        <f>IF(ISNA(VLOOKUP(A43,'Données projet'!$A$139:$I$159,3,0)),0,VLOOKUP(A43,'Données projet'!$A$139:$I$159,3,0))</f>
        <v>8</v>
      </c>
      <c r="DB43" s="16">
        <f>IF(ISNA(VLOOKUP(A43,'Données projet'!$A$139:$I$159,4,0)),0,VLOOKUP(A43,'Données projet'!$A$139:$I$159,4,0))</f>
        <v>4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4.8471059877749649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4.8471059877749649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192</v>
      </c>
      <c r="DM43" s="13">
        <f>VLOOKUP(A43,'Données projet'!$A$165:$I$185,9,0)</f>
        <v>9.4</v>
      </c>
      <c r="DN43" s="13">
        <f t="array" ref="DN43">INDEX(DM:DM,MIN(IF(ISNUMBER(DM43:DM239),ROW(DM43:DM239),"")))</f>
        <v>9.4</v>
      </c>
      <c r="DO43" s="13">
        <f>IF('Données projet'!$A$166&gt;35,DO42+DN43-DW42,IF(A43&lt;'Données projet'!$A$166,$DL$205^A43,IF(A43='Données projet'!$A$166,'Données projet'!$B$166,DO42+DN43-DW42)))</f>
        <v>192.00000000000006</v>
      </c>
      <c r="DP43" s="18">
        <f>DO43*VLOOKUP('Données projet'!$B$14,Paramètres!$A$1:$I$89,3,0)*VLOOKUP('Données projet'!$B$14,Paramètres!$A$1:$I$89,5,0)</f>
        <v>152.75520000000006</v>
      </c>
      <c r="DQ43" s="14">
        <f t="shared" si="43"/>
        <v>39.204049895729561</v>
      </c>
      <c r="DR43" s="22">
        <f t="shared" si="16"/>
        <v>334.32902690172904</v>
      </c>
      <c r="DS43" s="62">
        <f t="shared" si="17"/>
        <v>627.66236023506235</v>
      </c>
      <c r="DT43" s="62">
        <f ca="1">AVERAGE(OFFSET($DS$3,0,0,'Données projet'!$E$14+1,1))-AVERAGE(OFFSET($H$3,0,0,'Données projet'!$E$14+1,1))</f>
        <v>298.89893065707554</v>
      </c>
      <c r="DU43" s="62">
        <f t="shared" si="44"/>
        <v>294.28794439094878</v>
      </c>
      <c r="DV43" s="16">
        <f>IF(ISNA(VLOOKUP(A43,'Données projet'!$A$165:$I$185,3,0)),0,VLOOKUP(A43,'Données projet'!$A$165:$I$185,3,0))</f>
        <v>6</v>
      </c>
      <c r="DW43" s="16">
        <f>IF(ISNA(VLOOKUP(A43,'Données projet'!$A$165:$I$185,4,0)),0,VLOOKUP(A43,'Données projet'!$A$165:$I$185,4,0))</f>
        <v>28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175</v>
      </c>
      <c r="EH43" s="13">
        <f>VLOOKUP(A43,'Données projet'!$A$191:$I$211,9,0)</f>
        <v>11.2</v>
      </c>
      <c r="EI43" s="13">
        <f t="array" ref="EI43">INDEX(EH:EH,MIN(IF(ISNUMBER(EH43:EH239),ROW(EH43:EH239),"")))</f>
        <v>11.2</v>
      </c>
      <c r="EJ43" s="13">
        <f>IF('Données projet'!$A$192&gt;35,EJ42+EI43-ER42,IF(A43&lt;'Données projet'!$A$192,$EG$205^A43,IF(A43='Données projet'!$A$192,'Données projet'!$B$192,EJ42+EI43-ER42)))</f>
        <v>175</v>
      </c>
      <c r="EK43" s="18">
        <f>EJ43*VLOOKUP('Données projet'!$B$15,Paramètres!$A$1:$I$89,3,0)*VLOOKUP('Données projet'!$B$15,Paramètres!$A$1:$I$89,5,0)</f>
        <v>158.34</v>
      </c>
      <c r="EL43" s="14">
        <f t="shared" si="45"/>
        <v>40.467870812652819</v>
      </c>
      <c r="EM43" s="22">
        <f t="shared" si="19"/>
        <v>346.25704166537031</v>
      </c>
      <c r="EN43" s="62">
        <f t="shared" si="20"/>
        <v>639.59037499870362</v>
      </c>
      <c r="EO43" s="62">
        <f ca="1">AVERAGE(OFFSET($EN$3,0,0,'Données projet'!$E$15+1,1))-AVERAGE(OFFSET($H$3,0,0,'Données projet'!$E$15+1,1))</f>
        <v>439.06700232017681</v>
      </c>
      <c r="EP43" s="62">
        <f t="shared" si="46"/>
        <v>278.21741231699929</v>
      </c>
      <c r="EQ43" s="16">
        <f>IF(ISNA(VLOOKUP(A43,'Données projet'!$A$191:$I$211,3,0)),0,VLOOKUP(A43,'Données projet'!$A$191:$I$211,3,0))</f>
        <v>5</v>
      </c>
      <c r="ER43" s="16">
        <f>IF(ISNA(VLOOKUP(A43,'Données projet'!$A$191:$I$211,4,0)),0,VLOOKUP(A43,'Données projet'!$A$191:$I$211,4,0))</f>
        <v>28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6.9195800761216617</v>
      </c>
      <c r="EX43" s="23">
        <f>EXP(-LN(2)/2)*EX42+(1-EXP(-LN(2)/2))/(LN(2)/2)*ER43*EU43*VLOOKUP('Données projet'!$B$15,Paramètres!$A$1:$I$89,3,0)*0.475*44/12</f>
        <v>0.46593045764242641</v>
      </c>
      <c r="EY43" s="24">
        <f t="shared" si="21"/>
        <v>7.3855105337640881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175</v>
      </c>
      <c r="FC43" s="13">
        <f>VLOOKUP(A43,'Données projet'!$A$217:$I$237,9,0)</f>
        <v>11.2</v>
      </c>
      <c r="FD43" s="13">
        <f t="array" ref="FD43">INDEX(FC:FC,MIN(IF(ISNUMBER(FC43:FC239),ROW(FC43:FC239),"")))</f>
        <v>11.2</v>
      </c>
      <c r="FE43" s="13">
        <f>IF('Données projet'!$A$218&gt;35,FE42+FD43-FM42,IF(A43&lt;'Données projet'!$A$218,$FB$205^A43,IF(A43='Données projet'!$A$218,'Données projet'!$B$218,FE42+FD43-FM42)))</f>
        <v>175</v>
      </c>
      <c r="FF43" s="18">
        <f>FE43*VLOOKUP('Données projet'!$B$16,Paramètres!$A$1:$I$89,3,0)*VLOOKUP('Données projet'!$B$16,Paramètres!$A$1:$I$89,5,0)</f>
        <v>169.26000000000002</v>
      </c>
      <c r="FG43" s="14">
        <f t="shared" si="47"/>
        <v>42.924246146122272</v>
      </c>
      <c r="FH43" s="22">
        <f t="shared" si="22"/>
        <v>369.55422870449632</v>
      </c>
      <c r="FI43" s="62">
        <f t="shared" si="23"/>
        <v>662.88756203782964</v>
      </c>
      <c r="FJ43" s="62">
        <f ca="1">AVERAGE(OFFSET($FI$3,0,0,'Données projet'!$E$16+1,1))-AVERAGE(OFFSET($H$3,0,0,'Données projet'!$E$16+1,1))</f>
        <v>466.4945858005575</v>
      </c>
      <c r="FK43" s="62">
        <f t="shared" si="48"/>
        <v>294.45557293177131</v>
      </c>
      <c r="FL43" s="16">
        <f>IF(ISNA(VLOOKUP(A43,'Données projet'!$A$217:$I$237,3,0)),0,VLOOKUP(A43,'Données projet'!$A$217:$I$237,3,0))</f>
        <v>5</v>
      </c>
      <c r="FM43" s="16">
        <f>IF(ISNA(VLOOKUP(A43,'Données projet'!$A$217:$I$237,4,0)),0,VLOOKUP(A43,'Données projet'!$A$217:$I$237,4,0))</f>
        <v>28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0.94501136996258972</v>
      </c>
      <c r="FT43" s="24">
        <f t="shared" si="24"/>
        <v>0.94501136996258972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175</v>
      </c>
      <c r="FX43" s="13">
        <f>VLOOKUP(A43,'Données projet'!$A$243:$I$263,9,0)</f>
        <v>11.2</v>
      </c>
      <c r="FY43" s="13">
        <f t="array" ref="FY43">INDEX(FX:FX,MIN(IF(ISNUMBER(FX43:FX239),ROW(FX43:FX239),"")))</f>
        <v>11.2</v>
      </c>
      <c r="FZ43" s="13">
        <f>IF('Données projet'!$A$244&gt;35,FZ42+FY43-GH42,IF(A43&lt;'Données projet'!$A$244,$FW$205^A43,IF(A43='Données projet'!$A$244,'Données projet'!$B$244,FZ42+FY43-GH42)))</f>
        <v>175</v>
      </c>
      <c r="GA43" s="18">
        <f>FZ43*VLOOKUP('Données projet'!$B$17,Paramètres!$A$1:$I$89,3,0)*VLOOKUP('Données projet'!$B$17,Paramètres!$A$1:$I$89,5,0)</f>
        <v>166.53</v>
      </c>
      <c r="GB43" s="14">
        <f t="shared" si="49"/>
        <v>42.311928683446922</v>
      </c>
      <c r="GC43" s="22">
        <f t="shared" si="25"/>
        <v>363.73302579033674</v>
      </c>
      <c r="GD43" s="62">
        <f t="shared" si="26"/>
        <v>657.06635912367005</v>
      </c>
      <c r="GE43" s="62">
        <f ca="1">AVERAGE(OFFSET($GD$3,0,0,'Données projet'!$E$17+1,1))-AVERAGE(OFFSET($H$3,0,0,'Données projet'!$E$17+1,1))</f>
        <v>459.64120566196812</v>
      </c>
      <c r="GF43" s="62">
        <f t="shared" si="50"/>
        <v>290.39826583283588</v>
      </c>
      <c r="GG43" s="16">
        <f>IF(ISNA(VLOOKUP(A43,'Données projet'!$A$243:$I$263,3,0)),0,VLOOKUP(A43,'Données projet'!$A$243:$I$263,3,0))</f>
        <v>5</v>
      </c>
      <c r="GH43" s="16">
        <f>IF(ISNA(VLOOKUP(A43,'Données projet'!$A$243:$I$263,4,0)),0,VLOOKUP(A43,'Données projet'!$A$243:$I$263,4,0))</f>
        <v>28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101.77440000000001</v>
      </c>
      <c r="P44" s="14">
        <f t="shared" si="33"/>
        <v>27.384290185982298</v>
      </c>
      <c r="Q44" s="22">
        <f t="shared" si="53"/>
        <v>224.95138540725256</v>
      </c>
      <c r="R44" s="62">
        <f t="shared" si="0"/>
        <v>518.28471874058584</v>
      </c>
      <c r="S44" s="62">
        <f ca="1">AVERAGE(OFFSET($R$3,0,0,'Données projet'!$E$9+1,1))-AVERAGE(OFFSET($H$3,0,0,'Données projet'!$E$9+1,1))</f>
        <v>170.27677128684815</v>
      </c>
      <c r="T44" s="62">
        <f t="shared" si="34"/>
        <v>243.47439640666289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6.0868736442256326</v>
      </c>
      <c r="AB44" s="23">
        <f>EXP(-LN(2)/2)*AB43+(1-EXP(-LN(2)/2))/(LN(2)/2)*V44*Y44*VLOOKUP('Données projet'!$B$9,Paramètres!$A$1:$I$89,3,0)*0.475*44/12</f>
        <v>0.16823370261154855</v>
      </c>
      <c r="AC44" s="24">
        <f t="shared" si="3"/>
        <v>6.2551073468371809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8.6</v>
      </c>
      <c r="AI44" s="14">
        <f>IF('Données projet'!$A$62&gt;35,AI43+AH44-AQ43,IF(A44&lt;'Données projet'!$A$62,$AF$205^A44,IF(A44='Données projet'!$A$62,'Données projet'!$B$62,AI43+AH44-AQ43)))</f>
        <v>166.59999999999994</v>
      </c>
      <c r="AJ44" s="14">
        <f>AI44*VLOOKUP('Données projet'!$B$10,Paramètres!$A$1:$I$89,3,0)*VLOOKUP('Données projet'!$B$10,Paramètres!$A$1:$I$89,5,0)</f>
        <v>145.54175999999998</v>
      </c>
      <c r="AK44" s="14">
        <f t="shared" si="35"/>
        <v>37.563662342876064</v>
      </c>
      <c r="AL44" s="22">
        <f t="shared" si="4"/>
        <v>318.90861058050911</v>
      </c>
      <c r="AM44" s="62">
        <f t="shared" si="5"/>
        <v>612.24194391384242</v>
      </c>
      <c r="AN44" s="62">
        <f ca="1">AVERAGE(OFFSET($AM$3,0,0,'Données projet'!$E$10+1,1))-AVERAGE(OFFSET($H$3,0,0,'Données projet'!$E$10+1,1))</f>
        <v>327.826081588335</v>
      </c>
      <c r="AO44" s="62">
        <f t="shared" si="36"/>
        <v>348.84706693879735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11.679364272300633</v>
      </c>
      <c r="AW44" s="23">
        <f>EXP(-LN(2)/2)*AW43+(1-EXP(-LN(2)/2))/(LN(2)/2)*AQ44*AT44*VLOOKUP('Données projet'!$B$10,Paramètres!$A$1:$I$89,3,0)*0.475*44/12</f>
        <v>0.32913112943685796</v>
      </c>
      <c r="AX44" s="23">
        <f t="shared" si="6"/>
        <v>12.008495401737491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234.39999999999992</v>
      </c>
      <c r="BE44" s="14">
        <f>BD44*VLOOKUP('Données projet'!$B$11,Paramètres!$A$1:$I$89,3,0)*VLOOKUP('Données projet'!$B$11,Paramètres!$A$1:$I$89,5,0)</f>
        <v>171.86207999999993</v>
      </c>
      <c r="BF44" s="14">
        <f t="shared" si="37"/>
        <v>43.506802778694762</v>
      </c>
      <c r="BG44" s="22">
        <f t="shared" si="7"/>
        <v>375.10080417289322</v>
      </c>
      <c r="BH44" s="62">
        <f t="shared" si="8"/>
        <v>668.43413750622653</v>
      </c>
      <c r="BI44" s="62">
        <f ca="1">AVERAGE(OFFSET($BH$3,0,0,'Données projet'!$E$11+1,1))-AVERAGE(OFFSET($H$3,0,0,'Données projet'!$E$11+1,1))</f>
        <v>376.5422416541544</v>
      </c>
      <c r="BJ44" s="62">
        <f t="shared" si="38"/>
        <v>365.76175372075869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19.880005569489864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19.880005569489864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28.849999999999966</v>
      </c>
      <c r="BY44" s="13">
        <f>IF('Données projet'!$A$114&gt;35,BY43+BX44-CG43,IF(A44&lt;'Données projet'!$A$114,$BV$205^A44,IF(A44='Données projet'!$A$114,'Données projet'!$B$114,BY43+BX44-CG43)))</f>
        <v>555.04</v>
      </c>
      <c r="BZ44" s="14">
        <f>BY44*VLOOKUP('Données projet'!$B$12,Paramètres!$A$1:$I$89,3,0)*VLOOKUP('Données projet'!$B$12,Paramètres!$A$1:$I$89,5,0)</f>
        <v>310.26736</v>
      </c>
      <c r="CA44" s="14">
        <f t="shared" si="39"/>
        <v>73.324662779260194</v>
      </c>
      <c r="CB44" s="22">
        <f t="shared" si="10"/>
        <v>668.08943967387813</v>
      </c>
      <c r="CC44" s="62">
        <f t="shared" si="11"/>
        <v>961.42277300721139</v>
      </c>
      <c r="CD44" s="62">
        <f ca="1">AVERAGE(OFFSET($CC$3,0,0,'Données projet'!$E$12+1,1))-AVERAGE(OFFSET($H$3,0,0,'Données projet'!$E$12+1,1))</f>
        <v>405.09126081846171</v>
      </c>
      <c r="CE44" s="62">
        <f t="shared" si="40"/>
        <v>534.22295841722166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7.9223316821484637</v>
      </c>
      <c r="CL44" s="23">
        <f>EXP(-LN(2)/25)*CL43+(1-EXP(-LN(2)/25))/(LN(2)/25)*Calculateur!CG44*Calculateur!CI44*VLOOKUP('Données projet'!$B$12,Paramètres!$A$1:$I$89,3,0)*0.475*44/12</f>
        <v>10.33489714299871</v>
      </c>
      <c r="CM44" s="23">
        <f>EXP(-LN(2)/2)*CM43+(1-EXP(-LN(2)/2))/(LN(2)/2)*CG44*CJ44*VLOOKUP('Données projet'!$B$12,Paramètres!$A$1:$I$89,3,0)*0.475*44/12</f>
        <v>3.5127122213624122E-2</v>
      </c>
      <c r="CN44" s="24">
        <f t="shared" si="12"/>
        <v>18.292355947360797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3.8</v>
      </c>
      <c r="CT44" s="13">
        <f>IF('Données projet'!$A$140&gt;35,CT43+CS44-DB43,IF(A44&lt;'Données projet'!$A$140,$CQ$205^A44,IF(A44='Données projet'!$A$140,'Données projet'!$B$140,CT43+CS44-DB43)))</f>
        <v>182.79999999999995</v>
      </c>
      <c r="CU44" s="18">
        <f>CT44*VLOOKUP('Données projet'!$B$13,Paramètres!$A$1:$I$89,3,0)*VLOOKUP('Données projet'!$B$13,Paramètres!$A$1:$I$89,5,0)</f>
        <v>165.39743999999996</v>
      </c>
      <c r="CV44" s="14">
        <f t="shared" si="41"/>
        <v>42.057562385840804</v>
      </c>
      <c r="CW44" s="22">
        <f t="shared" si="13"/>
        <v>361.31746248867267</v>
      </c>
      <c r="CX44" s="62">
        <f t="shared" si="14"/>
        <v>654.65079582200599</v>
      </c>
      <c r="CY44" s="62">
        <f ca="1">AVERAGE(OFFSET($CX$3,0,0,'Données projet'!$E$13+1,1))-AVERAGE(OFFSET($H$3,0,0,'Données projet'!$E$13+1,1))</f>
        <v>244.82163392718377</v>
      </c>
      <c r="CZ44" s="62">
        <f t="shared" si="42"/>
        <v>342.30266518164211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4.752057195797426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4.752057195797426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8.1999999999999993</v>
      </c>
      <c r="DO44" s="13">
        <f>IF('Données projet'!$A$166&gt;35,DO43+DN44-DW43,IF(A44&lt;'Données projet'!$A$166,$DL$205^A44,IF(A44='Données projet'!$A$166,'Données projet'!$B$166,DO43+DN44-DW43)))</f>
        <v>172.20000000000005</v>
      </c>
      <c r="DP44" s="18">
        <f>DO44*VLOOKUP('Données projet'!$B$14,Paramètres!$A$1:$I$89,3,0)*VLOOKUP('Données projet'!$B$14,Paramètres!$A$1:$I$89,5,0)</f>
        <v>137.00232000000005</v>
      </c>
      <c r="DQ44" s="14">
        <f t="shared" si="43"/>
        <v>35.609416420931346</v>
      </c>
      <c r="DR44" s="22">
        <f t="shared" si="16"/>
        <v>300.63210759978887</v>
      </c>
      <c r="DS44" s="62">
        <f t="shared" si="17"/>
        <v>593.96544093312218</v>
      </c>
      <c r="DT44" s="62">
        <f ca="1">AVERAGE(OFFSET($DS$3,0,0,'Données projet'!$E$14+1,1))-AVERAGE(OFFSET($H$3,0,0,'Données projet'!$E$14+1,1))</f>
        <v>298.89893065707554</v>
      </c>
      <c r="DU44" s="62">
        <f t="shared" si="44"/>
        <v>294.28794439094878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11.4</v>
      </c>
      <c r="EJ44" s="13">
        <f>IF('Données projet'!$A$192&gt;35,EJ43+EI44-ER43,IF(A44&lt;'Données projet'!$A$192,$EG$205^A44,IF(A44='Données projet'!$A$192,'Données projet'!$B$192,EJ43+EI44-ER43)))</f>
        <v>158.4</v>
      </c>
      <c r="EK44" s="18">
        <f>EJ44*VLOOKUP('Données projet'!$B$15,Paramètres!$A$1:$I$89,3,0)*VLOOKUP('Données projet'!$B$15,Paramètres!$A$1:$I$89,5,0)</f>
        <v>143.32032000000001</v>
      </c>
      <c r="EL44" s="14">
        <f t="shared" si="45"/>
        <v>37.056603420232349</v>
      </c>
      <c r="EM44" s="22">
        <f t="shared" si="19"/>
        <v>314.15647495690467</v>
      </c>
      <c r="EN44" s="62">
        <f t="shared" si="20"/>
        <v>607.48980829023799</v>
      </c>
      <c r="EO44" s="62">
        <f ca="1">AVERAGE(OFFSET($EN$3,0,0,'Données projet'!$E$15+1,1))-AVERAGE(OFFSET($H$3,0,0,'Données projet'!$E$15+1,1))</f>
        <v>439.06700232017681</v>
      </c>
      <c r="EP44" s="62">
        <f t="shared" si="46"/>
        <v>278.21741231699929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6.7303637950552133</v>
      </c>
      <c r="EX44" s="23">
        <f>EXP(-LN(2)/2)*EX43+(1-EXP(-LN(2)/2))/(LN(2)/2)*ER44*EU44*VLOOKUP('Données projet'!$B$15,Paramètres!$A$1:$I$89,3,0)*0.475*44/12</f>
        <v>0.32946258616031121</v>
      </c>
      <c r="EY44" s="24">
        <f t="shared" si="21"/>
        <v>7.0598263812155242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11.4</v>
      </c>
      <c r="FE44" s="13">
        <f>IF('Données projet'!$A$218&gt;35,FE43+FD44-FM43,IF(A44&lt;'Données projet'!$A$218,$FB$205^A44,IF(A44='Données projet'!$A$218,'Données projet'!$B$218,FE43+FD44-FM43)))</f>
        <v>158.4</v>
      </c>
      <c r="FF44" s="18">
        <f>FE44*VLOOKUP('Données projet'!$B$16,Paramètres!$A$1:$I$89,3,0)*VLOOKUP('Données projet'!$B$16,Paramètres!$A$1:$I$89,5,0)</f>
        <v>153.20447999999999</v>
      </c>
      <c r="FG44" s="14">
        <f t="shared" si="47"/>
        <v>39.305916881892401</v>
      </c>
      <c r="FH44" s="22">
        <f t="shared" si="22"/>
        <v>335.28894123596257</v>
      </c>
      <c r="FI44" s="62">
        <f t="shared" si="23"/>
        <v>628.62227456929588</v>
      </c>
      <c r="FJ44" s="62">
        <f ca="1">AVERAGE(OFFSET($FI$3,0,0,'Données projet'!$E$16+1,1))-AVERAGE(OFFSET($H$3,0,0,'Données projet'!$E$16+1,1))</f>
        <v>466.4945858005575</v>
      </c>
      <c r="FK44" s="62">
        <f t="shared" si="48"/>
        <v>294.45557293177131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0.66822394799893647</v>
      </c>
      <c r="FT44" s="24">
        <f t="shared" si="24"/>
        <v>0.66822394799893647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11.4</v>
      </c>
      <c r="FZ44" s="13">
        <f>IF('Données projet'!$A$244&gt;35,FZ43+FY44-GH43,IF(A44&lt;'Données projet'!$A$244,$FW$205^A44,IF(A44='Données projet'!$A$244,'Données projet'!$B$244,FZ43+FY44-GH43)))</f>
        <v>158.4</v>
      </c>
      <c r="GA44" s="18">
        <f>FZ44*VLOOKUP('Données projet'!$B$17,Paramètres!$A$1:$I$89,3,0)*VLOOKUP('Données projet'!$B$17,Paramètres!$A$1:$I$89,5,0)</f>
        <v>150.73344</v>
      </c>
      <c r="GB44" s="14">
        <f t="shared" si="49"/>
        <v>38.745215146763087</v>
      </c>
      <c r="GC44" s="22">
        <f t="shared" si="25"/>
        <v>330.00865771394569</v>
      </c>
      <c r="GD44" s="62">
        <f t="shared" si="26"/>
        <v>623.34199104727895</v>
      </c>
      <c r="GE44" s="62">
        <f ca="1">AVERAGE(OFFSET($GD$3,0,0,'Données projet'!$E$17+1,1))-AVERAGE(OFFSET($H$3,0,0,'Données projet'!$E$17+1,1))</f>
        <v>459.64120566196812</v>
      </c>
      <c r="GF44" s="62">
        <f t="shared" si="50"/>
        <v>290.39826583283588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3.4</v>
      </c>
      <c r="N45" s="14">
        <f>IF('Données projet'!$A$36&gt;35,N44+M45-V44,IF(A45&lt;'Données projet'!$A$36,$K$205^A45,IF(A45='Données projet'!$A$36,'Données projet'!$B$36,N44+M45-V44)))</f>
        <v>189.80000000000004</v>
      </c>
      <c r="O45" s="14">
        <f>N45*VLOOKUP('Données projet'!$B$9,Paramètres!$A$1:$I$89,3,0)*VLOOKUP('Données projet'!$B$9,Paramètres!$A$1:$I$89,5,0)</f>
        <v>103.63080000000001</v>
      </c>
      <c r="P45" s="14">
        <f t="shared" si="33"/>
        <v>27.825181985080775</v>
      </c>
      <c r="Q45" s="22">
        <f t="shared" si="53"/>
        <v>228.952501957349</v>
      </c>
      <c r="R45" s="62">
        <f t="shared" si="0"/>
        <v>522.28583529068237</v>
      </c>
      <c r="S45" s="62">
        <f ca="1">AVERAGE(OFFSET($R$3,0,0,'Données projet'!$E$9+1,1))-AVERAGE(OFFSET($H$3,0,0,'Données projet'!$E$9+1,1))</f>
        <v>170.27677128684815</v>
      </c>
      <c r="T45" s="62">
        <f t="shared" si="34"/>
        <v>243.47439640666289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5.9204277643295091</v>
      </c>
      <c r="AB45" s="23">
        <f>EXP(-LN(2)/2)*AB44+(1-EXP(-LN(2)/2))/(LN(2)/2)*V45*Y45*VLOOKUP('Données projet'!$B$9,Paramètres!$A$1:$I$89,3,0)*0.475*44/12</f>
        <v>0.11895919194074697</v>
      </c>
      <c r="AC45" s="24">
        <f t="shared" si="3"/>
        <v>6.0393869562702562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8.6</v>
      </c>
      <c r="AI45" s="14">
        <f>IF('Données projet'!$A$62&gt;35,AI44+AH45-AQ44,IF(A45&lt;'Données projet'!$A$62,$AF$205^A45,IF(A45='Données projet'!$A$62,'Données projet'!$B$62,AI44+AH45-AQ44)))</f>
        <v>175.19999999999993</v>
      </c>
      <c r="AJ45" s="14">
        <f>AI45*VLOOKUP('Données projet'!$B$10,Paramètres!$A$1:$I$89,3,0)*VLOOKUP('Données projet'!$B$10,Paramètres!$A$1:$I$89,5,0)</f>
        <v>153.05471999999995</v>
      </c>
      <c r="AK45" s="14">
        <f t="shared" si="35"/>
        <v>39.271965088385166</v>
      </c>
      <c r="AL45" s="22">
        <f t="shared" si="4"/>
        <v>334.96897652893739</v>
      </c>
      <c r="AM45" s="62">
        <f t="shared" si="5"/>
        <v>628.3023098622707</v>
      </c>
      <c r="AN45" s="62">
        <f ca="1">AVERAGE(OFFSET($AM$3,0,0,'Données projet'!$E$10+1,1))-AVERAGE(OFFSET($H$3,0,0,'Données projet'!$E$10+1,1))</f>
        <v>327.826081588335</v>
      </c>
      <c r="AO45" s="62">
        <f t="shared" si="36"/>
        <v>348.84706693879735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11.3599914420835</v>
      </c>
      <c r="AW45" s="23">
        <f>EXP(-LN(2)/2)*AW44+(1-EXP(-LN(2)/2))/(LN(2)/2)*AQ45*AT45*VLOOKUP('Données projet'!$B$10,Paramètres!$A$1:$I$89,3,0)*0.475*44/12</f>
        <v>0.2327308535243896</v>
      </c>
      <c r="AX45" s="23">
        <f t="shared" si="6"/>
        <v>11.592722295607889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245.79999999999993</v>
      </c>
      <c r="BE45" s="14">
        <f>BD45*VLOOKUP('Données projet'!$B$11,Paramètres!$A$1:$I$89,3,0)*VLOOKUP('Données projet'!$B$11,Paramètres!$A$1:$I$89,5,0)</f>
        <v>180.22055999999992</v>
      </c>
      <c r="BF45" s="14">
        <f t="shared" si="37"/>
        <v>45.371253205145926</v>
      </c>
      <c r="BG45" s="22">
        <f t="shared" si="7"/>
        <v>392.90574133229569</v>
      </c>
      <c r="BH45" s="62">
        <f t="shared" si="8"/>
        <v>686.239074665629</v>
      </c>
      <c r="BI45" s="62">
        <f ca="1">AVERAGE(OFFSET($BH$3,0,0,'Données projet'!$E$11+1,1))-AVERAGE(OFFSET($H$3,0,0,'Données projet'!$E$11+1,1))</f>
        <v>376.5422416541544</v>
      </c>
      <c r="BJ45" s="62">
        <f t="shared" si="38"/>
        <v>365.76175372075869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19.490170785878259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19.490170785878259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583.89</v>
      </c>
      <c r="BW45" s="13">
        <f>VLOOKUP(A45,'Données projet'!$A$113:$I$133,9,0)</f>
        <v>28.849999999999966</v>
      </c>
      <c r="BX45" s="13">
        <f t="array" ref="BX45">INDEX(BW:BW,MIN(IF(ISNUMBER(BW45:BW241),ROW(BW45:BW241),"")))</f>
        <v>28.849999999999966</v>
      </c>
      <c r="BY45" s="13">
        <f>IF('Données projet'!$A$114&gt;35,BY44+BX45-CG44,IF(A45&lt;'Données projet'!$A$114,$BV$205^A45,IF(A45='Données projet'!$A$114,'Données projet'!$B$114,BY44+BX45-CG44)))</f>
        <v>583.88999999999987</v>
      </c>
      <c r="BZ45" s="14">
        <f>BY45*VLOOKUP('Données projet'!$B$12,Paramètres!$A$1:$I$89,3,0)*VLOOKUP('Données projet'!$B$12,Paramètres!$A$1:$I$89,5,0)</f>
        <v>326.39450999999991</v>
      </c>
      <c r="CA45" s="14">
        <f t="shared" si="39"/>
        <v>76.68231983802859</v>
      </c>
      <c r="CB45" s="22">
        <f t="shared" si="10"/>
        <v>702.0254786345663</v>
      </c>
      <c r="CC45" s="62">
        <f t="shared" si="11"/>
        <v>995.35881196789956</v>
      </c>
      <c r="CD45" s="62">
        <f ca="1">AVERAGE(OFFSET($CC$3,0,0,'Données projet'!$E$12+1,1))-AVERAGE(OFFSET($H$3,0,0,'Données projet'!$E$12+1,1))</f>
        <v>405.09126081846171</v>
      </c>
      <c r="CE45" s="62">
        <f t="shared" si="40"/>
        <v>534.22295841722166</v>
      </c>
      <c r="CF45" s="16">
        <f>IF(ISNA(VLOOKUP(A45,'Données projet'!$A$113:$I$133,3,0)),0,VLOOKUP(A45,'Données projet'!$A$113:$I$133,3,0))</f>
        <v>14</v>
      </c>
      <c r="CG45" s="16">
        <f>IF(ISNA(VLOOKUP(A45,'Données projet'!$A$113:$I$133,4,0)),0,VLOOKUP(A45,'Données projet'!$A$113:$I$133,4,0))</f>
        <v>91.25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7.7669795900067236</v>
      </c>
      <c r="CL45" s="23">
        <f>EXP(-LN(2)/25)*CL44+(1-EXP(-LN(2)/25))/(LN(2)/25)*Calculateur!CG45*Calculateur!CI45*VLOOKUP('Données projet'!$B$12,Paramètres!$A$1:$I$89,3,0)*0.475*44/12</f>
        <v>10.052288837134789</v>
      </c>
      <c r="CM45" s="23">
        <f>EXP(-LN(2)/2)*CM44+(1-EXP(-LN(2)/2))/(LN(2)/2)*CG45*CJ45*VLOOKUP('Données projet'!$B$12,Paramètres!$A$1:$I$89,3,0)*0.475*44/12</f>
        <v>2.4838626320822225E-2</v>
      </c>
      <c r="CN45" s="24">
        <f t="shared" si="12"/>
        <v>17.844107053462334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3.8</v>
      </c>
      <c r="CT45" s="13">
        <f>IF('Données projet'!$A$140&gt;35,CT44+CS45-DB44,IF(A45&lt;'Données projet'!$A$140,$CQ$205^A45,IF(A45='Données projet'!$A$140,'Données projet'!$B$140,CT44+CS45-DB44)))</f>
        <v>186.59999999999997</v>
      </c>
      <c r="CU45" s="18">
        <f>CT45*VLOOKUP('Données projet'!$B$13,Paramètres!$A$1:$I$89,3,0)*VLOOKUP('Données projet'!$B$13,Paramètres!$A$1:$I$89,5,0)</f>
        <v>168.83567999999994</v>
      </c>
      <c r="CV45" s="14">
        <f t="shared" si="41"/>
        <v>42.829150426593394</v>
      </c>
      <c r="CW45" s="22">
        <f t="shared" si="13"/>
        <v>368.64957965965004</v>
      </c>
      <c r="CX45" s="62">
        <f t="shared" si="14"/>
        <v>661.9829129929833</v>
      </c>
      <c r="CY45" s="62">
        <f ca="1">AVERAGE(OFFSET($CX$3,0,0,'Données projet'!$E$13+1,1))-AVERAGE(OFFSET($H$3,0,0,'Données projet'!$E$13+1,1))</f>
        <v>244.82163392718377</v>
      </c>
      <c r="CZ45" s="62">
        <f t="shared" si="42"/>
        <v>342.30266518164211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4.6588722526565283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4.6588722526565283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8.1999999999999993</v>
      </c>
      <c r="DO45" s="13">
        <f>IF('Données projet'!$A$166&gt;35,DO44+DN45-DW44,IF(A45&lt;'Données projet'!$A$166,$DL$205^A45,IF(A45='Données projet'!$A$166,'Données projet'!$B$166,DO44+DN45-DW44)))</f>
        <v>180.40000000000003</v>
      </c>
      <c r="DP45" s="18">
        <f>DO45*VLOOKUP('Données projet'!$B$14,Paramètres!$A$1:$I$89,3,0)*VLOOKUP('Données projet'!$B$14,Paramètres!$A$1:$I$89,5,0)</f>
        <v>143.52624000000003</v>
      </c>
      <c r="DQ45" s="14">
        <f t="shared" si="43"/>
        <v>37.103644337236275</v>
      </c>
      <c r="DR45" s="22">
        <f t="shared" si="16"/>
        <v>314.59704855401986</v>
      </c>
      <c r="DS45" s="62">
        <f t="shared" si="17"/>
        <v>607.93038188735318</v>
      </c>
      <c r="DT45" s="62">
        <f ca="1">AVERAGE(OFFSET($DS$3,0,0,'Données projet'!$E$14+1,1))-AVERAGE(OFFSET($H$3,0,0,'Données projet'!$E$14+1,1))</f>
        <v>298.89893065707554</v>
      </c>
      <c r="DU45" s="62">
        <f t="shared" si="44"/>
        <v>294.28794439094878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11.4</v>
      </c>
      <c r="EJ45" s="13">
        <f>IF('Données projet'!$A$192&gt;35,EJ44+EI45-ER44,IF(A45&lt;'Données projet'!$A$192,$EG$205^A45,IF(A45='Données projet'!$A$192,'Données projet'!$B$192,EJ44+EI45-ER44)))</f>
        <v>169.8</v>
      </c>
      <c r="EK45" s="18">
        <f>EJ45*VLOOKUP('Données projet'!$B$15,Paramètres!$A$1:$I$89,3,0)*VLOOKUP('Données projet'!$B$15,Paramètres!$A$1:$I$89,5,0)</f>
        <v>153.63504</v>
      </c>
      <c r="EL45" s="14">
        <f t="shared" si="45"/>
        <v>39.403506785222667</v>
      </c>
      <c r="EM45" s="22">
        <f t="shared" si="19"/>
        <v>336.20880231759617</v>
      </c>
      <c r="EN45" s="62">
        <f t="shared" si="20"/>
        <v>629.54213565092948</v>
      </c>
      <c r="EO45" s="62">
        <f ca="1">AVERAGE(OFFSET($EN$3,0,0,'Données projet'!$E$15+1,1))-AVERAGE(OFFSET($H$3,0,0,'Données projet'!$E$15+1,1))</f>
        <v>439.06700232017681</v>
      </c>
      <c r="EP45" s="62">
        <f t="shared" si="46"/>
        <v>278.21741231699929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6.5463216431449789</v>
      </c>
      <c r="EX45" s="23">
        <f>EXP(-LN(2)/2)*EX44+(1-EXP(-LN(2)/2))/(LN(2)/2)*ER45*EU45*VLOOKUP('Données projet'!$B$15,Paramètres!$A$1:$I$89,3,0)*0.475*44/12</f>
        <v>0.23296522882121326</v>
      </c>
      <c r="EY45" s="24">
        <f t="shared" si="21"/>
        <v>6.7792868719661925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11.4</v>
      </c>
      <c r="FE45" s="13">
        <f>IF('Données projet'!$A$218&gt;35,FE44+FD45-FM44,IF(A45&lt;'Données projet'!$A$218,$FB$205^A45,IF(A45='Données projet'!$A$218,'Données projet'!$B$218,FE44+FD45-FM44)))</f>
        <v>169.8</v>
      </c>
      <c r="FF45" s="18">
        <f>FE45*VLOOKUP('Données projet'!$B$16,Paramètres!$A$1:$I$89,3,0)*VLOOKUP('Données projet'!$B$16,Paramètres!$A$1:$I$89,5,0)</f>
        <v>164.23056000000003</v>
      </c>
      <c r="FG45" s="14">
        <f t="shared" si="47"/>
        <v>41.795275864636551</v>
      </c>
      <c r="FH45" s="22">
        <f t="shared" si="22"/>
        <v>358.82833079757535</v>
      </c>
      <c r="FI45" s="62">
        <f t="shared" si="23"/>
        <v>652.16166413090866</v>
      </c>
      <c r="FJ45" s="62">
        <f ca="1">AVERAGE(OFFSET($FI$3,0,0,'Données projet'!$E$16+1,1))-AVERAGE(OFFSET($H$3,0,0,'Données projet'!$E$16+1,1))</f>
        <v>466.4945858005575</v>
      </c>
      <c r="FK45" s="62">
        <f t="shared" si="48"/>
        <v>294.45557293177131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0.47250568498129492</v>
      </c>
      <c r="FT45" s="24">
        <f t="shared" si="24"/>
        <v>0.47250568498129492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11.4</v>
      </c>
      <c r="FZ45" s="13">
        <f>IF('Données projet'!$A$244&gt;35,FZ44+FY45-GH44,IF(A45&lt;'Données projet'!$A$244,$FW$205^A45,IF(A45='Données projet'!$A$244,'Données projet'!$B$244,FZ44+FY45-GH44)))</f>
        <v>169.8</v>
      </c>
      <c r="GA45" s="18">
        <f>FZ45*VLOOKUP('Données projet'!$B$17,Paramètres!$A$1:$I$89,3,0)*VLOOKUP('Données projet'!$B$17,Paramètres!$A$1:$I$89,5,0)</f>
        <v>161.58168000000001</v>
      </c>
      <c r="GB45" s="14">
        <f t="shared" si="49"/>
        <v>41.199063244334951</v>
      </c>
      <c r="GC45" s="22">
        <f t="shared" si="25"/>
        <v>353.17646115055004</v>
      </c>
      <c r="GD45" s="62">
        <f t="shared" si="26"/>
        <v>646.5097944838833</v>
      </c>
      <c r="GE45" s="62">
        <f ca="1">AVERAGE(OFFSET($GD$3,0,0,'Données projet'!$E$17+1,1))-AVERAGE(OFFSET($H$3,0,0,'Données projet'!$E$17+1,1))</f>
        <v>459.64120566196812</v>
      </c>
      <c r="GF45" s="62">
        <f t="shared" si="50"/>
        <v>290.39826583283588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3.4</v>
      </c>
      <c r="N46" s="14">
        <f>IF('Données projet'!$A$36&gt;35,N45+M46-V45,IF(A46&lt;'Données projet'!$A$36,$K$205^A46,IF(A46='Données projet'!$A$36,'Données projet'!$B$36,N45+M46-V45)))</f>
        <v>193.20000000000005</v>
      </c>
      <c r="O46" s="14">
        <f>N46*VLOOKUP('Données projet'!$B$9,Paramètres!$A$1:$I$89,3,0)*VLOOKUP('Données projet'!$B$9,Paramètres!$A$1:$I$89,5,0)</f>
        <v>105.48720000000003</v>
      </c>
      <c r="P46" s="14">
        <f t="shared" si="33"/>
        <v>28.265155367923839</v>
      </c>
      <c r="Q46" s="22">
        <f t="shared" si="53"/>
        <v>232.95201893246744</v>
      </c>
      <c r="R46" s="62">
        <f t="shared" si="0"/>
        <v>526.28535226580073</v>
      </c>
      <c r="S46" s="62">
        <f ca="1">AVERAGE(OFFSET($R$3,0,0,'Données projet'!$E$9+1,1))-AVERAGE(OFFSET($H$3,0,0,'Données projet'!$E$9+1,1))</f>
        <v>170.27677128684815</v>
      </c>
      <c r="T46" s="62">
        <f t="shared" si="34"/>
        <v>243.47439640666289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5.7585333557721539</v>
      </c>
      <c r="AB46" s="23">
        <f>EXP(-LN(2)/2)*AB45+(1-EXP(-LN(2)/2))/(LN(2)/2)*V46*Y46*VLOOKUP('Données projet'!$B$9,Paramètres!$A$1:$I$89,3,0)*0.475*44/12</f>
        <v>8.4116851305774287E-2</v>
      </c>
      <c r="AC46" s="24">
        <f t="shared" si="3"/>
        <v>5.842650207077928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8.6</v>
      </c>
      <c r="AI46" s="14">
        <f>IF('Données projet'!$A$62&gt;35,AI45+AH46-AQ45,IF(A46&lt;'Données projet'!$A$62,$AF$205^A46,IF(A46='Données projet'!$A$62,'Données projet'!$B$62,AI45+AH46-AQ45)))</f>
        <v>183.79999999999993</v>
      </c>
      <c r="AJ46" s="14">
        <f>AI46*VLOOKUP('Données projet'!$B$10,Paramètres!$A$1:$I$89,3,0)*VLOOKUP('Données projet'!$B$10,Paramètres!$A$1:$I$89,5,0)</f>
        <v>160.56767999999997</v>
      </c>
      <c r="AK46" s="14">
        <f t="shared" si="35"/>
        <v>40.970530810309882</v>
      </c>
      <c r="AL46" s="22">
        <f t="shared" si="4"/>
        <v>351.01238382795628</v>
      </c>
      <c r="AM46" s="62">
        <f t="shared" si="5"/>
        <v>644.3457171612896</v>
      </c>
      <c r="AN46" s="62">
        <f ca="1">AVERAGE(OFFSET($AM$3,0,0,'Données projet'!$E$10+1,1))-AVERAGE(OFFSET($H$3,0,0,'Données projet'!$E$10+1,1))</f>
        <v>327.826081588335</v>
      </c>
      <c r="AO46" s="62">
        <f t="shared" si="36"/>
        <v>348.84706693879735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11.049351878703741</v>
      </c>
      <c r="AW46" s="23">
        <f>EXP(-LN(2)/2)*AW45+(1-EXP(-LN(2)/2))/(LN(2)/2)*AQ46*AT46*VLOOKUP('Données projet'!$B$10,Paramètres!$A$1:$I$89,3,0)*0.475*44/12</f>
        <v>0.16456556471842901</v>
      </c>
      <c r="AX46" s="23">
        <f t="shared" si="6"/>
        <v>11.21391744342217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257.19999999999993</v>
      </c>
      <c r="BE46" s="14">
        <f>BD46*VLOOKUP('Données projet'!$B$11,Paramètres!$A$1:$I$89,3,0)*VLOOKUP('Données projet'!$B$11,Paramètres!$A$1:$I$89,5,0)</f>
        <v>188.57903999999994</v>
      </c>
      <c r="BF46" s="14">
        <f t="shared" si="37"/>
        <v>47.22566164876563</v>
      </c>
      <c r="BG46" s="22">
        <f t="shared" si="7"/>
        <v>410.69318870493333</v>
      </c>
      <c r="BH46" s="62">
        <f t="shared" si="8"/>
        <v>704.02652203826665</v>
      </c>
      <c r="BI46" s="62">
        <f ca="1">AVERAGE(OFFSET($BH$3,0,0,'Données projet'!$E$11+1,1))-AVERAGE(OFFSET($H$3,0,0,'Données projet'!$E$11+1,1))</f>
        <v>376.5422416541544</v>
      </c>
      <c r="BJ46" s="62">
        <f t="shared" si="38"/>
        <v>365.76175372075869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19.107980424597539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19.107980424597539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26.495000000000005</v>
      </c>
      <c r="BY46" s="13">
        <f>IF('Données projet'!$A$114&gt;35,BY45+BX46-CG45,IF(A46&lt;'Données projet'!$A$114,$BV$205^A46,IF(A46='Données projet'!$A$114,'Données projet'!$B$114,BY45+BX46-CG45)))</f>
        <v>519.13499999999988</v>
      </c>
      <c r="BZ46" s="14">
        <f>BY46*VLOOKUP('Données projet'!$B$12,Paramètres!$A$1:$I$89,3,0)*VLOOKUP('Données projet'!$B$12,Paramètres!$A$1:$I$89,5,0)</f>
        <v>290.19646499999993</v>
      </c>
      <c r="CA46" s="14">
        <f t="shared" si="39"/>
        <v>69.11730885855718</v>
      </c>
      <c r="CB46" s="22">
        <f t="shared" si="10"/>
        <v>625.80482280365356</v>
      </c>
      <c r="CC46" s="62">
        <f t="shared" si="11"/>
        <v>919.13815613698694</v>
      </c>
      <c r="CD46" s="62">
        <f ca="1">AVERAGE(OFFSET($CC$3,0,0,'Données projet'!$E$12+1,1))-AVERAGE(OFFSET($H$3,0,0,'Données projet'!$E$12+1,1))</f>
        <v>405.09126081846171</v>
      </c>
      <c r="CE46" s="62">
        <f t="shared" si="40"/>
        <v>534.22295841722166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7.614673857636463</v>
      </c>
      <c r="CL46" s="23">
        <f>EXP(-LN(2)/25)*CL45+(1-EXP(-LN(2)/25))/(LN(2)/25)*Calculateur!CG46*Calculateur!CI46*VLOOKUP('Données projet'!$B$12,Paramètres!$A$1:$I$89,3,0)*0.475*44/12</f>
        <v>9.777408470256443</v>
      </c>
      <c r="CM46" s="23">
        <f>EXP(-LN(2)/2)*CM45+(1-EXP(-LN(2)/2))/(LN(2)/2)*CG46*CJ46*VLOOKUP('Données projet'!$B$12,Paramètres!$A$1:$I$89,3,0)*0.475*44/12</f>
        <v>1.7563561106812061E-2</v>
      </c>
      <c r="CN46" s="24">
        <f t="shared" si="12"/>
        <v>17.409645888999719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3.8</v>
      </c>
      <c r="CT46" s="13">
        <f>IF('Données projet'!$A$140&gt;35,CT45+CS46-DB45,IF(A46&lt;'Données projet'!$A$140,$CQ$205^A46,IF(A46='Données projet'!$A$140,'Données projet'!$B$140,CT45+CS46-DB45)))</f>
        <v>190.39999999999998</v>
      </c>
      <c r="CU46" s="18">
        <f>CT46*VLOOKUP('Données projet'!$B$13,Paramètres!$A$1:$I$89,3,0)*VLOOKUP('Données projet'!$B$13,Paramètres!$A$1:$I$89,5,0)</f>
        <v>172.27391999999998</v>
      </c>
      <c r="CV46" s="14">
        <f t="shared" si="41"/>
        <v>43.598911513699605</v>
      </c>
      <c r="CW46" s="22">
        <f t="shared" si="13"/>
        <v>375.97851488636002</v>
      </c>
      <c r="CX46" s="62">
        <f t="shared" si="14"/>
        <v>669.31184821969327</v>
      </c>
      <c r="CY46" s="62">
        <f ca="1">AVERAGE(OFFSET($CX$3,0,0,'Données projet'!$E$13+1,1))-AVERAGE(OFFSET($H$3,0,0,'Données projet'!$E$13+1,1))</f>
        <v>244.82163392718377</v>
      </c>
      <c r="CZ46" s="62">
        <f t="shared" si="42"/>
        <v>342.30266518164211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4.5675146094134202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4.5675146094134202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8.1999999999999993</v>
      </c>
      <c r="DO46" s="13">
        <f>IF('Données projet'!$A$166&gt;35,DO45+DN46-DW45,IF(A46&lt;'Données projet'!$A$166,$DL$205^A46,IF(A46='Données projet'!$A$166,'Données projet'!$B$166,DO45+DN46-DW45)))</f>
        <v>188.60000000000002</v>
      </c>
      <c r="DP46" s="18">
        <f>DO46*VLOOKUP('Données projet'!$B$14,Paramètres!$A$1:$I$89,3,0)*VLOOKUP('Données projet'!$B$14,Paramètres!$A$1:$I$89,5,0)</f>
        <v>150.05016000000001</v>
      </c>
      <c r="DQ46" s="14">
        <f t="shared" si="43"/>
        <v>38.589984439024605</v>
      </c>
      <c r="DR46" s="22">
        <f t="shared" si="16"/>
        <v>328.54825156463448</v>
      </c>
      <c r="DS46" s="62">
        <f t="shared" si="17"/>
        <v>621.88158489796774</v>
      </c>
      <c r="DT46" s="62">
        <f ca="1">AVERAGE(OFFSET($DS$3,0,0,'Données projet'!$E$14+1,1))-AVERAGE(OFFSET($H$3,0,0,'Données projet'!$E$14+1,1))</f>
        <v>298.89893065707554</v>
      </c>
      <c r="DU46" s="62">
        <f t="shared" si="44"/>
        <v>294.28794439094878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11.4</v>
      </c>
      <c r="EJ46" s="13">
        <f>IF('Données projet'!$A$192&gt;35,EJ45+EI46-ER45,IF(A46&lt;'Données projet'!$A$192,$EG$205^A46,IF(A46='Données projet'!$A$192,'Données projet'!$B$192,EJ45+EI46-ER45)))</f>
        <v>181.20000000000002</v>
      </c>
      <c r="EK46" s="18">
        <f>EJ46*VLOOKUP('Données projet'!$B$15,Paramètres!$A$1:$I$89,3,0)*VLOOKUP('Données projet'!$B$15,Paramètres!$A$1:$I$89,5,0)</f>
        <v>163.94976</v>
      </c>
      <c r="EL46" s="14">
        <f t="shared" si="45"/>
        <v>41.732126457893308</v>
      </c>
      <c r="EM46" s="22">
        <f t="shared" si="19"/>
        <v>358.22928558083089</v>
      </c>
      <c r="EN46" s="62">
        <f t="shared" si="20"/>
        <v>651.5626189141642</v>
      </c>
      <c r="EO46" s="62">
        <f ca="1">AVERAGE(OFFSET($EN$3,0,0,'Données projet'!$E$15+1,1))-AVERAGE(OFFSET($H$3,0,0,'Données projet'!$E$15+1,1))</f>
        <v>439.06700232017681</v>
      </c>
      <c r="EP46" s="62">
        <f t="shared" si="46"/>
        <v>278.21741231699929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6.3673121335570864</v>
      </c>
      <c r="EX46" s="23">
        <f>EXP(-LN(2)/2)*EX45+(1-EXP(-LN(2)/2))/(LN(2)/2)*ER46*EU46*VLOOKUP('Données projet'!$B$15,Paramètres!$A$1:$I$89,3,0)*0.475*44/12</f>
        <v>0.16473129308015563</v>
      </c>
      <c r="EY46" s="24">
        <f t="shared" si="21"/>
        <v>6.5320434266372418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11.4</v>
      </c>
      <c r="FE46" s="13">
        <f>IF('Données projet'!$A$218&gt;35,FE45+FD46-FM45,IF(A46&lt;'Données projet'!$A$218,$FB$205^A46,IF(A46='Données projet'!$A$218,'Données projet'!$B$218,FE45+FD46-FM45)))</f>
        <v>181.20000000000002</v>
      </c>
      <c r="FF46" s="18">
        <f>FE46*VLOOKUP('Données projet'!$B$16,Paramètres!$A$1:$I$89,3,0)*VLOOKUP('Données projet'!$B$16,Paramètres!$A$1:$I$89,5,0)</f>
        <v>175.25664000000003</v>
      </c>
      <c r="FG46" s="14">
        <f t="shared" si="47"/>
        <v>44.265241345972555</v>
      </c>
      <c r="FH46" s="22">
        <f t="shared" si="22"/>
        <v>382.33394334423559</v>
      </c>
      <c r="FI46" s="62">
        <f t="shared" si="23"/>
        <v>675.66727667756891</v>
      </c>
      <c r="FJ46" s="62">
        <f ca="1">AVERAGE(OFFSET($FI$3,0,0,'Données projet'!$E$16+1,1))-AVERAGE(OFFSET($H$3,0,0,'Données projet'!$E$16+1,1))</f>
        <v>466.4945858005575</v>
      </c>
      <c r="FK46" s="62">
        <f t="shared" si="48"/>
        <v>294.45557293177131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0.33411197399946829</v>
      </c>
      <c r="FT46" s="24">
        <f t="shared" si="24"/>
        <v>0.33411197399946829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11.4</v>
      </c>
      <c r="FZ46" s="13">
        <f>IF('Données projet'!$A$244&gt;35,FZ45+FY46-GH45,IF(A46&lt;'Données projet'!$A$244,$FW$205^A46,IF(A46='Données projet'!$A$244,'Données projet'!$B$244,FZ45+FY46-GH45)))</f>
        <v>181.20000000000002</v>
      </c>
      <c r="GA46" s="18">
        <f>FZ46*VLOOKUP('Données projet'!$B$17,Paramètres!$A$1:$I$89,3,0)*VLOOKUP('Données projet'!$B$17,Paramètres!$A$1:$I$89,5,0)</f>
        <v>172.42992000000001</v>
      </c>
      <c r="GB46" s="14">
        <f t="shared" si="49"/>
        <v>43.633794490192969</v>
      </c>
      <c r="GC46" s="22">
        <f t="shared" si="25"/>
        <v>376.31096940375278</v>
      </c>
      <c r="GD46" s="62">
        <f t="shared" si="26"/>
        <v>669.64430273708604</v>
      </c>
      <c r="GE46" s="62">
        <f ca="1">AVERAGE(OFFSET($GD$3,0,0,'Données projet'!$E$17+1,1))-AVERAGE(OFFSET($H$3,0,0,'Données projet'!$E$17+1,1))</f>
        <v>459.64120566196812</v>
      </c>
      <c r="GF46" s="62">
        <f t="shared" si="50"/>
        <v>290.39826583283588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3.4</v>
      </c>
      <c r="N47" s="14">
        <f>IF('Données projet'!$A$36&gt;35,N46+M47-V46,IF(A47&lt;'Données projet'!$A$36,$K$205^A47,IF(A47='Données projet'!$A$36,'Données projet'!$B$36,N46+M47-V46)))</f>
        <v>196.60000000000005</v>
      </c>
      <c r="O47" s="14">
        <f>N47*VLOOKUP('Données projet'!$B$9,Paramètres!$A$1:$I$89,3,0)*VLOOKUP('Données projet'!$B$9,Paramètres!$A$1:$I$89,5,0)</f>
        <v>107.34360000000002</v>
      </c>
      <c r="P47" s="14">
        <f t="shared" si="33"/>
        <v>28.704228361851108</v>
      </c>
      <c r="Q47" s="22">
        <f t="shared" si="53"/>
        <v>236.94996773022407</v>
      </c>
      <c r="R47" s="62">
        <f t="shared" si="0"/>
        <v>530.28330106355736</v>
      </c>
      <c r="S47" s="62">
        <f ca="1">AVERAGE(OFFSET($R$3,0,0,'Données projet'!$E$9+1,1))-AVERAGE(OFFSET($H$3,0,0,'Données projet'!$E$9+1,1))</f>
        <v>170.27677128684815</v>
      </c>
      <c r="T47" s="62">
        <f t="shared" si="34"/>
        <v>243.47439640666289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5.6010659583304561</v>
      </c>
      <c r="AB47" s="23">
        <f>EXP(-LN(2)/2)*AB46+(1-EXP(-LN(2)/2))/(LN(2)/2)*V47*Y47*VLOOKUP('Données projet'!$B$9,Paramètres!$A$1:$I$89,3,0)*0.475*44/12</f>
        <v>5.94795959703735E-2</v>
      </c>
      <c r="AC47" s="24">
        <f t="shared" si="3"/>
        <v>5.6605455543008292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8.6</v>
      </c>
      <c r="AI47" s="14">
        <f>IF('Données projet'!$A$62&gt;35,AI46+AH47-AQ46,IF(A47&lt;'Données projet'!$A$62,$AF$205^A47,IF(A47='Données projet'!$A$62,'Données projet'!$B$62,AI46+AH47-AQ46)))</f>
        <v>192.39999999999992</v>
      </c>
      <c r="AJ47" s="14">
        <f>AI47*VLOOKUP('Données projet'!$B$10,Paramètres!$A$1:$I$89,3,0)*VLOOKUP('Données projet'!$B$10,Paramètres!$A$1:$I$89,5,0)</f>
        <v>168.08063999999996</v>
      </c>
      <c r="AK47" s="14">
        <f t="shared" si="35"/>
        <v>42.659867131343425</v>
      </c>
      <c r="AL47" s="22">
        <f t="shared" si="4"/>
        <v>367.03971658708974</v>
      </c>
      <c r="AM47" s="62">
        <f t="shared" si="5"/>
        <v>660.373049920423</v>
      </c>
      <c r="AN47" s="62">
        <f ca="1">AVERAGE(OFFSET($AM$3,0,0,'Données projet'!$E$10+1,1))-AVERAGE(OFFSET($H$3,0,0,'Données projet'!$E$10+1,1))</f>
        <v>327.826081588335</v>
      </c>
      <c r="AO47" s="62">
        <f t="shared" si="36"/>
        <v>348.84706693879735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10.747206770520425</v>
      </c>
      <c r="AW47" s="23">
        <f>EXP(-LN(2)/2)*AW46+(1-EXP(-LN(2)/2))/(LN(2)/2)*AQ47*AT47*VLOOKUP('Données projet'!$B$10,Paramètres!$A$1:$I$89,3,0)*0.475*44/12</f>
        <v>0.11636542676219482</v>
      </c>
      <c r="AX47" s="23">
        <f t="shared" si="6"/>
        <v>10.86357219728262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268.59999999999991</v>
      </c>
      <c r="BE47" s="14">
        <f>BD47*VLOOKUP('Données projet'!$B$11,Paramètres!$A$1:$I$89,3,0)*VLOOKUP('Données projet'!$B$11,Paramètres!$A$1:$I$89,5,0)</f>
        <v>196.93751999999992</v>
      </c>
      <c r="BF47" s="14">
        <f t="shared" si="37"/>
        <v>49.070524066369494</v>
      </c>
      <c r="BG47" s="22">
        <f t="shared" si="7"/>
        <v>428.46401008226007</v>
      </c>
      <c r="BH47" s="62">
        <f t="shared" si="8"/>
        <v>721.79734341559333</v>
      </c>
      <c r="BI47" s="62">
        <f ca="1">AVERAGE(OFFSET($BH$3,0,0,'Données projet'!$E$11+1,1))-AVERAGE(OFFSET($H$3,0,0,'Données projet'!$E$11+1,1))</f>
        <v>376.5422416541544</v>
      </c>
      <c r="BJ47" s="62">
        <f t="shared" si="38"/>
        <v>365.76175372075869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18.733284583188432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18.733284583188432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545.63</v>
      </c>
      <c r="BW47" s="13">
        <f>VLOOKUP(A47,'Données projet'!$A$113:$I$133,9,0)</f>
        <v>26.495000000000005</v>
      </c>
      <c r="BX47" s="13">
        <f t="array" ref="BX47">INDEX(BW:BW,MIN(IF(ISNUMBER(BW47:BW243),ROW(BW47:BW243),"")))</f>
        <v>26.495000000000005</v>
      </c>
      <c r="BY47" s="13">
        <f>IF('Données projet'!$A$114&gt;35,BY46+BX47-CG46,IF(A47&lt;'Données projet'!$A$114,$BV$205^A47,IF(A47='Données projet'!$A$114,'Données projet'!$B$114,BY46+BX47-CG46)))</f>
        <v>545.62999999999988</v>
      </c>
      <c r="BZ47" s="14">
        <f>BY47*VLOOKUP('Données projet'!$B$12,Paramètres!$A$1:$I$89,3,0)*VLOOKUP('Données projet'!$B$12,Paramètres!$A$1:$I$89,5,0)</f>
        <v>305.00716999999992</v>
      </c>
      <c r="CA47" s="14">
        <f t="shared" si="39"/>
        <v>72.225145248700485</v>
      </c>
      <c r="CB47" s="22">
        <f t="shared" si="10"/>
        <v>657.01294905815314</v>
      </c>
      <c r="CC47" s="62">
        <f t="shared" si="11"/>
        <v>950.34628239148651</v>
      </c>
      <c r="CD47" s="62">
        <f ca="1">AVERAGE(OFFSET($CC$3,0,0,'Données projet'!$E$12+1,1))-AVERAGE(OFFSET($H$3,0,0,'Données projet'!$E$12+1,1))</f>
        <v>405.09126081846171</v>
      </c>
      <c r="CE47" s="62">
        <f t="shared" si="40"/>
        <v>534.22295841722166</v>
      </c>
      <c r="CF47" s="16">
        <f>IF(ISNA(VLOOKUP(A47,'Données projet'!$A$113:$I$133,3,0)),0,VLOOKUP(A47,'Données projet'!$A$113:$I$133,3,0))</f>
        <v>15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7.4653547477806592</v>
      </c>
      <c r="CL47" s="23">
        <f>EXP(-LN(2)/25)*CL46+(1-EXP(-LN(2)/25))/(LN(2)/25)*Calculateur!CG47*Calculateur!CI47*VLOOKUP('Données projet'!$B$12,Paramètres!$A$1:$I$89,3,0)*0.475*44/12</f>
        <v>9.5100447214657162</v>
      </c>
      <c r="CM47" s="23">
        <f>EXP(-LN(2)/2)*CM46+(1-EXP(-LN(2)/2))/(LN(2)/2)*CG47*CJ47*VLOOKUP('Données projet'!$B$12,Paramètres!$A$1:$I$89,3,0)*0.475*44/12</f>
        <v>1.2419313160411113E-2</v>
      </c>
      <c r="CN47" s="24">
        <f t="shared" si="12"/>
        <v>16.987818782406787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3.8</v>
      </c>
      <c r="CT47" s="13">
        <f>IF('Données projet'!$A$140&gt;35,CT46+CS47-DB46,IF(A47&lt;'Données projet'!$A$140,$CQ$205^A47,IF(A47='Données projet'!$A$140,'Données projet'!$B$140,CT46+CS47-DB46)))</f>
        <v>194.2</v>
      </c>
      <c r="CU47" s="18">
        <f>CT47*VLOOKUP('Données projet'!$B$13,Paramètres!$A$1:$I$89,3,0)*VLOOKUP('Données projet'!$B$13,Paramètres!$A$1:$I$89,5,0)</f>
        <v>175.71215999999998</v>
      </c>
      <c r="CV47" s="14">
        <f t="shared" si="41"/>
        <v>44.366886311884528</v>
      </c>
      <c r="CW47" s="22">
        <f t="shared" si="13"/>
        <v>383.30433899319883</v>
      </c>
      <c r="CX47" s="62">
        <f t="shared" si="14"/>
        <v>676.63767232653208</v>
      </c>
      <c r="CY47" s="62">
        <f ca="1">AVERAGE(OFFSET($CX$3,0,0,'Données projet'!$E$13+1,1))-AVERAGE(OFFSET($H$3,0,0,'Données projet'!$E$13+1,1))</f>
        <v>244.82163392718377</v>
      </c>
      <c r="CZ47" s="62">
        <f t="shared" si="42"/>
        <v>342.30266518164211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4.4779484338316493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4.4779484338316493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8.1999999999999993</v>
      </c>
      <c r="DO47" s="13">
        <f>IF('Données projet'!$A$166&gt;35,DO46+DN47-DW46,IF(A47&lt;'Données projet'!$A$166,$DL$205^A47,IF(A47='Données projet'!$A$166,'Données projet'!$B$166,DO46+DN47-DW46)))</f>
        <v>196.8</v>
      </c>
      <c r="DP47" s="18">
        <f>DO47*VLOOKUP('Données projet'!$B$14,Paramètres!$A$1:$I$89,3,0)*VLOOKUP('Données projet'!$B$14,Paramètres!$A$1:$I$89,5,0)</f>
        <v>156.57408000000001</v>
      </c>
      <c r="DQ47" s="14">
        <f t="shared" si="43"/>
        <v>40.068818872547467</v>
      </c>
      <c r="DR47" s="22">
        <f t="shared" si="16"/>
        <v>342.48638220302018</v>
      </c>
      <c r="DS47" s="62">
        <f t="shared" si="17"/>
        <v>635.81971553635344</v>
      </c>
      <c r="DT47" s="62">
        <f ca="1">AVERAGE(OFFSET($DS$3,0,0,'Données projet'!$E$14+1,1))-AVERAGE(OFFSET($H$3,0,0,'Données projet'!$E$14+1,1))</f>
        <v>298.89893065707554</v>
      </c>
      <c r="DU47" s="62">
        <f t="shared" si="44"/>
        <v>294.28794439094878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11.4</v>
      </c>
      <c r="EJ47" s="13">
        <f>IF('Données projet'!$A$192&gt;35,EJ46+EI47-ER46,IF(A47&lt;'Données projet'!$A$192,$EG$205^A47,IF(A47='Données projet'!$A$192,'Données projet'!$B$192,EJ46+EI47-ER46)))</f>
        <v>192.60000000000002</v>
      </c>
      <c r="EK47" s="18">
        <f>EJ47*VLOOKUP('Données projet'!$B$15,Paramètres!$A$1:$I$89,3,0)*VLOOKUP('Données projet'!$B$15,Paramètres!$A$1:$I$89,5,0)</f>
        <v>174.26447999999999</v>
      </c>
      <c r="EL47" s="14">
        <f t="shared" si="45"/>
        <v>44.043743683739521</v>
      </c>
      <c r="EM47" s="22">
        <f t="shared" si="19"/>
        <v>380.22015624917964</v>
      </c>
      <c r="EN47" s="62">
        <f t="shared" si="20"/>
        <v>673.55348958251295</v>
      </c>
      <c r="EO47" s="62">
        <f ca="1">AVERAGE(OFFSET($EN$3,0,0,'Données projet'!$E$15+1,1))-AVERAGE(OFFSET($H$3,0,0,'Données projet'!$E$15+1,1))</f>
        <v>439.06700232017681</v>
      </c>
      <c r="EP47" s="62">
        <f t="shared" si="46"/>
        <v>278.21741231699929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6.1931976484225757</v>
      </c>
      <c r="EX47" s="23">
        <f>EXP(-LN(2)/2)*EX46+(1-EXP(-LN(2)/2))/(LN(2)/2)*ER47*EU47*VLOOKUP('Données projet'!$B$15,Paramètres!$A$1:$I$89,3,0)*0.475*44/12</f>
        <v>0.11648261441060664</v>
      </c>
      <c r="EY47" s="24">
        <f t="shared" si="21"/>
        <v>6.3096802628331821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11.4</v>
      </c>
      <c r="FE47" s="13">
        <f>IF('Données projet'!$A$218&gt;35,FE46+FD47-FM46,IF(A47&lt;'Données projet'!$A$218,$FB$205^A47,IF(A47='Données projet'!$A$218,'Données projet'!$B$218,FE46+FD47-FM46)))</f>
        <v>192.60000000000002</v>
      </c>
      <c r="FF47" s="18">
        <f>FE47*VLOOKUP('Données projet'!$B$16,Paramètres!$A$1:$I$89,3,0)*VLOOKUP('Données projet'!$B$16,Paramètres!$A$1:$I$89,5,0)</f>
        <v>186.28272000000001</v>
      </c>
      <c r="FG47" s="14">
        <f t="shared" si="47"/>
        <v>46.717172342223918</v>
      </c>
      <c r="FH47" s="22">
        <f t="shared" si="22"/>
        <v>405.80814582937325</v>
      </c>
      <c r="FI47" s="62">
        <f t="shared" si="23"/>
        <v>699.14147916270656</v>
      </c>
      <c r="FJ47" s="62">
        <f ca="1">AVERAGE(OFFSET($FI$3,0,0,'Données projet'!$E$16+1,1))-AVERAGE(OFFSET($H$3,0,0,'Données projet'!$E$16+1,1))</f>
        <v>466.4945858005575</v>
      </c>
      <c r="FK47" s="62">
        <f t="shared" si="48"/>
        <v>294.45557293177131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0.23625284249064749</v>
      </c>
      <c r="FT47" s="24">
        <f t="shared" si="24"/>
        <v>0.23625284249064749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11.4</v>
      </c>
      <c r="FZ47" s="13">
        <f>IF('Données projet'!$A$244&gt;35,FZ46+FY47-GH46,IF(A47&lt;'Données projet'!$A$244,$FW$205^A47,IF(A47='Données projet'!$A$244,'Données projet'!$B$244,FZ46+FY47-GH46)))</f>
        <v>192.60000000000002</v>
      </c>
      <c r="GA47" s="18">
        <f>FZ47*VLOOKUP('Données projet'!$B$17,Paramètres!$A$1:$I$89,3,0)*VLOOKUP('Données projet'!$B$17,Paramètres!$A$1:$I$89,5,0)</f>
        <v>183.27816000000001</v>
      </c>
      <c r="GB47" s="14">
        <f t="shared" si="49"/>
        <v>46.050748514194922</v>
      </c>
      <c r="GC47" s="22">
        <f t="shared" si="25"/>
        <v>399.41451566222281</v>
      </c>
      <c r="GD47" s="62">
        <f t="shared" si="26"/>
        <v>692.74784899555607</v>
      </c>
      <c r="GE47" s="62">
        <f ca="1">AVERAGE(OFFSET($GD$3,0,0,'Données projet'!$E$17+1,1))-AVERAGE(OFFSET($H$3,0,0,'Données projet'!$E$17+1,1))</f>
        <v>459.64120566196812</v>
      </c>
      <c r="GF47" s="62">
        <f t="shared" si="50"/>
        <v>290.39826583283588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200</v>
      </c>
      <c r="L48" s="13">
        <f>VLOOKUP(A48,'Données projet'!$A$35:$I$55,9,0)</f>
        <v>3.4</v>
      </c>
      <c r="M48" s="13">
        <f t="array" ref="M48">INDEX(L:L,MIN(IF(ISNUMBER(L48:L244),ROW(L48:L244),"")))</f>
        <v>3.4</v>
      </c>
      <c r="N48" s="14">
        <f>IF('Données projet'!$A$36&gt;35,N47+M48-V47,IF(A48&lt;'Données projet'!$A$36,$K$205^A48,IF(A48='Données projet'!$A$36,'Données projet'!$B$36,N47+M48-V47)))</f>
        <v>200.00000000000006</v>
      </c>
      <c r="O48" s="14">
        <f>N48*VLOOKUP('Données projet'!$B$9,Paramètres!$A$1:$I$89,3,0)*VLOOKUP('Données projet'!$B$9,Paramètres!$A$1:$I$89,5,0)</f>
        <v>109.20000000000002</v>
      </c>
      <c r="P48" s="14">
        <f t="shared" si="33"/>
        <v>29.142418334948612</v>
      </c>
      <c r="Q48" s="22">
        <f t="shared" si="53"/>
        <v>240.9463786000355</v>
      </c>
      <c r="R48" s="62">
        <f t="shared" si="0"/>
        <v>534.27971193336884</v>
      </c>
      <c r="S48" s="62">
        <f ca="1">AVERAGE(OFFSET($R$3,0,0,'Données projet'!$E$9+1,1))-AVERAGE(OFFSET($H$3,0,0,'Données projet'!$E$9+1,1))</f>
        <v>170.27677128684815</v>
      </c>
      <c r="T48" s="62">
        <f t="shared" si="34"/>
        <v>243.47439640666289</v>
      </c>
      <c r="U48" s="16">
        <f>IF(ISNA(VLOOKUP(A48,'Données projet'!$A$35:$I$55,3,0)),0,VLOOKUP(A48,'Données projet'!$A$35:$I$55,3,0))</f>
        <v>8</v>
      </c>
      <c r="V48" s="16">
        <f>IF(ISNA(VLOOKUP(A48,'Données projet'!$A$35:$I$55,4,0)),0,VLOOKUP(A48,'Données projet'!$A$35:$I$55,4,0))</f>
        <v>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5.4479045151526524</v>
      </c>
      <c r="AB48" s="23">
        <f>EXP(-LN(2)/2)*AB47+(1-EXP(-LN(2)/2))/(LN(2)/2)*V48*Y48*VLOOKUP('Données projet'!$B$9,Paramètres!$A$1:$I$89,3,0)*0.475*44/12</f>
        <v>4.2058425652887151E-2</v>
      </c>
      <c r="AC48" s="24">
        <f t="shared" si="3"/>
        <v>5.4899629408055395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201</v>
      </c>
      <c r="AG48" s="13">
        <f>VLOOKUP(A48,'Données projet'!$A$61:$I$81,9,0)</f>
        <v>8.6</v>
      </c>
      <c r="AH48" s="13">
        <f t="array" ref="AH48">INDEX(AG:AG,MIN(IF(ISNUMBER(AG48:AG244),ROW(AG48:AG244),"")))</f>
        <v>8.6</v>
      </c>
      <c r="AI48" s="14">
        <f>IF('Données projet'!$A$62&gt;35,AI47+AH48-AQ47,IF(A48&lt;'Données projet'!$A$62,$AF$205^A48,IF(A48='Données projet'!$A$62,'Données projet'!$B$62,AI47+AH48-AQ47)))</f>
        <v>200.99999999999991</v>
      </c>
      <c r="AJ48" s="14">
        <f>AI48*VLOOKUP('Données projet'!$B$10,Paramètres!$A$1:$I$89,3,0)*VLOOKUP('Données projet'!$B$10,Paramètres!$A$1:$I$89,5,0)</f>
        <v>175.59359999999995</v>
      </c>
      <c r="AK48" s="14">
        <f t="shared" si="35"/>
        <v>44.340433728638573</v>
      </c>
      <c r="AL48" s="22">
        <f t="shared" si="4"/>
        <v>383.05177541071203</v>
      </c>
      <c r="AM48" s="62">
        <f t="shared" si="5"/>
        <v>676.38510874404528</v>
      </c>
      <c r="AN48" s="62">
        <f ca="1">AVERAGE(OFFSET($AM$3,0,0,'Données projet'!$E$10+1,1))-AVERAGE(OFFSET($H$3,0,0,'Données projet'!$E$10+1,1))</f>
        <v>327.826081588335</v>
      </c>
      <c r="AO48" s="62">
        <f t="shared" si="36"/>
        <v>348.84706693879735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31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10.453323836209503</v>
      </c>
      <c r="AW48" s="23">
        <f>EXP(-LN(2)/2)*AW47+(1-EXP(-LN(2)/2))/(LN(2)/2)*AQ48*AT48*VLOOKUP('Données projet'!$B$10,Paramètres!$A$1:$I$89,3,0)*0.475*44/12</f>
        <v>8.2282782359214518E-2</v>
      </c>
      <c r="AX48" s="23">
        <f t="shared" si="6"/>
        <v>10.535606618568718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280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279.99999999999989</v>
      </c>
      <c r="BE48" s="14">
        <f>BD48*VLOOKUP('Données projet'!$B$11,Paramètres!$A$1:$I$89,3,0)*VLOOKUP('Données projet'!$B$11,Paramètres!$A$1:$I$89,5,0)</f>
        <v>205.29599999999991</v>
      </c>
      <c r="BF48" s="14">
        <f t="shared" si="37"/>
        <v>50.906291934375353</v>
      </c>
      <c r="BG48" s="22">
        <f t="shared" si="7"/>
        <v>446.21899178570357</v>
      </c>
      <c r="BH48" s="62">
        <f t="shared" si="8"/>
        <v>739.55232511903682</v>
      </c>
      <c r="BI48" s="62">
        <f ca="1">AVERAGE(OFFSET($BH$3,0,0,'Données projet'!$E$11+1,1))-AVERAGE(OFFSET($H$3,0,0,'Données projet'!$E$11+1,1))</f>
        <v>376.5422416541544</v>
      </c>
      <c r="BJ48" s="62">
        <f t="shared" si="38"/>
        <v>365.76175372075869</v>
      </c>
      <c r="BK48" s="16">
        <f>IF(ISNA(VLOOKUP(A48,'Données projet'!$A$87:$I$107,3,0)),0,VLOOKUP(A48,'Données projet'!$A$87:$I$107,3,0))</f>
        <v>8</v>
      </c>
      <c r="BL48" s="16">
        <f>IF(ISNA(VLOOKUP(A48,'Données projet'!$A$87:$I$107,4,0)),0,VLOOKUP(A48,'Données projet'!$A$87:$I$107,4,0))</f>
        <v>26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18.365936298687462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18.365936298687462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27.08499999999998</v>
      </c>
      <c r="BY48" s="13">
        <f>IF('Données projet'!$A$114&gt;35,BY47+BX48-CG47,IF(A48&lt;'Données projet'!$A$114,$BV$205^A48,IF(A48='Données projet'!$A$114,'Données projet'!$B$114,BY47+BX48-CG47)))</f>
        <v>572.71499999999992</v>
      </c>
      <c r="BZ48" s="14">
        <f>BY48*VLOOKUP('Données projet'!$B$12,Paramètres!$A$1:$I$89,3,0)*VLOOKUP('Données projet'!$B$12,Paramètres!$A$1:$I$89,5,0)</f>
        <v>320.14768499999997</v>
      </c>
      <c r="CA48" s="14">
        <f t="shared" si="39"/>
        <v>75.384081573989107</v>
      </c>
      <c r="CB48" s="22">
        <f t="shared" si="10"/>
        <v>688.88449344969774</v>
      </c>
      <c r="CC48" s="62">
        <f t="shared" si="11"/>
        <v>982.21782678303111</v>
      </c>
      <c r="CD48" s="62">
        <f ca="1">AVERAGE(OFFSET($CC$3,0,0,'Données projet'!$E$12+1,1))-AVERAGE(OFFSET($H$3,0,0,'Données projet'!$E$12+1,1))</f>
        <v>405.09126081846171</v>
      </c>
      <c r="CE48" s="62">
        <f t="shared" si="40"/>
        <v>534.22295841722166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7.3189636945934637</v>
      </c>
      <c r="CL48" s="23">
        <f>EXP(-LN(2)/25)*CL47+(1-EXP(-LN(2)/25))/(LN(2)/25)*Calculateur!CG48*Calculateur!CI48*VLOOKUP('Données projet'!$B$12,Paramètres!$A$1:$I$89,3,0)*0.475*44/12</f>
        <v>9.2499920484457192</v>
      </c>
      <c r="CM48" s="23">
        <f>EXP(-LN(2)/2)*CM47+(1-EXP(-LN(2)/2))/(LN(2)/2)*CG48*CJ48*VLOOKUP('Données projet'!$B$12,Paramètres!$A$1:$I$89,3,0)*0.475*44/12</f>
        <v>8.7817805534060305E-3</v>
      </c>
      <c r="CN48" s="24">
        <f t="shared" si="12"/>
        <v>16.577737523592589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198</v>
      </c>
      <c r="CR48" s="13">
        <f>VLOOKUP(A48,'Données projet'!$A$139:$I$159,9,0)</f>
        <v>3.8</v>
      </c>
      <c r="CS48" s="13">
        <f t="array" ref="CS48">INDEX(CR:CR,MIN(IF(ISNUMBER(CR48:CR244),ROW(CR48:CR244),"")))</f>
        <v>3.8</v>
      </c>
      <c r="CT48" s="13">
        <f>IF('Données projet'!$A$140&gt;35,CT47+CS48-DB47,IF(A48&lt;'Données projet'!$A$140,$CQ$205^A48,IF(A48='Données projet'!$A$140,'Données projet'!$B$140,CT47+CS48-DB47)))</f>
        <v>198</v>
      </c>
      <c r="CU48" s="18">
        <f>CT48*VLOOKUP('Données projet'!$B$13,Paramètres!$A$1:$I$89,3,0)*VLOOKUP('Données projet'!$B$13,Paramètres!$A$1:$I$89,5,0)</f>
        <v>179.15039999999999</v>
      </c>
      <c r="CV48" s="14">
        <f t="shared" si="41"/>
        <v>45.133113803437304</v>
      </c>
      <c r="CW48" s="22">
        <f t="shared" si="13"/>
        <v>390.62711987431993</v>
      </c>
      <c r="CX48" s="62">
        <f t="shared" si="14"/>
        <v>683.96045320765325</v>
      </c>
      <c r="CY48" s="62">
        <f ca="1">AVERAGE(OFFSET($CX$3,0,0,'Données projet'!$E$13+1,1))-AVERAGE(OFFSET($H$3,0,0,'Données projet'!$E$13+1,1))</f>
        <v>244.82163392718377</v>
      </c>
      <c r="CZ48" s="62">
        <f t="shared" si="42"/>
        <v>342.30266518164211</v>
      </c>
      <c r="DA48" s="16">
        <f>IF(ISNA(VLOOKUP(A48,'Données projet'!$A$139:$I$159,3,0)),0,VLOOKUP(A48,'Données projet'!$A$139:$I$159,3,0))</f>
        <v>9</v>
      </c>
      <c r="DB48" s="16">
        <f>IF(ISNA(VLOOKUP(A48,'Données projet'!$A$139:$I$159,4,0)),0,VLOOKUP(A48,'Données projet'!$A$139:$I$159,4,0))</f>
        <v>198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4.3901385963230641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4.3901385963230641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205</v>
      </c>
      <c r="DM48" s="13">
        <f>VLOOKUP(A48,'Données projet'!$A$165:$I$185,9,0)</f>
        <v>8.1999999999999993</v>
      </c>
      <c r="DN48" s="13">
        <f t="array" ref="DN48">INDEX(DM:DM,MIN(IF(ISNUMBER(DM48:DM244),ROW(DM48:DM244),"")))</f>
        <v>8.1999999999999993</v>
      </c>
      <c r="DO48" s="13">
        <f>IF('Données projet'!$A$166&gt;35,DO47+DN48-DW47,IF(A48&lt;'Données projet'!$A$166,$DL$205^A48,IF(A48='Données projet'!$A$166,'Données projet'!$B$166,DO47+DN48-DW47)))</f>
        <v>205</v>
      </c>
      <c r="DP48" s="18">
        <f>DO48*VLOOKUP('Données projet'!$B$14,Paramètres!$A$1:$I$89,3,0)*VLOOKUP('Données projet'!$B$14,Paramètres!$A$1:$I$89,5,0)</f>
        <v>163.09800000000001</v>
      </c>
      <c r="DQ48" s="14">
        <f t="shared" si="43"/>
        <v>41.540496136845142</v>
      </c>
      <c r="DR48" s="22">
        <f t="shared" si="16"/>
        <v>356.41204743833867</v>
      </c>
      <c r="DS48" s="62">
        <f t="shared" si="17"/>
        <v>649.74538077167199</v>
      </c>
      <c r="DT48" s="62">
        <f ca="1">AVERAGE(OFFSET($DS$3,0,0,'Données projet'!$E$14+1,1))-AVERAGE(OFFSET($H$3,0,0,'Données projet'!$E$14+1,1))</f>
        <v>298.89893065707554</v>
      </c>
      <c r="DU48" s="62">
        <f t="shared" si="44"/>
        <v>294.28794439094878</v>
      </c>
      <c r="DV48" s="16">
        <f>IF(ISNA(VLOOKUP(A48,'Données projet'!$A$165:$I$185,3,0)),0,VLOOKUP(A48,'Données projet'!$A$165:$I$185,3,0))</f>
        <v>7</v>
      </c>
      <c r="DW48" s="16">
        <f>IF(ISNA(VLOOKUP(A48,'Données projet'!$A$165:$I$185,4,0)),0,VLOOKUP(A48,'Données projet'!$A$165:$I$185,4,0))</f>
        <v>22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204</v>
      </c>
      <c r="EH48" s="13">
        <f>VLOOKUP(A48,'Données projet'!$A$191:$I$211,9,0)</f>
        <v>11.4</v>
      </c>
      <c r="EI48" s="13">
        <f t="array" ref="EI48">INDEX(EH:EH,MIN(IF(ISNUMBER(EH48:EH244),ROW(EH48:EH244),"")))</f>
        <v>11.4</v>
      </c>
      <c r="EJ48" s="13">
        <f>IF('Données projet'!$A$192&gt;35,EJ47+EI48-ER47,IF(A48&lt;'Données projet'!$A$192,$EG$205^A48,IF(A48='Données projet'!$A$192,'Données projet'!$B$192,EJ47+EI48-ER47)))</f>
        <v>204.00000000000003</v>
      </c>
      <c r="EK48" s="18">
        <f>EJ48*VLOOKUP('Données projet'!$B$15,Paramètres!$A$1:$I$89,3,0)*VLOOKUP('Données projet'!$B$15,Paramètres!$A$1:$I$89,5,0)</f>
        <v>184.57920000000001</v>
      </c>
      <c r="EL48" s="14">
        <f t="shared" si="45"/>
        <v>46.339479465836661</v>
      </c>
      <c r="EM48" s="22">
        <f t="shared" si="19"/>
        <v>402.18336673633218</v>
      </c>
      <c r="EN48" s="62">
        <f t="shared" si="20"/>
        <v>695.51670006966549</v>
      </c>
      <c r="EO48" s="62">
        <f ca="1">AVERAGE(OFFSET($EN$3,0,0,'Données projet'!$E$15+1,1))-AVERAGE(OFFSET($H$3,0,0,'Données projet'!$E$15+1,1))</f>
        <v>439.06700232017681</v>
      </c>
      <c r="EP48" s="62">
        <f t="shared" si="46"/>
        <v>278.21741231699929</v>
      </c>
      <c r="EQ48" s="16">
        <f>IF(ISNA(VLOOKUP(A48,'Données projet'!$A$191:$I$211,3,0)),0,VLOOKUP(A48,'Données projet'!$A$191:$I$211,3,0))</f>
        <v>6</v>
      </c>
      <c r="ER48" s="16">
        <f>IF(ISNA(VLOOKUP(A48,'Données projet'!$A$191:$I$211,4,0)),0,VLOOKUP(A48,'Données projet'!$A$191:$I$211,4,0))</f>
        <v>28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6.0238443330403504</v>
      </c>
      <c r="EX48" s="23">
        <f>EXP(-LN(2)/2)*EX47+(1-EXP(-LN(2)/2))/(LN(2)/2)*ER48*EU48*VLOOKUP('Données projet'!$B$15,Paramètres!$A$1:$I$89,3,0)*0.475*44/12</f>
        <v>8.236564654007783E-2</v>
      </c>
      <c r="EY48" s="24">
        <f t="shared" si="21"/>
        <v>6.1062099795804281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204</v>
      </c>
      <c r="FC48" s="13">
        <f>VLOOKUP(A48,'Données projet'!$A$217:$I$237,9,0)</f>
        <v>11.4</v>
      </c>
      <c r="FD48" s="13">
        <f t="array" ref="FD48">INDEX(FC:FC,MIN(IF(ISNUMBER(FC48:FC244),ROW(FC48:FC244),"")))</f>
        <v>11.4</v>
      </c>
      <c r="FE48" s="13">
        <f>IF('Données projet'!$A$218&gt;35,FE47+FD48-FM47,IF(A48&lt;'Données projet'!$A$218,$FB$205^A48,IF(A48='Données projet'!$A$218,'Données projet'!$B$218,FE47+FD48-FM47)))</f>
        <v>204.00000000000003</v>
      </c>
      <c r="FF48" s="18">
        <f>FE48*VLOOKUP('Données projet'!$B$16,Paramètres!$A$1:$I$89,3,0)*VLOOKUP('Données projet'!$B$16,Paramètres!$A$1:$I$89,5,0)</f>
        <v>197.30880000000005</v>
      </c>
      <c r="FG48" s="14">
        <f t="shared" si="47"/>
        <v>49.152257900676076</v>
      </c>
      <c r="FH48" s="22">
        <f t="shared" si="22"/>
        <v>429.25300917701088</v>
      </c>
      <c r="FI48" s="62">
        <f t="shared" si="23"/>
        <v>722.58634251034414</v>
      </c>
      <c r="FJ48" s="62">
        <f ca="1">AVERAGE(OFFSET($FI$3,0,0,'Données projet'!$E$16+1,1))-AVERAGE(OFFSET($H$3,0,0,'Données projet'!$E$16+1,1))</f>
        <v>466.4945858005575</v>
      </c>
      <c r="FK48" s="62">
        <f t="shared" si="48"/>
        <v>294.45557293177131</v>
      </c>
      <c r="FL48" s="16">
        <f>IF(ISNA(VLOOKUP(A48,'Données projet'!$A$217:$I$237,3,0)),0,VLOOKUP(A48,'Données projet'!$A$217:$I$237,3,0))</f>
        <v>6</v>
      </c>
      <c r="FM48" s="16">
        <f>IF(ISNA(VLOOKUP(A48,'Données projet'!$A$217:$I$237,4,0)),0,VLOOKUP(A48,'Données projet'!$A$217:$I$237,4,0))</f>
        <v>28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0.16705598699973417</v>
      </c>
      <c r="FT48" s="24">
        <f t="shared" si="24"/>
        <v>0.16705598699973417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204</v>
      </c>
      <c r="FX48" s="13">
        <f>VLOOKUP(A48,'Données projet'!$A$243:$I$263,9,0)</f>
        <v>11.4</v>
      </c>
      <c r="FY48" s="13">
        <f t="array" ref="FY48">INDEX(FX:FX,MIN(IF(ISNUMBER(FX48:FX244),ROW(FX48:FX244),"")))</f>
        <v>11.4</v>
      </c>
      <c r="FZ48" s="13">
        <f>IF('Données projet'!$A$244&gt;35,FZ47+FY48-GH47,IF(A48&lt;'Données projet'!$A$244,$FW$205^A48,IF(A48='Données projet'!$A$244,'Données projet'!$B$244,FZ47+FY48-GH47)))</f>
        <v>204.00000000000003</v>
      </c>
      <c r="GA48" s="18">
        <f>FZ48*VLOOKUP('Données projet'!$B$17,Paramètres!$A$1:$I$89,3,0)*VLOOKUP('Données projet'!$B$17,Paramètres!$A$1:$I$89,5,0)</f>
        <v>194.12640000000002</v>
      </c>
      <c r="GB48" s="14">
        <f t="shared" si="49"/>
        <v>48.451097401781084</v>
      </c>
      <c r="GC48" s="22">
        <f t="shared" si="25"/>
        <v>422.48914130810203</v>
      </c>
      <c r="GD48" s="62">
        <f t="shared" si="26"/>
        <v>715.82247464143529</v>
      </c>
      <c r="GE48" s="62">
        <f ca="1">AVERAGE(OFFSET($GD$3,0,0,'Données projet'!$E$17+1,1))-AVERAGE(OFFSET($H$3,0,0,'Données projet'!$E$17+1,1))</f>
        <v>459.64120566196812</v>
      </c>
      <c r="GF48" s="62">
        <f t="shared" si="50"/>
        <v>290.39826583283588</v>
      </c>
      <c r="GG48" s="16">
        <f>IF(ISNA(VLOOKUP(A48,'Données projet'!$A$243:$I$263,3,0)),0,VLOOKUP(A48,'Données projet'!$A$243:$I$263,3,0))</f>
        <v>6</v>
      </c>
      <c r="GH48" s="16">
        <f>IF(ISNA(VLOOKUP(A48,'Données projet'!$A$243:$I$263,4,0)),0,VLOOKUP(A48,'Données projet'!$A$243:$I$263,4,0))</f>
        <v>28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2.6</v>
      </c>
      <c r="N49" s="14">
        <f>IF('Données projet'!$A$36&gt;35,N48+M49-V48,IF(A49&lt;'Données projet'!$A$36,$K$205^A49,IF(A49='Données projet'!$A$36,'Données projet'!$B$36,N48+M49-V48)))</f>
        <v>194.60000000000005</v>
      </c>
      <c r="O49" s="14">
        <f>N49*VLOOKUP('Données projet'!$B$9,Paramètres!$A$1:$I$89,3,0)*VLOOKUP('Données projet'!$B$9,Paramètres!$A$1:$I$89,5,0)</f>
        <v>106.25160000000002</v>
      </c>
      <c r="P49" s="14">
        <f t="shared" si="33"/>
        <v>28.446058169408015</v>
      </c>
      <c r="Q49" s="22">
        <f t="shared" si="53"/>
        <v>234.59842131171899</v>
      </c>
      <c r="R49" s="62">
        <f t="shared" si="0"/>
        <v>527.93175464505225</v>
      </c>
      <c r="S49" s="62">
        <f ca="1">AVERAGE(OFFSET($R$3,0,0,'Données projet'!$E$9+1,1))-AVERAGE(OFFSET($H$3,0,0,'Données projet'!$E$9+1,1))</f>
        <v>170.27677128684815</v>
      </c>
      <c r="T49" s="62">
        <f t="shared" si="34"/>
        <v>243.47439640666289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5.2989312796929564</v>
      </c>
      <c r="AB49" s="23">
        <f>EXP(-LN(2)/2)*AB48+(1-EXP(-LN(2)/2))/(LN(2)/2)*V49*Y49*VLOOKUP('Données projet'!$B$9,Paramètres!$A$1:$I$89,3,0)*0.475*44/12</f>
        <v>2.9739797985186753E-2</v>
      </c>
      <c r="AC49" s="24">
        <f t="shared" si="3"/>
        <v>5.328671077678143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7.8</v>
      </c>
      <c r="AI49" s="14">
        <f>IF('Données projet'!$A$62&gt;35,AI48+AH49-AQ48,IF(A49&lt;'Données projet'!$A$62,$AF$205^A49,IF(A49='Données projet'!$A$62,'Données projet'!$B$62,AI48+AH49-AQ48)))</f>
        <v>177.79999999999993</v>
      </c>
      <c r="AJ49" s="14">
        <f>AI49*VLOOKUP('Données projet'!$B$10,Paramètres!$A$1:$I$89,3,0)*VLOOKUP('Données projet'!$B$10,Paramètres!$A$1:$I$89,5,0)</f>
        <v>155.32607999999996</v>
      </c>
      <c r="AK49" s="14">
        <f t="shared" si="35"/>
        <v>39.786487601092411</v>
      </c>
      <c r="AL49" s="22">
        <f t="shared" si="4"/>
        <v>339.82105523856922</v>
      </c>
      <c r="AM49" s="62">
        <f t="shared" si="5"/>
        <v>633.15438857190247</v>
      </c>
      <c r="AN49" s="62">
        <f ca="1">AVERAGE(OFFSET($AM$3,0,0,'Données projet'!$E$10+1,1))-AVERAGE(OFFSET($H$3,0,0,'Données projet'!$E$10+1,1))</f>
        <v>327.826081588335</v>
      </c>
      <c r="AO49" s="62">
        <f t="shared" si="36"/>
        <v>348.84706693879735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10.167477146191946</v>
      </c>
      <c r="AW49" s="23">
        <f>EXP(-LN(2)/2)*AW48+(1-EXP(-LN(2)/2))/(LN(2)/2)*AQ49*AT49*VLOOKUP('Données projet'!$B$10,Paramètres!$A$1:$I$89,3,0)*0.475*44/12</f>
        <v>5.8182713381097415E-2</v>
      </c>
      <c r="AX49" s="23">
        <f t="shared" si="6"/>
        <v>10.225659859573042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9.8000000000000007</v>
      </c>
      <c r="BD49" s="13">
        <f>IF('Données projet'!$A$88&gt;35,BD48+BC49-BL48,IF(A49&lt;'Données projet'!$A$88,$BA$205^A49,IF(A49='Données projet'!$A$88,'Données projet'!$B$88,BD48+BC49-BL48)))</f>
        <v>263.7999999999999</v>
      </c>
      <c r="BE49" s="14">
        <f>BD49*VLOOKUP('Données projet'!$B$11,Paramètres!$A$1:$I$89,3,0)*VLOOKUP('Données projet'!$B$11,Paramètres!$A$1:$I$89,5,0)</f>
        <v>193.41815999999992</v>
      </c>
      <c r="BF49" s="14">
        <f t="shared" si="37"/>
        <v>48.294873490521283</v>
      </c>
      <c r="BG49" s="22">
        <f t="shared" si="7"/>
        <v>420.98353332932442</v>
      </c>
      <c r="BH49" s="62">
        <f t="shared" si="8"/>
        <v>714.31686666265773</v>
      </c>
      <c r="BI49" s="62">
        <f ca="1">AVERAGE(OFFSET($BH$3,0,0,'Données projet'!$E$11+1,1))-AVERAGE(OFFSET($H$3,0,0,'Données projet'!$E$11+1,1))</f>
        <v>376.5422416541544</v>
      </c>
      <c r="BJ49" s="62">
        <f t="shared" si="38"/>
        <v>365.76175372075869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18.005791489985224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18.005791489985224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>
        <f>VLOOKUP(A49,'Données projet'!$A$113:$I$133,2,0)</f>
        <v>599.79999999999995</v>
      </c>
      <c r="BW49" s="13">
        <f>VLOOKUP(A49,'Données projet'!$A$113:$I$133,9,0)</f>
        <v>27.08499999999998</v>
      </c>
      <c r="BX49" s="13">
        <f t="array" ref="BX49">INDEX(BW:BW,MIN(IF(ISNUMBER(BW49:BW245),ROW(BW49:BW245),"")))</f>
        <v>27.08499999999998</v>
      </c>
      <c r="BY49" s="13">
        <f>IF('Données projet'!$A$114&gt;35,BY48+BX49-CG48,IF(A49&lt;'Données projet'!$A$114,$BV$205^A49,IF(A49='Données projet'!$A$114,'Données projet'!$B$114,BY48+BX49-CG48)))</f>
        <v>599.79999999999995</v>
      </c>
      <c r="BZ49" s="14">
        <f>BY49*VLOOKUP('Données projet'!$B$12,Paramètres!$A$1:$I$89,3,0)*VLOOKUP('Données projet'!$B$12,Paramètres!$A$1:$I$89,5,0)</f>
        <v>335.28820000000002</v>
      </c>
      <c r="CA49" s="14">
        <f t="shared" si="39"/>
        <v>78.525669464786546</v>
      </c>
      <c r="CB49" s="22">
        <f t="shared" si="10"/>
        <v>720.72582265116989</v>
      </c>
      <c r="CC49" s="62">
        <f t="shared" si="11"/>
        <v>1014.0591559845031</v>
      </c>
      <c r="CD49" s="62">
        <f ca="1">AVERAGE(OFFSET($CC$3,0,0,'Données projet'!$E$12+1,1))-AVERAGE(OFFSET($H$3,0,0,'Données projet'!$E$12+1,1))</f>
        <v>405.09126081846171</v>
      </c>
      <c r="CE49" s="62">
        <f t="shared" si="40"/>
        <v>534.22295841722166</v>
      </c>
      <c r="CF49" s="16">
        <f>IF(ISNA(VLOOKUP(A49,'Données projet'!$A$113:$I$133,3,0)),0,VLOOKUP(A49,'Données projet'!$A$113:$I$133,3,0))</f>
        <v>16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7.1754432806695441</v>
      </c>
      <c r="CL49" s="23">
        <f>EXP(-LN(2)/25)*CL48+(1-EXP(-LN(2)/25))/(LN(2)/25)*Calculateur!CG49*Calculateur!CI49*VLOOKUP('Données projet'!$B$12,Paramètres!$A$1:$I$89,3,0)*0.475*44/12</f>
        <v>8.9970505294450298</v>
      </c>
      <c r="CM49" s="23">
        <f>EXP(-LN(2)/2)*CM48+(1-EXP(-LN(2)/2))/(LN(2)/2)*CG49*CJ49*VLOOKUP('Données projet'!$B$12,Paramètres!$A$1:$I$89,3,0)*0.475*44/12</f>
        <v>6.2096565802055564E-3</v>
      </c>
      <c r="CN49" s="24">
        <f t="shared" si="12"/>
        <v>16.178703466694781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>
        <f>CT49*VLOOKUP('Données projet'!$B$13,Paramètres!$A$1:$I$89,3,0)*VLOOKUP('Données projet'!$B$13,Paramètres!$A$1:$I$89,5,0)</f>
        <v>0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244.82163392718377</v>
      </c>
      <c r="CZ49" s="62">
        <f t="shared" si="42"/>
        <v>342.30266518164211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4.3040506561693093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4.3040506561693093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7</v>
      </c>
      <c r="DO49" s="13">
        <f>IF('Données projet'!$A$166&gt;35,DO48+DN49-DW48,IF(A49&lt;'Données projet'!$A$166,$DL$205^A49,IF(A49='Données projet'!$A$166,'Données projet'!$B$166,DO48+DN49-DW48)))</f>
        <v>190</v>
      </c>
      <c r="DP49" s="18">
        <f>DO49*VLOOKUP('Données projet'!$B$14,Paramètres!$A$1:$I$89,3,0)*VLOOKUP('Données projet'!$B$14,Paramètres!$A$1:$I$89,5,0)</f>
        <v>151.16400000000002</v>
      </c>
      <c r="DQ49" s="14">
        <f t="shared" si="43"/>
        <v>38.84298967415998</v>
      </c>
      <c r="DR49" s="22">
        <f t="shared" si="16"/>
        <v>330.92884034916193</v>
      </c>
      <c r="DS49" s="62">
        <f t="shared" si="17"/>
        <v>624.26217368249524</v>
      </c>
      <c r="DT49" s="62">
        <f ca="1">AVERAGE(OFFSET($DS$3,0,0,'Données projet'!$E$14+1,1))-AVERAGE(OFFSET($H$3,0,0,'Données projet'!$E$14+1,1))</f>
        <v>298.89893065707554</v>
      </c>
      <c r="DU49" s="62">
        <f t="shared" si="44"/>
        <v>294.28794439094878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11</v>
      </c>
      <c r="EJ49" s="13">
        <f>IF('Données projet'!$A$192&gt;35,EJ48+EI49-ER48,IF(A49&lt;'Données projet'!$A$192,$EG$205^A49,IF(A49='Données projet'!$A$192,'Données projet'!$B$192,EJ48+EI49-ER48)))</f>
        <v>187.00000000000003</v>
      </c>
      <c r="EK49" s="18">
        <f>EJ49*VLOOKUP('Données projet'!$B$15,Paramètres!$A$1:$I$89,3,0)*VLOOKUP('Données projet'!$B$15,Paramètres!$A$1:$I$89,5,0)</f>
        <v>169.19760000000002</v>
      </c>
      <c r="EL49" s="14">
        <f t="shared" si="45"/>
        <v>42.910263223432885</v>
      </c>
      <c r="EM49" s="22">
        <f t="shared" si="19"/>
        <v>369.42119511414558</v>
      </c>
      <c r="EN49" s="62">
        <f t="shared" si="20"/>
        <v>662.75452844747883</v>
      </c>
      <c r="EO49" s="62">
        <f ca="1">AVERAGE(OFFSET($EN$3,0,0,'Données projet'!$E$15+1,1))-AVERAGE(OFFSET($H$3,0,0,'Données projet'!$E$15+1,1))</f>
        <v>439.06700232017681</v>
      </c>
      <c r="EP49" s="62">
        <f t="shared" si="46"/>
        <v>278.21741231699929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5.8591219929731562</v>
      </c>
      <c r="EX49" s="23">
        <f>EXP(-LN(2)/2)*EX48+(1-EXP(-LN(2)/2))/(LN(2)/2)*ER49*EU49*VLOOKUP('Données projet'!$B$15,Paramètres!$A$1:$I$89,3,0)*0.475*44/12</f>
        <v>5.8241307205303336E-2</v>
      </c>
      <c r="EY49" s="24">
        <f t="shared" si="21"/>
        <v>5.9173633001784598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11</v>
      </c>
      <c r="FE49" s="13">
        <f>IF('Données projet'!$A$218&gt;35,FE48+FD49-FM48,IF(A49&lt;'Données projet'!$A$218,$FB$205^A49,IF(A49='Données projet'!$A$218,'Données projet'!$B$218,FE48+FD49-FM48)))</f>
        <v>187.00000000000003</v>
      </c>
      <c r="FF49" s="18">
        <f>FE49*VLOOKUP('Données projet'!$B$16,Paramètres!$A$1:$I$89,3,0)*VLOOKUP('Données projet'!$B$16,Paramètres!$A$1:$I$89,5,0)</f>
        <v>180.86640000000003</v>
      </c>
      <c r="FG49" s="14">
        <f t="shared" si="47"/>
        <v>45.514890302102152</v>
      </c>
      <c r="FH49" s="22">
        <f t="shared" si="22"/>
        <v>394.28074727616126</v>
      </c>
      <c r="FI49" s="62">
        <f t="shared" si="23"/>
        <v>687.61408060949452</v>
      </c>
      <c r="FJ49" s="62">
        <f ca="1">AVERAGE(OFFSET($FI$3,0,0,'Données projet'!$E$16+1,1))-AVERAGE(OFFSET($H$3,0,0,'Données projet'!$E$16+1,1))</f>
        <v>466.4945858005575</v>
      </c>
      <c r="FK49" s="62">
        <f t="shared" si="48"/>
        <v>294.45557293177131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0.11812642124532377</v>
      </c>
      <c r="FT49" s="24">
        <f t="shared" si="24"/>
        <v>0.11812642124532377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11</v>
      </c>
      <c r="FZ49" s="13">
        <f>IF('Données projet'!$A$244&gt;35,FZ48+FY49-GH48,IF(A49&lt;'Données projet'!$A$244,$FW$205^A49,IF(A49='Données projet'!$A$244,'Données projet'!$B$244,FZ48+FY49-GH48)))</f>
        <v>187.00000000000003</v>
      </c>
      <c r="GA49" s="18">
        <f>FZ49*VLOOKUP('Données projet'!$B$17,Paramètres!$A$1:$I$89,3,0)*VLOOKUP('Données projet'!$B$17,Paramètres!$A$1:$I$89,5,0)</f>
        <v>177.94920000000005</v>
      </c>
      <c r="GB49" s="14">
        <f t="shared" si="49"/>
        <v>44.865617113963758</v>
      </c>
      <c r="GC49" s="22">
        <f t="shared" si="25"/>
        <v>388.06913980682026</v>
      </c>
      <c r="GD49" s="62">
        <f t="shared" si="26"/>
        <v>681.40247314015357</v>
      </c>
      <c r="GE49" s="62">
        <f ca="1">AVERAGE(OFFSET($GD$3,0,0,'Données projet'!$E$17+1,1))-AVERAGE(OFFSET($H$3,0,0,'Données projet'!$E$17+1,1))</f>
        <v>459.64120566196812</v>
      </c>
      <c r="GF49" s="62">
        <f t="shared" si="50"/>
        <v>290.39826583283588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2.6</v>
      </c>
      <c r="N50" s="14">
        <f>IF('Données projet'!$A$36&gt;35,N49+M50-V49,IF(A50&lt;'Données projet'!$A$36,$K$205^A50,IF(A50='Données projet'!$A$36,'Données projet'!$B$36,N49+M50-V49)))</f>
        <v>197.20000000000005</v>
      </c>
      <c r="O50" s="14">
        <f>N50*VLOOKUP('Données projet'!$B$9,Paramètres!$A$1:$I$89,3,0)*VLOOKUP('Données projet'!$B$9,Paramètres!$A$1:$I$89,5,0)</f>
        <v>107.67120000000001</v>
      </c>
      <c r="P50" s="14">
        <f t="shared" si="33"/>
        <v>28.781619683258381</v>
      </c>
      <c r="Q50" s="22">
        <f t="shared" si="53"/>
        <v>237.65532761500836</v>
      </c>
      <c r="R50" s="62">
        <f t="shared" si="0"/>
        <v>530.9886609483417</v>
      </c>
      <c r="S50" s="62">
        <f ca="1">AVERAGE(OFFSET($R$3,0,0,'Données projet'!$E$9+1,1))-AVERAGE(OFFSET($H$3,0,0,'Données projet'!$E$9+1,1))</f>
        <v>170.27677128684815</v>
      </c>
      <c r="T50" s="62">
        <f t="shared" si="34"/>
        <v>243.47439640666289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5.154031725191067</v>
      </c>
      <c r="AB50" s="23">
        <f>EXP(-LN(2)/2)*AB49+(1-EXP(-LN(2)/2))/(LN(2)/2)*V50*Y50*VLOOKUP('Données projet'!$B$9,Paramètres!$A$1:$I$89,3,0)*0.475*44/12</f>
        <v>2.1029212826443579E-2</v>
      </c>
      <c r="AC50" s="24">
        <f t="shared" si="3"/>
        <v>5.175060938017511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7.8</v>
      </c>
      <c r="AI50" s="14">
        <f>IF('Données projet'!$A$62&gt;35,AI49+AH50-AQ49,IF(A50&lt;'Données projet'!$A$62,$AF$205^A50,IF(A50='Données projet'!$A$62,'Données projet'!$B$62,AI49+AH50-AQ49)))</f>
        <v>185.59999999999994</v>
      </c>
      <c r="AJ50" s="14">
        <f>AI50*VLOOKUP('Données projet'!$B$10,Paramètres!$A$1:$I$89,3,0)*VLOOKUP('Données projet'!$B$10,Paramètres!$A$1:$I$89,5,0)</f>
        <v>162.14015999999998</v>
      </c>
      <c r="AK50" s="14">
        <f t="shared" si="35"/>
        <v>41.324860537333677</v>
      </c>
      <c r="AL50" s="22">
        <f t="shared" si="4"/>
        <v>354.36824410252279</v>
      </c>
      <c r="AM50" s="62">
        <f t="shared" si="5"/>
        <v>647.70157743585605</v>
      </c>
      <c r="AN50" s="62">
        <f ca="1">AVERAGE(OFFSET($AM$3,0,0,'Données projet'!$E$10+1,1))-AVERAGE(OFFSET($H$3,0,0,'Données projet'!$E$10+1,1))</f>
        <v>327.826081588335</v>
      </c>
      <c r="AO50" s="62">
        <f t="shared" si="36"/>
        <v>348.84706693879735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9.8894469489449417</v>
      </c>
      <c r="AW50" s="23">
        <f>EXP(-LN(2)/2)*AW49+(1-EXP(-LN(2)/2))/(LN(2)/2)*AQ50*AT50*VLOOKUP('Données projet'!$B$10,Paramètres!$A$1:$I$89,3,0)*0.475*44/12</f>
        <v>4.1141391179607266E-2</v>
      </c>
      <c r="AX50" s="23">
        <f t="shared" si="6"/>
        <v>9.9305883401245492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9.8000000000000007</v>
      </c>
      <c r="BD50" s="13">
        <f>IF('Données projet'!$A$88&gt;35,BD49+BC50-BL49,IF(A50&lt;'Données projet'!$A$88,$BA$205^A50,IF(A50='Données projet'!$A$88,'Données projet'!$B$88,BD49+BC50-BL49)))</f>
        <v>273.59999999999991</v>
      </c>
      <c r="BE50" s="14">
        <f>BD50*VLOOKUP('Données projet'!$B$11,Paramètres!$A$1:$I$89,3,0)*VLOOKUP('Données projet'!$B$11,Paramètres!$A$1:$I$89,5,0)</f>
        <v>200.60351999999995</v>
      </c>
      <c r="BF50" s="14">
        <f t="shared" si="37"/>
        <v>49.87677988675906</v>
      </c>
      <c r="BG50" s="22">
        <f t="shared" si="7"/>
        <v>436.25318896943855</v>
      </c>
      <c r="BH50" s="62">
        <f t="shared" si="8"/>
        <v>729.58652230277187</v>
      </c>
      <c r="BI50" s="62">
        <f ca="1">AVERAGE(OFFSET($BH$3,0,0,'Données projet'!$E$11+1,1))-AVERAGE(OFFSET($H$3,0,0,'Données projet'!$E$11+1,1))</f>
        <v>376.5422416541544</v>
      </c>
      <c r="BJ50" s="62">
        <f t="shared" si="38"/>
        <v>365.76175372075869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17.652708901314995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17.652708901314995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27.625</v>
      </c>
      <c r="BY50" s="13">
        <f>IF('Données projet'!$A$114&gt;35,BY49+BX50-CG49,IF(A50&lt;'Données projet'!$A$114,$BV$205^A50,IF(A50='Données projet'!$A$114,'Données projet'!$B$114,BY49+BX50-CG49)))</f>
        <v>627.42499999999995</v>
      </c>
      <c r="BZ50" s="14">
        <f>BY50*VLOOKUP('Données projet'!$B$12,Paramètres!$A$1:$I$89,3,0)*VLOOKUP('Données projet'!$B$12,Paramètres!$A$1:$I$89,5,0)</f>
        <v>350.73057499999993</v>
      </c>
      <c r="CA50" s="14">
        <f t="shared" si="39"/>
        <v>81.712925956903931</v>
      </c>
      <c r="CB50" s="22">
        <f t="shared" si="10"/>
        <v>753.17243083327423</v>
      </c>
      <c r="CC50" s="62">
        <f t="shared" si="11"/>
        <v>1046.5057641666076</v>
      </c>
      <c r="CD50" s="62">
        <f ca="1">AVERAGE(OFFSET($CC$3,0,0,'Données projet'!$E$12+1,1))-AVERAGE(OFFSET($H$3,0,0,'Données projet'!$E$12+1,1))</f>
        <v>405.09126081846171</v>
      </c>
      <c r="CE50" s="62">
        <f t="shared" si="40"/>
        <v>534.22295841722166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7.0347372145238634</v>
      </c>
      <c r="CL50" s="23">
        <f>EXP(-LN(2)/25)*CL49+(1-EXP(-LN(2)/25))/(LN(2)/25)*Calculateur!CG50*Calculateur!CI50*VLOOKUP('Données projet'!$B$12,Paramètres!$A$1:$I$89,3,0)*0.475*44/12</f>
        <v>8.7510257095830308</v>
      </c>
      <c r="CM50" s="23">
        <f>EXP(-LN(2)/2)*CM49+(1-EXP(-LN(2)/2))/(LN(2)/2)*CG50*CJ50*VLOOKUP('Données projet'!$B$12,Paramètres!$A$1:$I$89,3,0)*0.475*44/12</f>
        <v>4.3908902767030153E-3</v>
      </c>
      <c r="CN50" s="24">
        <f t="shared" si="12"/>
        <v>15.790153814383597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>
        <f>CT50*VLOOKUP('Données projet'!$B$13,Paramètres!$A$1:$I$89,3,0)*VLOOKUP('Données projet'!$B$13,Paramètres!$A$1:$I$89,5,0)</f>
        <v>0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244.82163392718377</v>
      </c>
      <c r="CZ50" s="62">
        <f t="shared" si="42"/>
        <v>342.30266518164211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4.2196508480135115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4.2196508480135115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7</v>
      </c>
      <c r="DO50" s="13">
        <f>IF('Données projet'!$A$166&gt;35,DO49+DN50-DW49,IF(A50&lt;'Données projet'!$A$166,$DL$205^A50,IF(A50='Données projet'!$A$166,'Données projet'!$B$166,DO49+DN50-DW49)))</f>
        <v>197</v>
      </c>
      <c r="DP50" s="18">
        <f>DO50*VLOOKUP('Données projet'!$B$14,Paramètres!$A$1:$I$89,3,0)*VLOOKUP('Données projet'!$B$14,Paramètres!$A$1:$I$89,5,0)</f>
        <v>156.73320000000001</v>
      </c>
      <c r="DQ50" s="14">
        <f t="shared" si="43"/>
        <v>40.104797241533682</v>
      </c>
      <c r="DR50" s="22">
        <f t="shared" si="16"/>
        <v>342.82617852900444</v>
      </c>
      <c r="DS50" s="62">
        <f t="shared" si="17"/>
        <v>636.15951186233769</v>
      </c>
      <c r="DT50" s="62">
        <f ca="1">AVERAGE(OFFSET($DS$3,0,0,'Données projet'!$E$14+1,1))-AVERAGE(OFFSET($H$3,0,0,'Données projet'!$E$14+1,1))</f>
        <v>298.89893065707554</v>
      </c>
      <c r="DU50" s="62">
        <f t="shared" si="44"/>
        <v>294.28794439094878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11</v>
      </c>
      <c r="EJ50" s="13">
        <f>IF('Données projet'!$A$192&gt;35,EJ49+EI50-ER49,IF(A50&lt;'Données projet'!$A$192,$EG$205^A50,IF(A50='Données projet'!$A$192,'Données projet'!$B$192,EJ49+EI50-ER49)))</f>
        <v>198.00000000000003</v>
      </c>
      <c r="EK50" s="18">
        <f>EJ50*VLOOKUP('Données projet'!$B$15,Paramètres!$A$1:$I$89,3,0)*VLOOKUP('Données projet'!$B$15,Paramètres!$A$1:$I$89,5,0)</f>
        <v>179.15040000000002</v>
      </c>
      <c r="EL50" s="14">
        <f t="shared" si="45"/>
        <v>45.133113803437304</v>
      </c>
      <c r="EM50" s="22">
        <f t="shared" si="19"/>
        <v>390.62711987431999</v>
      </c>
      <c r="EN50" s="62">
        <f t="shared" si="20"/>
        <v>683.96045320765325</v>
      </c>
      <c r="EO50" s="62">
        <f ca="1">AVERAGE(OFFSET($EN$3,0,0,'Données projet'!$E$15+1,1))-AVERAGE(OFFSET($H$3,0,0,'Données projet'!$E$15+1,1))</f>
        <v>439.06700232017681</v>
      </c>
      <c r="EP50" s="62">
        <f t="shared" si="46"/>
        <v>278.21741231699929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5.6989039939574706</v>
      </c>
      <c r="EX50" s="23">
        <f>EXP(-LN(2)/2)*EX49+(1-EXP(-LN(2)/2))/(LN(2)/2)*ER50*EU50*VLOOKUP('Données projet'!$B$15,Paramètres!$A$1:$I$89,3,0)*0.475*44/12</f>
        <v>4.1182823270038922E-2</v>
      </c>
      <c r="EY50" s="24">
        <f t="shared" si="21"/>
        <v>5.7400868172275095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11</v>
      </c>
      <c r="FE50" s="13">
        <f>IF('Données projet'!$A$218&gt;35,FE49+FD50-FM49,IF(A50&lt;'Données projet'!$A$218,$FB$205^A50,IF(A50='Données projet'!$A$218,'Données projet'!$B$218,FE49+FD50-FM49)))</f>
        <v>198.00000000000003</v>
      </c>
      <c r="FF50" s="18">
        <f>FE50*VLOOKUP('Données projet'!$B$16,Paramètres!$A$1:$I$89,3,0)*VLOOKUP('Données projet'!$B$16,Paramètres!$A$1:$I$89,5,0)</f>
        <v>191.50560000000004</v>
      </c>
      <c r="FG50" s="14">
        <f t="shared" si="47"/>
        <v>47.872666570685276</v>
      </c>
      <c r="FH50" s="22">
        <f t="shared" si="22"/>
        <v>416.91714761061024</v>
      </c>
      <c r="FI50" s="62">
        <f t="shared" si="23"/>
        <v>710.25048094394356</v>
      </c>
      <c r="FJ50" s="62">
        <f ca="1">AVERAGE(OFFSET($FI$3,0,0,'Données projet'!$E$16+1,1))-AVERAGE(OFFSET($H$3,0,0,'Données projet'!$E$16+1,1))</f>
        <v>466.4945858005575</v>
      </c>
      <c r="FK50" s="62">
        <f t="shared" si="48"/>
        <v>294.45557293177131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8.3527993499867101E-2</v>
      </c>
      <c r="FT50" s="24">
        <f t="shared" si="24"/>
        <v>8.3527993499867101E-2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11</v>
      </c>
      <c r="FZ50" s="13">
        <f>IF('Données projet'!$A$244&gt;35,FZ49+FY50-GH49,IF(A50&lt;'Données projet'!$A$244,$FW$205^A50,IF(A50='Données projet'!$A$244,'Données projet'!$B$244,FZ49+FY50-GH49)))</f>
        <v>198.00000000000003</v>
      </c>
      <c r="GA50" s="18">
        <f>FZ50*VLOOKUP('Données projet'!$B$17,Paramètres!$A$1:$I$89,3,0)*VLOOKUP('Données projet'!$B$17,Paramètres!$A$1:$I$89,5,0)</f>
        <v>188.41680000000002</v>
      </c>
      <c r="GB50" s="14">
        <f t="shared" si="49"/>
        <v>47.189759534268674</v>
      </c>
      <c r="GC50" s="22">
        <f t="shared" si="25"/>
        <v>410.34809118885124</v>
      </c>
      <c r="GD50" s="62">
        <f t="shared" si="26"/>
        <v>703.68142452218456</v>
      </c>
      <c r="GE50" s="62">
        <f ca="1">AVERAGE(OFFSET($GD$3,0,0,'Données projet'!$E$17+1,1))-AVERAGE(OFFSET($H$3,0,0,'Données projet'!$E$17+1,1))</f>
        <v>459.64120566196812</v>
      </c>
      <c r="GF50" s="62">
        <f t="shared" si="50"/>
        <v>290.39826583283588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2.6</v>
      </c>
      <c r="N51" s="14">
        <f>IF('Données projet'!$A$36&gt;35,N50+M51-V50,IF(A51&lt;'Données projet'!$A$36,$K$205^A51,IF(A51='Données projet'!$A$36,'Données projet'!$B$36,N50+M51-V50)))</f>
        <v>199.80000000000004</v>
      </c>
      <c r="O51" s="14">
        <f>N51*VLOOKUP('Données projet'!$B$9,Paramètres!$A$1:$I$89,3,0)*VLOOKUP('Données projet'!$B$9,Paramètres!$A$1:$I$89,5,0)</f>
        <v>109.09080000000002</v>
      </c>
      <c r="P51" s="14">
        <f t="shared" si="33"/>
        <v>29.116666594885835</v>
      </c>
      <c r="Q51" s="22">
        <f t="shared" si="53"/>
        <v>240.71133765275954</v>
      </c>
      <c r="R51" s="62">
        <f t="shared" si="0"/>
        <v>534.0446709860928</v>
      </c>
      <c r="S51" s="62">
        <f ca="1">AVERAGE(OFFSET($R$3,0,0,'Données projet'!$E$9+1,1))-AVERAGE(OFFSET($H$3,0,0,'Données projet'!$E$9+1,1))</f>
        <v>170.27677128684815</v>
      </c>
      <c r="T51" s="62">
        <f t="shared" si="34"/>
        <v>243.47439640666289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5.0130944566269688</v>
      </c>
      <c r="AB51" s="23">
        <f>EXP(-LN(2)/2)*AB50+(1-EXP(-LN(2)/2))/(LN(2)/2)*V51*Y51*VLOOKUP('Données projet'!$B$9,Paramètres!$A$1:$I$89,3,0)*0.475*44/12</f>
        <v>1.4869898992593378E-2</v>
      </c>
      <c r="AC51" s="24">
        <f t="shared" si="3"/>
        <v>5.0279643556195621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7.8</v>
      </c>
      <c r="AI51" s="14">
        <f>IF('Données projet'!$A$62&gt;35,AI50+AH51-AQ50,IF(A51&lt;'Données projet'!$A$62,$AF$205^A51,IF(A51='Données projet'!$A$62,'Données projet'!$B$62,AI50+AH51-AQ50)))</f>
        <v>193.39999999999995</v>
      </c>
      <c r="AJ51" s="14">
        <f>AI51*VLOOKUP('Données projet'!$B$10,Paramètres!$A$1:$I$89,3,0)*VLOOKUP('Données projet'!$B$10,Paramètres!$A$1:$I$89,5,0)</f>
        <v>168.95424</v>
      </c>
      <c r="AK51" s="14">
        <f t="shared" si="35"/>
        <v>42.855724087026708</v>
      </c>
      <c r="AL51" s="22">
        <f t="shared" si="4"/>
        <v>368.90235411823818</v>
      </c>
      <c r="AM51" s="62">
        <f t="shared" si="5"/>
        <v>662.23568745157149</v>
      </c>
      <c r="AN51" s="62">
        <f ca="1">AVERAGE(OFFSET($AM$3,0,0,'Données projet'!$E$10+1,1))-AVERAGE(OFFSET($H$3,0,0,'Données projet'!$E$10+1,1))</f>
        <v>327.826081588335</v>
      </c>
      <c r="AO51" s="62">
        <f t="shared" si="36"/>
        <v>348.84706693879735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9.6190195020626295</v>
      </c>
      <c r="AW51" s="23">
        <f>EXP(-LN(2)/2)*AW50+(1-EXP(-LN(2)/2))/(LN(2)/2)*AQ51*AT51*VLOOKUP('Données projet'!$B$10,Paramètres!$A$1:$I$89,3,0)*0.475*44/12</f>
        <v>2.9091356690548714E-2</v>
      </c>
      <c r="AX51" s="23">
        <f t="shared" si="6"/>
        <v>9.6481108587531779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9.8000000000000007</v>
      </c>
      <c r="BD51" s="13">
        <f>IF('Données projet'!$A$88&gt;35,BD50+BC51-BL50,IF(A51&lt;'Données projet'!$A$88,$BA$205^A51,IF(A51='Données projet'!$A$88,'Données projet'!$B$88,BD50+BC51-BL50)))</f>
        <v>283.39999999999992</v>
      </c>
      <c r="BE51" s="14">
        <f>BD51*VLOOKUP('Données projet'!$B$11,Paramètres!$A$1:$I$89,3,0)*VLOOKUP('Données projet'!$B$11,Paramètres!$A$1:$I$89,5,0)</f>
        <v>207.78887999999992</v>
      </c>
      <c r="BF51" s="14">
        <f t="shared" si="37"/>
        <v>51.452103086551489</v>
      </c>
      <c r="BG51" s="22">
        <f t="shared" si="7"/>
        <v>451.51137887574367</v>
      </c>
      <c r="BH51" s="62">
        <f t="shared" si="8"/>
        <v>744.84471220907699</v>
      </c>
      <c r="BI51" s="62">
        <f ca="1">AVERAGE(OFFSET($BH$3,0,0,'Données projet'!$E$11+1,1))-AVERAGE(OFFSET($H$3,0,0,'Données projet'!$E$11+1,1))</f>
        <v>376.5422416541544</v>
      </c>
      <c r="BJ51" s="62">
        <f t="shared" si="38"/>
        <v>365.76175372075869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17.306550046849477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17.306550046849477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>
        <f>VLOOKUP(A51,'Données projet'!$A$113:$I$133,2,0)</f>
        <v>655.04999999999995</v>
      </c>
      <c r="BW51" s="13">
        <f>VLOOKUP(A51,'Données projet'!$A$113:$I$133,9,0)</f>
        <v>27.625</v>
      </c>
      <c r="BX51" s="13">
        <f t="array" ref="BX51">INDEX(BW:BW,MIN(IF(ISNUMBER(BW51:BW247),ROW(BW51:BW247),"")))</f>
        <v>27.625</v>
      </c>
      <c r="BY51" s="13">
        <f>IF('Données projet'!$A$114&gt;35,BY50+BX51-CG50,IF(A51&lt;'Données projet'!$A$114,$BV$205^A51,IF(A51='Données projet'!$A$114,'Données projet'!$B$114,BY50+BX51-CG50)))</f>
        <v>655.04999999999995</v>
      </c>
      <c r="BZ51" s="14">
        <f>BY51*VLOOKUP('Données projet'!$B$12,Paramètres!$A$1:$I$89,3,0)*VLOOKUP('Données projet'!$B$12,Paramètres!$A$1:$I$89,5,0)</f>
        <v>366.17295000000001</v>
      </c>
      <c r="CA51" s="14">
        <f t="shared" si="39"/>
        <v>84.883884000754321</v>
      </c>
      <c r="CB51" s="22">
        <f t="shared" si="10"/>
        <v>785.59065255131372</v>
      </c>
      <c r="CC51" s="62">
        <f t="shared" si="11"/>
        <v>1078.923985884647</v>
      </c>
      <c r="CD51" s="62">
        <f ca="1">AVERAGE(OFFSET($CC$3,0,0,'Données projet'!$E$12+1,1))-AVERAGE(OFFSET($H$3,0,0,'Données projet'!$E$12+1,1))</f>
        <v>405.09126081846171</v>
      </c>
      <c r="CE51" s="62">
        <f t="shared" si="40"/>
        <v>534.22295841722166</v>
      </c>
      <c r="CF51" s="16">
        <f>IF(ISNA(VLOOKUP(A51,'Données projet'!$A$113:$I$133,3,0)),0,VLOOKUP(A51,'Données projet'!$A$113:$I$133,3,0))</f>
        <v>17</v>
      </c>
      <c r="CG51" s="16">
        <f>IF(ISNA(VLOOKUP(A51,'Données projet'!$A$113:$I$133,4,0)),0,VLOOKUP(A51,'Données projet'!$A$113:$I$133,4,0))</f>
        <v>101.34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6.8967903085130731</v>
      </c>
      <c r="CL51" s="23">
        <f>EXP(-LN(2)/25)*CL50+(1-EXP(-LN(2)/25))/(LN(2)/25)*Calculateur!CG51*Calculateur!CI51*VLOOKUP('Données projet'!$B$12,Paramètres!$A$1:$I$89,3,0)*0.475*44/12</f>
        <v>8.5117284513580422</v>
      </c>
      <c r="CM51" s="23">
        <f>EXP(-LN(2)/2)*CM50+(1-EXP(-LN(2)/2))/(LN(2)/2)*CG51*CJ51*VLOOKUP('Données projet'!$B$12,Paramètres!$A$1:$I$89,3,0)*0.475*44/12</f>
        <v>3.1048282901027782E-3</v>
      </c>
      <c r="CN51" s="24">
        <f t="shared" si="12"/>
        <v>15.411623588161218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>
        <f>CT51*VLOOKUP('Données projet'!$B$13,Paramètres!$A$1:$I$89,3,0)*VLOOKUP('Données projet'!$B$13,Paramètres!$A$1:$I$89,5,0)</f>
        <v>0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244.82163392718377</v>
      </c>
      <c r="CZ51" s="62">
        <f t="shared" si="42"/>
        <v>342.30266518164211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4.1369060686168488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4.1369060686168488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7</v>
      </c>
      <c r="DO51" s="13">
        <f>IF('Données projet'!$A$166&gt;35,DO50+DN51-DW50,IF(A51&lt;'Données projet'!$A$166,$DL$205^A51,IF(A51='Données projet'!$A$166,'Données projet'!$B$166,DO50+DN51-DW50)))</f>
        <v>204</v>
      </c>
      <c r="DP51" s="18">
        <f>DO51*VLOOKUP('Données projet'!$B$14,Paramètres!$A$1:$I$89,3,0)*VLOOKUP('Données projet'!$B$14,Paramètres!$A$1:$I$89,5,0)</f>
        <v>162.30240000000001</v>
      </c>
      <c r="DQ51" s="14">
        <f t="shared" si="43"/>
        <v>41.361395541514355</v>
      </c>
      <c r="DR51" s="22">
        <f t="shared" si="16"/>
        <v>354.71444390147082</v>
      </c>
      <c r="DS51" s="62">
        <f t="shared" si="17"/>
        <v>648.04777723480413</v>
      </c>
      <c r="DT51" s="62">
        <f ca="1">AVERAGE(OFFSET($DS$3,0,0,'Données projet'!$E$14+1,1))-AVERAGE(OFFSET($H$3,0,0,'Données projet'!$E$14+1,1))</f>
        <v>298.89893065707554</v>
      </c>
      <c r="DU51" s="62">
        <f t="shared" si="44"/>
        <v>294.28794439094878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11</v>
      </c>
      <c r="EJ51" s="13">
        <f>IF('Données projet'!$A$192&gt;35,EJ50+EI51-ER50,IF(A51&lt;'Données projet'!$A$192,$EG$205^A51,IF(A51='Données projet'!$A$192,'Données projet'!$B$192,EJ50+EI51-ER50)))</f>
        <v>209.00000000000003</v>
      </c>
      <c r="EK51" s="18">
        <f>EJ51*VLOOKUP('Données projet'!$B$15,Paramètres!$A$1:$I$89,3,0)*VLOOKUP('Données projet'!$B$15,Paramètres!$A$1:$I$89,5,0)</f>
        <v>189.10320000000002</v>
      </c>
      <c r="EL51" s="14">
        <f t="shared" si="45"/>
        <v>47.34162854278712</v>
      </c>
      <c r="EM51" s="22">
        <f t="shared" si="19"/>
        <v>411.80807637868764</v>
      </c>
      <c r="EN51" s="62">
        <f t="shared" si="20"/>
        <v>705.14140971202096</v>
      </c>
      <c r="EO51" s="62">
        <f ca="1">AVERAGE(OFFSET($EN$3,0,0,'Données projet'!$E$15+1,1))-AVERAGE(OFFSET($H$3,0,0,'Données projet'!$E$15+1,1))</f>
        <v>439.06700232017681</v>
      </c>
      <c r="EP51" s="62">
        <f t="shared" si="46"/>
        <v>278.21741231699929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5.5430671645503677</v>
      </c>
      <c r="EX51" s="23">
        <f>EXP(-LN(2)/2)*EX50+(1-EXP(-LN(2)/2))/(LN(2)/2)*ER51*EU51*VLOOKUP('Données projet'!$B$15,Paramètres!$A$1:$I$89,3,0)*0.475*44/12</f>
        <v>2.9120653602651671E-2</v>
      </c>
      <c r="EY51" s="24">
        <f t="shared" si="21"/>
        <v>5.5721878181530196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11</v>
      </c>
      <c r="FE51" s="13">
        <f>IF('Données projet'!$A$218&gt;35,FE50+FD51-FM50,IF(A51&lt;'Données projet'!$A$218,$FB$205^A51,IF(A51='Données projet'!$A$218,'Données projet'!$B$218,FE50+FD51-FM50)))</f>
        <v>209.00000000000003</v>
      </c>
      <c r="FF51" s="18">
        <f>FE51*VLOOKUP('Données projet'!$B$16,Paramètres!$A$1:$I$89,3,0)*VLOOKUP('Données projet'!$B$16,Paramètres!$A$1:$I$89,5,0)</f>
        <v>202.14480000000003</v>
      </c>
      <c r="FG51" s="14">
        <f t="shared" si="47"/>
        <v>50.215236821738628</v>
      </c>
      <c r="FH51" s="22">
        <f t="shared" si="22"/>
        <v>439.52706413119489</v>
      </c>
      <c r="FI51" s="62">
        <f t="shared" si="23"/>
        <v>732.86039746452821</v>
      </c>
      <c r="FJ51" s="62">
        <f ca="1">AVERAGE(OFFSET($FI$3,0,0,'Données projet'!$E$16+1,1))-AVERAGE(OFFSET($H$3,0,0,'Données projet'!$E$16+1,1))</f>
        <v>466.4945858005575</v>
      </c>
      <c r="FK51" s="62">
        <f t="shared" si="48"/>
        <v>294.45557293177131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5.9063210622661892E-2</v>
      </c>
      <c r="FT51" s="24">
        <f t="shared" si="24"/>
        <v>5.9063210622661892E-2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11</v>
      </c>
      <c r="FZ51" s="13">
        <f>IF('Données projet'!$A$244&gt;35,FZ50+FY51-GH50,IF(A51&lt;'Données projet'!$A$244,$FW$205^A51,IF(A51='Données projet'!$A$244,'Données projet'!$B$244,FZ50+FY51-GH50)))</f>
        <v>209.00000000000003</v>
      </c>
      <c r="GA51" s="18">
        <f>FZ51*VLOOKUP('Données projet'!$B$17,Paramètres!$A$1:$I$89,3,0)*VLOOKUP('Données projet'!$B$17,Paramètres!$A$1:$I$89,5,0)</f>
        <v>198.88440000000003</v>
      </c>
      <c r="GB51" s="14">
        <f t="shared" si="49"/>
        <v>49.498912851979021</v>
      </c>
      <c r="GC51" s="22">
        <f t="shared" si="25"/>
        <v>432.60093655053015</v>
      </c>
      <c r="GD51" s="62">
        <f t="shared" si="26"/>
        <v>725.93426988386341</v>
      </c>
      <c r="GE51" s="62">
        <f ca="1">AVERAGE(OFFSET($GD$3,0,0,'Données projet'!$E$17+1,1))-AVERAGE(OFFSET($H$3,0,0,'Données projet'!$E$17+1,1))</f>
        <v>459.64120566196812</v>
      </c>
      <c r="GF51" s="62">
        <f t="shared" si="50"/>
        <v>290.39826583283588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2.6</v>
      </c>
      <c r="N52" s="14">
        <f>IF('Données projet'!$A$36&gt;35,N51+M52-V51,IF(A52&lt;'Données projet'!$A$36,$K$205^A52,IF(A52='Données projet'!$A$36,'Données projet'!$B$36,N51+M52-V51)))</f>
        <v>202.40000000000003</v>
      </c>
      <c r="O52" s="14">
        <f>N52*VLOOKUP('Données projet'!$B$9,Paramètres!$A$1:$I$89,3,0)*VLOOKUP('Données projet'!$B$9,Paramètres!$A$1:$I$89,5,0)</f>
        <v>110.51040000000002</v>
      </c>
      <c r="P52" s="14">
        <f t="shared" si="33"/>
        <v>29.451206375056412</v>
      </c>
      <c r="Q52" s="22">
        <f t="shared" si="53"/>
        <v>243.76646443655656</v>
      </c>
      <c r="R52" s="62">
        <f t="shared" si="0"/>
        <v>537.09979776988985</v>
      </c>
      <c r="S52" s="62">
        <f ca="1">AVERAGE(OFFSET($R$3,0,0,'Données projet'!$E$9+1,1))-AVERAGE(OFFSET($H$3,0,0,'Données projet'!$E$9+1,1))</f>
        <v>170.27677128684815</v>
      </c>
      <c r="T52" s="62">
        <f t="shared" si="34"/>
        <v>243.47439640666289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4.8760111250833242</v>
      </c>
      <c r="AB52" s="23">
        <f>EXP(-LN(2)/2)*AB51+(1-EXP(-LN(2)/2))/(LN(2)/2)*V52*Y52*VLOOKUP('Données projet'!$B$9,Paramètres!$A$1:$I$89,3,0)*0.475*44/12</f>
        <v>1.0514606413221791E-2</v>
      </c>
      <c r="AC52" s="24">
        <f t="shared" si="3"/>
        <v>4.8865257314965458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7.8</v>
      </c>
      <c r="AI52" s="14">
        <f>IF('Données projet'!$A$62&gt;35,AI51+AH52-AQ51,IF(A52&lt;'Données projet'!$A$62,$AF$205^A52,IF(A52='Données projet'!$A$62,'Données projet'!$B$62,AI51+AH52-AQ51)))</f>
        <v>201.19999999999996</v>
      </c>
      <c r="AJ52" s="14">
        <f>AI52*VLOOKUP('Données projet'!$B$10,Paramètres!$A$1:$I$89,3,0)*VLOOKUP('Données projet'!$B$10,Paramètres!$A$1:$I$89,5,0)</f>
        <v>175.76831999999999</v>
      </c>
      <c r="AK52" s="14">
        <f t="shared" si="35"/>
        <v>44.379415757690168</v>
      </c>
      <c r="AL52" s="22">
        <f t="shared" si="4"/>
        <v>383.42397311131032</v>
      </c>
      <c r="AM52" s="62">
        <f t="shared" si="5"/>
        <v>676.75730644464363</v>
      </c>
      <c r="AN52" s="62">
        <f ca="1">AVERAGE(OFFSET($AM$3,0,0,'Données projet'!$E$10+1,1))-AVERAGE(OFFSET($H$3,0,0,'Données projet'!$E$10+1,1))</f>
        <v>327.826081588335</v>
      </c>
      <c r="AO52" s="62">
        <f t="shared" si="36"/>
        <v>348.84706693879735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9.3559869079364759</v>
      </c>
      <c r="AW52" s="23">
        <f>EXP(-LN(2)/2)*AW51+(1-EXP(-LN(2)/2))/(LN(2)/2)*AQ52*AT52*VLOOKUP('Données projet'!$B$10,Paramètres!$A$1:$I$89,3,0)*0.475*44/12</f>
        <v>2.0570695589803636E-2</v>
      </c>
      <c r="AX52" s="23">
        <f t="shared" si="6"/>
        <v>9.3765576035262796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9.8000000000000007</v>
      </c>
      <c r="BD52" s="13">
        <f>IF('Données projet'!$A$88&gt;35,BD51+BC52-BL51,IF(A52&lt;'Données projet'!$A$88,$BA$205^A52,IF(A52='Données projet'!$A$88,'Données projet'!$B$88,BD51+BC52-BL51)))</f>
        <v>293.19999999999993</v>
      </c>
      <c r="BE52" s="14">
        <f>BD52*VLOOKUP('Données projet'!$B$11,Paramètres!$A$1:$I$89,3,0)*VLOOKUP('Données projet'!$B$11,Paramètres!$A$1:$I$89,5,0)</f>
        <v>214.97423999999995</v>
      </c>
      <c r="BF52" s="14">
        <f t="shared" si="37"/>
        <v>53.021096827639134</v>
      </c>
      <c r="BG52" s="22">
        <f t="shared" si="7"/>
        <v>466.75854497480481</v>
      </c>
      <c r="BH52" s="62">
        <f t="shared" si="8"/>
        <v>760.09187830813812</v>
      </c>
      <c r="BI52" s="62">
        <f ca="1">AVERAGE(OFFSET($BH$3,0,0,'Données projet'!$E$11+1,1))-AVERAGE(OFFSET($H$3,0,0,'Données projet'!$E$11+1,1))</f>
        <v>376.5422416541544</v>
      </c>
      <c r="BJ52" s="62">
        <f t="shared" si="38"/>
        <v>365.76175372075869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16.967179156383974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16.967179156383974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25.205000000000041</v>
      </c>
      <c r="BY52" s="13">
        <f>IF('Données projet'!$A$114&gt;35,BY51+BX52-CG51,IF(A52&lt;'Données projet'!$A$114,$BV$205^A52,IF(A52='Données projet'!$A$114,'Données projet'!$B$114,BY51+BX52-CG51)))</f>
        <v>578.91499999999996</v>
      </c>
      <c r="BZ52" s="14">
        <f>BY52*VLOOKUP('Données projet'!$B$12,Paramètres!$A$1:$I$89,3,0)*VLOOKUP('Données projet'!$B$12,Paramètres!$A$1:$I$89,5,0)</f>
        <v>323.61348500000003</v>
      </c>
      <c r="CA52" s="14">
        <f t="shared" si="39"/>
        <v>76.10471743389418</v>
      </c>
      <c r="CB52" s="22">
        <f t="shared" si="10"/>
        <v>696.17586923903229</v>
      </c>
      <c r="CC52" s="62">
        <f t="shared" si="11"/>
        <v>989.50920257236567</v>
      </c>
      <c r="CD52" s="62">
        <f ca="1">AVERAGE(OFFSET($CC$3,0,0,'Données projet'!$E$12+1,1))-AVERAGE(OFFSET($H$3,0,0,'Données projet'!$E$12+1,1))</f>
        <v>405.09126081846171</v>
      </c>
      <c r="CE52" s="62">
        <f t="shared" si="40"/>
        <v>534.22295841722166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6.7615484571898499</v>
      </c>
      <c r="CL52" s="23">
        <f>EXP(-LN(2)/25)*CL51+(1-EXP(-LN(2)/25))/(LN(2)/25)*Calculateur!CG52*Calculateur!CI52*VLOOKUP('Données projet'!$B$12,Paramètres!$A$1:$I$89,3,0)*0.475*44/12</f>
        <v>8.2789747892433105</v>
      </c>
      <c r="CM52" s="23">
        <f>EXP(-LN(2)/2)*CM51+(1-EXP(-LN(2)/2))/(LN(2)/2)*CG52*CJ52*VLOOKUP('Données projet'!$B$12,Paramètres!$A$1:$I$89,3,0)*0.475*44/12</f>
        <v>2.1954451383515076E-3</v>
      </c>
      <c r="CN52" s="24">
        <f t="shared" si="12"/>
        <v>15.042718691571512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>
        <f>CT52*VLOOKUP('Données projet'!$B$13,Paramètres!$A$1:$I$89,3,0)*VLOOKUP('Données projet'!$B$13,Paramètres!$A$1:$I$89,5,0)</f>
        <v>0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244.82163392718377</v>
      </c>
      <c r="CZ52" s="62">
        <f t="shared" si="42"/>
        <v>342.30266518164211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4.0557838638748231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4.0557838638748231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7</v>
      </c>
      <c r="DO52" s="13">
        <f>IF('Données projet'!$A$166&gt;35,DO51+DN52-DW51,IF(A52&lt;'Données projet'!$A$166,$DL$205^A52,IF(A52='Données projet'!$A$166,'Données projet'!$B$166,DO51+DN52-DW51)))</f>
        <v>211</v>
      </c>
      <c r="DP52" s="18">
        <f>DO52*VLOOKUP('Données projet'!$B$14,Paramètres!$A$1:$I$89,3,0)*VLOOKUP('Données projet'!$B$14,Paramètres!$A$1:$I$89,5,0)</f>
        <v>167.8716</v>
      </c>
      <c r="DQ52" s="14">
        <f t="shared" si="43"/>
        <v>42.612983811358006</v>
      </c>
      <c r="DR52" s="22">
        <f t="shared" si="16"/>
        <v>366.59398347144844</v>
      </c>
      <c r="DS52" s="62">
        <f t="shared" si="17"/>
        <v>659.92731680478175</v>
      </c>
      <c r="DT52" s="62">
        <f ca="1">AVERAGE(OFFSET($DS$3,0,0,'Données projet'!$E$14+1,1))-AVERAGE(OFFSET($H$3,0,0,'Données projet'!$E$14+1,1))</f>
        <v>298.89893065707554</v>
      </c>
      <c r="DU52" s="62">
        <f t="shared" si="44"/>
        <v>294.28794439094878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11</v>
      </c>
      <c r="EJ52" s="13">
        <f>IF('Données projet'!$A$192&gt;35,EJ51+EI52-ER51,IF(A52&lt;'Données projet'!$A$192,$EG$205^A52,IF(A52='Données projet'!$A$192,'Données projet'!$B$192,EJ51+EI52-ER51)))</f>
        <v>220.00000000000003</v>
      </c>
      <c r="EK52" s="18">
        <f>EJ52*VLOOKUP('Données projet'!$B$15,Paramètres!$A$1:$I$89,3,0)*VLOOKUP('Données projet'!$B$15,Paramètres!$A$1:$I$89,5,0)</f>
        <v>199.05600000000001</v>
      </c>
      <c r="EL52" s="14">
        <f t="shared" si="45"/>
        <v>49.536648006253934</v>
      </c>
      <c r="EM52" s="22">
        <f t="shared" si="19"/>
        <v>432.96552861089231</v>
      </c>
      <c r="EN52" s="62">
        <f t="shared" si="20"/>
        <v>726.29886194422556</v>
      </c>
      <c r="EO52" s="62">
        <f ca="1">AVERAGE(OFFSET($EN$3,0,0,'Données projet'!$E$15+1,1))-AVERAGE(OFFSET($H$3,0,0,'Données projet'!$E$15+1,1))</f>
        <v>439.06700232017681</v>
      </c>
      <c r="EP52" s="62">
        <f t="shared" si="46"/>
        <v>278.21741231699929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5.3914917014385049</v>
      </c>
      <c r="EX52" s="23">
        <f>EXP(-LN(2)/2)*EX51+(1-EXP(-LN(2)/2))/(LN(2)/2)*ER52*EU52*VLOOKUP('Données projet'!$B$15,Paramètres!$A$1:$I$89,3,0)*0.475*44/12</f>
        <v>2.0591411635019465E-2</v>
      </c>
      <c r="EY52" s="24">
        <f t="shared" si="21"/>
        <v>5.4120831130735247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11</v>
      </c>
      <c r="FE52" s="13">
        <f>IF('Données projet'!$A$218&gt;35,FE51+FD52-FM51,IF(A52&lt;'Données projet'!$A$218,$FB$205^A52,IF(A52='Données projet'!$A$218,'Données projet'!$B$218,FE51+FD52-FM51)))</f>
        <v>220.00000000000003</v>
      </c>
      <c r="FF52" s="18">
        <f>FE52*VLOOKUP('Données projet'!$B$16,Paramètres!$A$1:$I$89,3,0)*VLOOKUP('Données projet'!$B$16,Paramètres!$A$1:$I$89,5,0)</f>
        <v>212.78400000000002</v>
      </c>
      <c r="FG52" s="14">
        <f t="shared" si="47"/>
        <v>52.543492641808065</v>
      </c>
      <c r="FH52" s="22">
        <f t="shared" si="22"/>
        <v>462.11204968448237</v>
      </c>
      <c r="FI52" s="62">
        <f t="shared" si="23"/>
        <v>755.44538301781563</v>
      </c>
      <c r="FJ52" s="62">
        <f ca="1">AVERAGE(OFFSET($FI$3,0,0,'Données projet'!$E$16+1,1))-AVERAGE(OFFSET($H$3,0,0,'Données projet'!$E$16+1,1))</f>
        <v>466.4945858005575</v>
      </c>
      <c r="FK52" s="62">
        <f t="shared" si="48"/>
        <v>294.45557293177131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4.1763996749933557E-2</v>
      </c>
      <c r="FT52" s="24">
        <f t="shared" si="24"/>
        <v>4.1763996749933557E-2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11</v>
      </c>
      <c r="FZ52" s="13">
        <f>IF('Données projet'!$A$244&gt;35,FZ51+FY52-GH51,IF(A52&lt;'Données projet'!$A$244,$FW$205^A52,IF(A52='Données projet'!$A$244,'Données projet'!$B$244,FZ51+FY52-GH51)))</f>
        <v>220.00000000000003</v>
      </c>
      <c r="GA52" s="18">
        <f>FZ52*VLOOKUP('Données projet'!$B$17,Paramètres!$A$1:$I$89,3,0)*VLOOKUP('Données projet'!$B$17,Paramètres!$A$1:$I$89,5,0)</f>
        <v>209.35200000000003</v>
      </c>
      <c r="GB52" s="14">
        <f t="shared" si="49"/>
        <v>51.79395593509436</v>
      </c>
      <c r="GC52" s="22">
        <f t="shared" si="25"/>
        <v>454.82920658695599</v>
      </c>
      <c r="GD52" s="62">
        <f t="shared" si="26"/>
        <v>748.1625399202893</v>
      </c>
      <c r="GE52" s="62">
        <f ca="1">AVERAGE(OFFSET($GD$3,0,0,'Données projet'!$E$17+1,1))-AVERAGE(OFFSET($H$3,0,0,'Données projet'!$E$17+1,1))</f>
        <v>459.64120566196812</v>
      </c>
      <c r="GF52" s="62">
        <f t="shared" si="50"/>
        <v>290.39826583283588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205</v>
      </c>
      <c r="L53" s="13">
        <f>VLOOKUP(A53,'Données projet'!$A$35:$I$55,9,0)</f>
        <v>2.6</v>
      </c>
      <c r="M53" s="13">
        <f t="array" ref="M53">INDEX(L:L,MIN(IF(ISNUMBER(L53:L249),ROW(L53:L249),"")))</f>
        <v>2.6</v>
      </c>
      <c r="N53" s="14">
        <f>IF('Données projet'!$A$36&gt;35,N52+M53-V52,IF(A53&lt;'Données projet'!$A$36,$K$205^A53,IF(A53='Données projet'!$A$36,'Données projet'!$B$36,N52+M53-V52)))</f>
        <v>205.00000000000003</v>
      </c>
      <c r="O53" s="14">
        <f>N53*VLOOKUP('Données projet'!$B$9,Paramètres!$A$1:$I$89,3,0)*VLOOKUP('Données projet'!$B$9,Paramètres!$A$1:$I$89,5,0)</f>
        <v>111.93000000000002</v>
      </c>
      <c r="P53" s="14">
        <f t="shared" si="33"/>
        <v>29.785246291563858</v>
      </c>
      <c r="Q53" s="22">
        <f t="shared" si="53"/>
        <v>246.82072062447375</v>
      </c>
      <c r="R53" s="62">
        <f t="shared" si="0"/>
        <v>540.15405395780704</v>
      </c>
      <c r="S53" s="62">
        <f ca="1">AVERAGE(OFFSET($R$3,0,0,'Données projet'!$E$9+1,1))-AVERAGE(OFFSET($H$3,0,0,'Données projet'!$E$9+1,1))</f>
        <v>170.27677128684815</v>
      </c>
      <c r="T53" s="62">
        <f t="shared" si="34"/>
        <v>243.47439640666289</v>
      </c>
      <c r="U53" s="16">
        <f>IF(ISNA(VLOOKUP(A53,'Données projet'!$A$35:$I$55,3,0)),0,VLOOKUP(A53,'Données projet'!$A$35:$I$55,3,0))</f>
        <v>9</v>
      </c>
      <c r="V53" s="16">
        <f>IF(ISNA(VLOOKUP(A53,'Données projet'!$A$35:$I$55,4,0)),0,VLOOKUP(A53,'Données projet'!$A$35:$I$55,4,0))</f>
        <v>205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4.7426763444496398</v>
      </c>
      <c r="AB53" s="23">
        <f>EXP(-LN(2)/2)*AB52+(1-EXP(-LN(2)/2))/(LN(2)/2)*V53*Y53*VLOOKUP('Données projet'!$B$9,Paramètres!$A$1:$I$89,3,0)*0.475*44/12</f>
        <v>7.434949496296691E-3</v>
      </c>
      <c r="AC53" s="24">
        <f t="shared" si="3"/>
        <v>4.7501112939459365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209</v>
      </c>
      <c r="AG53" s="13">
        <f>VLOOKUP(A53,'Données projet'!$A$61:$I$81,9,0)</f>
        <v>7.8</v>
      </c>
      <c r="AH53" s="13">
        <f t="array" ref="AH53">INDEX(AG:AG,MIN(IF(ISNUMBER(AG53:AG249),ROW(AG53:AG249),"")))</f>
        <v>7.8</v>
      </c>
      <c r="AI53" s="14">
        <f>IF('Données projet'!$A$62&gt;35,AI52+AH53-AQ52,IF(A53&lt;'Données projet'!$A$62,$AF$205^A53,IF(A53='Données projet'!$A$62,'Données projet'!$B$62,AI52+AH53-AQ52)))</f>
        <v>208.99999999999997</v>
      </c>
      <c r="AJ53" s="14">
        <f>AI53*VLOOKUP('Données projet'!$B$10,Paramètres!$A$1:$I$89,3,0)*VLOOKUP('Données projet'!$B$10,Paramètres!$A$1:$I$89,5,0)</f>
        <v>182.58240000000001</v>
      </c>
      <c r="AK53" s="14">
        <f t="shared" si="35"/>
        <v>45.896245406460288</v>
      </c>
      <c r="AL53" s="22">
        <f t="shared" si="4"/>
        <v>397.93364074958498</v>
      </c>
      <c r="AM53" s="62">
        <f t="shared" si="5"/>
        <v>691.2669740829183</v>
      </c>
      <c r="AN53" s="62">
        <f ca="1">AVERAGE(OFFSET($AM$3,0,0,'Données projet'!$E$10+1,1))-AVERAGE(OFFSET($H$3,0,0,'Données projet'!$E$10+1,1))</f>
        <v>327.826081588335</v>
      </c>
      <c r="AO53" s="62">
        <f t="shared" si="36"/>
        <v>348.84706693879735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9.1001469539289843</v>
      </c>
      <c r="AW53" s="23">
        <f>EXP(-LN(2)/2)*AW52+(1-EXP(-LN(2)/2))/(LN(2)/2)*AQ53*AT53*VLOOKUP('Données projet'!$B$10,Paramètres!$A$1:$I$89,3,0)*0.475*44/12</f>
        <v>1.4545678345274359E-2</v>
      </c>
      <c r="AX53" s="23">
        <f t="shared" si="6"/>
        <v>9.1146926322742594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303</v>
      </c>
      <c r="BB53" s="13">
        <f>VLOOKUP(A53,'Données projet'!$A$87:$I$107,9,0)</f>
        <v>9.8000000000000007</v>
      </c>
      <c r="BC53" s="13">
        <f t="array" ref="BC53">INDEX(BB:BB,MIN(IF(ISNUMBER(BB53:BB249),ROW(BB53:BB249),"")))</f>
        <v>9.8000000000000007</v>
      </c>
      <c r="BD53" s="13">
        <f>IF('Données projet'!$A$88&gt;35,BD52+BC53-BL52,IF(A53&lt;'Données projet'!$A$88,$BA$205^A53,IF(A53='Données projet'!$A$88,'Données projet'!$B$88,BD52+BC53-BL52)))</f>
        <v>302.99999999999994</v>
      </c>
      <c r="BE53" s="14">
        <f>BD53*VLOOKUP('Données projet'!$B$11,Paramètres!$A$1:$I$89,3,0)*VLOOKUP('Données projet'!$B$11,Paramètres!$A$1:$I$89,5,0)</f>
        <v>222.15959999999995</v>
      </c>
      <c r="BF53" s="14">
        <f t="shared" si="37"/>
        <v>54.583996923291004</v>
      </c>
      <c r="BG53" s="22">
        <f t="shared" si="7"/>
        <v>481.99509797473166</v>
      </c>
      <c r="BH53" s="62">
        <f t="shared" si="8"/>
        <v>775.32843130806498</v>
      </c>
      <c r="BI53" s="62">
        <f ca="1">AVERAGE(OFFSET($BH$3,0,0,'Données projet'!$E$11+1,1))-AVERAGE(OFFSET($H$3,0,0,'Données projet'!$E$11+1,1))</f>
        <v>376.5422416541544</v>
      </c>
      <c r="BJ53" s="62">
        <f t="shared" si="38"/>
        <v>365.76175372075869</v>
      </c>
      <c r="BK53" s="16">
        <f>IF(ISNA(VLOOKUP(A53,'Données projet'!$A$87:$I$107,3,0)),0,VLOOKUP(A53,'Données projet'!$A$87:$I$107,3,0))</f>
        <v>9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16.634463122084696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16.634463122084696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604.12</v>
      </c>
      <c r="BW53" s="13">
        <f>VLOOKUP(A53,'Données projet'!$A$113:$I$133,9,0)</f>
        <v>25.205000000000041</v>
      </c>
      <c r="BX53" s="13">
        <f t="array" ref="BX53">INDEX(BW:BW,MIN(IF(ISNUMBER(BW53:BW249),ROW(BW53:BW249),"")))</f>
        <v>25.205000000000041</v>
      </c>
      <c r="BY53" s="13">
        <f>IF('Données projet'!$A$114&gt;35,BY52+BX53-CG52,IF(A53&lt;'Données projet'!$A$114,$BV$205^A53,IF(A53='Données projet'!$A$114,'Données projet'!$B$114,BY52+BX53-CG52)))</f>
        <v>604.12</v>
      </c>
      <c r="BZ53" s="14">
        <f>BY53*VLOOKUP('Données projet'!$B$12,Paramètres!$A$1:$I$89,3,0)*VLOOKUP('Données projet'!$B$12,Paramètres!$A$1:$I$89,5,0)</f>
        <v>337.70308</v>
      </c>
      <c r="CA53" s="14">
        <f t="shared" si="39"/>
        <v>79.025201150271741</v>
      </c>
      <c r="CB53" s="22">
        <f t="shared" si="10"/>
        <v>725.80175633672332</v>
      </c>
      <c r="CC53" s="62">
        <f t="shared" si="11"/>
        <v>1019.1350896700567</v>
      </c>
      <c r="CD53" s="62">
        <f ca="1">AVERAGE(OFFSET($CC$3,0,0,'Données projet'!$E$12+1,1))-AVERAGE(OFFSET($H$3,0,0,'Données projet'!$E$12+1,1))</f>
        <v>405.09126081846171</v>
      </c>
      <c r="CE53" s="62">
        <f t="shared" si="40"/>
        <v>534.22295841722166</v>
      </c>
      <c r="CF53" s="16">
        <f>IF(ISNA(VLOOKUP(A53,'Données projet'!$A$113:$I$133,3,0)),0,VLOOKUP(A53,'Données projet'!$A$113:$I$133,3,0))</f>
        <v>18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6.6289586160816913</v>
      </c>
      <c r="CL53" s="23">
        <f>EXP(-LN(2)/25)*CL52+(1-EXP(-LN(2)/25))/(LN(2)/25)*Calculateur!CG53*Calculateur!CI53*VLOOKUP('Données projet'!$B$12,Paramètres!$A$1:$I$89,3,0)*0.475*44/12</f>
        <v>8.0525857882590905</v>
      </c>
      <c r="CM53" s="23">
        <f>EXP(-LN(2)/2)*CM52+(1-EXP(-LN(2)/2))/(LN(2)/2)*CG53*CJ53*VLOOKUP('Données projet'!$B$12,Paramètres!$A$1:$I$89,3,0)*0.475*44/12</f>
        <v>1.5524141450513891E-3</v>
      </c>
      <c r="CN53" s="24">
        <f t="shared" si="12"/>
        <v>14.683096818485833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>
        <f>CT53*VLOOKUP('Données projet'!$B$13,Paramètres!$A$1:$I$89,3,0)*VLOOKUP('Données projet'!$B$13,Paramètres!$A$1:$I$89,5,0)</f>
        <v>0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244.82163392718377</v>
      </c>
      <c r="CZ53" s="62">
        <f t="shared" si="42"/>
        <v>342.30266518164211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3.976252416088129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3.976252416088129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218</v>
      </c>
      <c r="DM53" s="13">
        <f>VLOOKUP(A53,'Données projet'!$A$165:$I$185,9,0)</f>
        <v>7</v>
      </c>
      <c r="DN53" s="13">
        <f t="array" ref="DN53">INDEX(DM:DM,MIN(IF(ISNUMBER(DM53:DM249),ROW(DM53:DM249),"")))</f>
        <v>7</v>
      </c>
      <c r="DO53" s="13">
        <f>IF('Données projet'!$A$166&gt;35,DO52+DN53-DW52,IF(A53&lt;'Données projet'!$A$166,$DL$205^A53,IF(A53='Données projet'!$A$166,'Données projet'!$B$166,DO52+DN53-DW52)))</f>
        <v>218</v>
      </c>
      <c r="DP53" s="18">
        <f>DO53*VLOOKUP('Données projet'!$B$14,Paramètres!$A$1:$I$89,3,0)*VLOOKUP('Données projet'!$B$14,Paramètres!$A$1:$I$89,5,0)</f>
        <v>173.44080000000002</v>
      </c>
      <c r="DQ53" s="14">
        <f t="shared" si="43"/>
        <v>43.859747318594479</v>
      </c>
      <c r="DR53" s="22">
        <f t="shared" si="16"/>
        <v>378.46511991321876</v>
      </c>
      <c r="DS53" s="62">
        <f t="shared" si="17"/>
        <v>671.79845324655207</v>
      </c>
      <c r="DT53" s="62">
        <f ca="1">AVERAGE(OFFSET($DS$3,0,0,'Données projet'!$E$14+1,1))-AVERAGE(OFFSET($H$3,0,0,'Données projet'!$E$14+1,1))</f>
        <v>298.89893065707554</v>
      </c>
      <c r="DU53" s="62">
        <f t="shared" si="44"/>
        <v>294.28794439094878</v>
      </c>
      <c r="DV53" s="16">
        <f>IF(ISNA(VLOOKUP(A53,'Données projet'!$A$165:$I$185,3,0)),0,VLOOKUP(A53,'Données projet'!$A$165:$I$185,3,0))</f>
        <v>8</v>
      </c>
      <c r="DW53" s="16">
        <f>IF(ISNA(VLOOKUP(A53,'Données projet'!$A$165:$I$185,4,0)),0,VLOOKUP(A53,'Données projet'!$A$165:$I$185,4,0))</f>
        <v>17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231</v>
      </c>
      <c r="EH53" s="13">
        <f>VLOOKUP(A53,'Données projet'!$A$191:$I$211,9,0)</f>
        <v>11</v>
      </c>
      <c r="EI53" s="13">
        <f t="array" ref="EI53">INDEX(EH:EH,MIN(IF(ISNUMBER(EH53:EH249),ROW(EH53:EH249),"")))</f>
        <v>11</v>
      </c>
      <c r="EJ53" s="13">
        <f>IF('Données projet'!$A$192&gt;35,EJ52+EI53-ER52,IF(A53&lt;'Données projet'!$A$192,$EG$205^A53,IF(A53='Données projet'!$A$192,'Données projet'!$B$192,EJ52+EI53-ER52)))</f>
        <v>231.00000000000003</v>
      </c>
      <c r="EK53" s="18">
        <f>EJ53*VLOOKUP('Données projet'!$B$15,Paramètres!$A$1:$I$89,3,0)*VLOOKUP('Données projet'!$B$15,Paramètres!$A$1:$I$89,5,0)</f>
        <v>209.00880000000004</v>
      </c>
      <c r="EL53" s="14">
        <f t="shared" si="45"/>
        <v>51.718923953824252</v>
      </c>
      <c r="EM53" s="22">
        <f t="shared" si="19"/>
        <v>454.10078588624395</v>
      </c>
      <c r="EN53" s="62">
        <f t="shared" si="20"/>
        <v>747.43411921957727</v>
      </c>
      <c r="EO53" s="62">
        <f ca="1">AVERAGE(OFFSET($EN$3,0,0,'Données projet'!$E$15+1,1))-AVERAGE(OFFSET($H$3,0,0,'Données projet'!$E$15+1,1))</f>
        <v>439.06700232017681</v>
      </c>
      <c r="EP53" s="62">
        <f t="shared" si="46"/>
        <v>278.21741231699929</v>
      </c>
      <c r="EQ53" s="16">
        <f>IF(ISNA(VLOOKUP(A53,'Données projet'!$A$191:$I$211,3,0)),0,VLOOKUP(A53,'Données projet'!$A$191:$I$211,3,0))</f>
        <v>7</v>
      </c>
      <c r="ER53" s="16">
        <f>IF(ISNA(VLOOKUP(A53,'Données projet'!$A$191:$I$211,4,0)),0,VLOOKUP(A53,'Données projet'!$A$191:$I$211,4,0))</f>
        <v>28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5.2440610773364424</v>
      </c>
      <c r="EX53" s="23">
        <f>EXP(-LN(2)/2)*EX52+(1-EXP(-LN(2)/2))/(LN(2)/2)*ER53*EU53*VLOOKUP('Données projet'!$B$15,Paramètres!$A$1:$I$89,3,0)*0.475*44/12</f>
        <v>1.4560326801325837E-2</v>
      </c>
      <c r="EY53" s="24">
        <f t="shared" si="21"/>
        <v>5.2586214041377684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231</v>
      </c>
      <c r="FC53" s="13">
        <f>VLOOKUP(A53,'Données projet'!$A$217:$I$237,9,0)</f>
        <v>11</v>
      </c>
      <c r="FD53" s="13">
        <f t="array" ref="FD53">INDEX(FC:FC,MIN(IF(ISNUMBER(FC53:FC249),ROW(FC53:FC249),"")))</f>
        <v>11</v>
      </c>
      <c r="FE53" s="13">
        <f>IF('Données projet'!$A$218&gt;35,FE52+FD53-FM52,IF(A53&lt;'Données projet'!$A$218,$FB$205^A53,IF(A53='Données projet'!$A$218,'Données projet'!$B$218,FE52+FD53-FM52)))</f>
        <v>231.00000000000003</v>
      </c>
      <c r="FF53" s="18">
        <f>FE53*VLOOKUP('Données projet'!$B$16,Paramètres!$A$1:$I$89,3,0)*VLOOKUP('Données projet'!$B$16,Paramètres!$A$1:$I$89,5,0)</f>
        <v>223.42320000000004</v>
      </c>
      <c r="FG53" s="14">
        <f t="shared" si="47"/>
        <v>54.858231422257631</v>
      </c>
      <c r="FH53" s="22">
        <f t="shared" si="22"/>
        <v>484.67349306043207</v>
      </c>
      <c r="FI53" s="62">
        <f t="shared" si="23"/>
        <v>778.00682639376532</v>
      </c>
      <c r="FJ53" s="62">
        <f ca="1">AVERAGE(OFFSET($FI$3,0,0,'Données projet'!$E$16+1,1))-AVERAGE(OFFSET($H$3,0,0,'Données projet'!$E$16+1,1))</f>
        <v>466.4945858005575</v>
      </c>
      <c r="FK53" s="62">
        <f t="shared" si="48"/>
        <v>294.45557293177131</v>
      </c>
      <c r="FL53" s="16">
        <f>IF(ISNA(VLOOKUP(A53,'Données projet'!$A$217:$I$237,3,0)),0,VLOOKUP(A53,'Données projet'!$A$217:$I$237,3,0))</f>
        <v>7</v>
      </c>
      <c r="FM53" s="16">
        <f>IF(ISNA(VLOOKUP(A53,'Données projet'!$A$217:$I$237,4,0)),0,VLOOKUP(A53,'Données projet'!$A$217:$I$237,4,0))</f>
        <v>28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2.9531605311330953E-2</v>
      </c>
      <c r="FT53" s="24">
        <f t="shared" si="24"/>
        <v>2.9531605311330953E-2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231</v>
      </c>
      <c r="FX53" s="13">
        <f>VLOOKUP(A53,'Données projet'!$A$243:$I$263,9,0)</f>
        <v>11</v>
      </c>
      <c r="FY53" s="13">
        <f t="array" ref="FY53">INDEX(FX:FX,MIN(IF(ISNUMBER(FX53:FX249),ROW(FX53:FX249),"")))</f>
        <v>11</v>
      </c>
      <c r="FZ53" s="13">
        <f>IF('Données projet'!$A$244&gt;35,FZ52+FY53-GH52,IF(A53&lt;'Données projet'!$A$244,$FW$205^A53,IF(A53='Données projet'!$A$244,'Données projet'!$B$244,FZ52+FY53-GH52)))</f>
        <v>231.00000000000003</v>
      </c>
      <c r="GA53" s="18">
        <f>FZ53*VLOOKUP('Données projet'!$B$17,Paramètres!$A$1:$I$89,3,0)*VLOOKUP('Données projet'!$B$17,Paramètres!$A$1:$I$89,5,0)</f>
        <v>219.81960000000004</v>
      </c>
      <c r="GB53" s="14">
        <f t="shared" si="49"/>
        <v>54.075674800133456</v>
      </c>
      <c r="GC53" s="22">
        <f t="shared" si="25"/>
        <v>477.03427027689918</v>
      </c>
      <c r="GD53" s="62">
        <f t="shared" si="26"/>
        <v>770.36760361023244</v>
      </c>
      <c r="GE53" s="62">
        <f ca="1">AVERAGE(OFFSET($GD$3,0,0,'Données projet'!$E$17+1,1))-AVERAGE(OFFSET($H$3,0,0,'Données projet'!$E$17+1,1))</f>
        <v>459.64120566196812</v>
      </c>
      <c r="GF53" s="62">
        <f t="shared" si="50"/>
        <v>290.39826583283588</v>
      </c>
      <c r="GG53" s="16">
        <f>IF(ISNA(VLOOKUP(A53,'Données projet'!$A$243:$I$263,3,0)),0,VLOOKUP(A53,'Données projet'!$A$243:$I$263,3,0))</f>
        <v>7</v>
      </c>
      <c r="GH53" s="16">
        <f>IF(ISNA(VLOOKUP(A53,'Données projet'!$A$243:$I$263,4,0)),0,VLOOKUP(A53,'Données projet'!$A$243:$I$263,4,0))</f>
        <v>28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2.8421709430404007E-14</v>
      </c>
      <c r="O54" s="14">
        <f>N54*VLOOKUP('Données projet'!$B$9,Paramètres!$A$1:$I$89,3,0)*VLOOKUP('Données projet'!$B$9,Paramètres!$A$1:$I$89,5,0)</f>
        <v>1.5518253349000589E-14</v>
      </c>
      <c r="P54" s="14">
        <f t="shared" si="33"/>
        <v>2.8958815659671149E-13</v>
      </c>
      <c r="Q54" s="22">
        <f t="shared" si="53"/>
        <v>5.3139366398878183E-13</v>
      </c>
      <c r="R54" s="62">
        <f t="shared" si="0"/>
        <v>293.33333333333383</v>
      </c>
      <c r="S54" s="62">
        <f ca="1">AVERAGE(OFFSET($R$3,0,0,'Données projet'!$E$9+1,1))-AVERAGE(OFFSET($H$3,0,0,'Données projet'!$E$9+1,1))</f>
        <v>170.27677128684815</v>
      </c>
      <c r="T54" s="62">
        <f t="shared" si="34"/>
        <v>243.47439640666289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4.6129876104041552</v>
      </c>
      <c r="AB54" s="23">
        <f>EXP(-LN(2)/2)*AB53+(1-EXP(-LN(2)/2))/(LN(2)/2)*V54*Y54*VLOOKUP('Données projet'!$B$9,Paramètres!$A$1:$I$89,3,0)*0.475*44/12</f>
        <v>5.2573032066108964E-3</v>
      </c>
      <c r="AC54" s="24">
        <f t="shared" si="3"/>
        <v>4.6182449136107664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6.8</v>
      </c>
      <c r="AI54" s="14">
        <f>IF('Données projet'!$A$62&gt;35,AI53+AH54-AQ53,IF(A54&lt;'Données projet'!$A$62,$AF$205^A54,IF(A54='Données projet'!$A$62,'Données projet'!$B$62,AI53+AH54-AQ53)))</f>
        <v>187.79999999999998</v>
      </c>
      <c r="AJ54" s="14">
        <f>AI54*VLOOKUP('Données projet'!$B$10,Paramètres!$A$1:$I$89,3,0)*VLOOKUP('Données projet'!$B$10,Paramètres!$A$1:$I$89,5,0)</f>
        <v>164.06208000000001</v>
      </c>
      <c r="AK54" s="14">
        <f t="shared" si="35"/>
        <v>41.75738773013461</v>
      </c>
      <c r="AL54" s="22">
        <f t="shared" si="4"/>
        <v>358.46890629665108</v>
      </c>
      <c r="AM54" s="62">
        <f t="shared" si="5"/>
        <v>651.80223962998434</v>
      </c>
      <c r="AN54" s="62">
        <f ca="1">AVERAGE(OFFSET($AM$3,0,0,'Données projet'!$E$10+1,1))-AVERAGE(OFFSET($H$3,0,0,'Données projet'!$E$10+1,1))</f>
        <v>327.826081588335</v>
      </c>
      <c r="AO54" s="62">
        <f t="shared" si="36"/>
        <v>348.84706693879735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8.8513029569178663</v>
      </c>
      <c r="AW54" s="23">
        <f>EXP(-LN(2)/2)*AW53+(1-EXP(-LN(2)/2))/(LN(2)/2)*AQ54*AT54*VLOOKUP('Données projet'!$B$10,Paramètres!$A$1:$I$89,3,0)*0.475*44/12</f>
        <v>1.028534779490182E-2</v>
      </c>
      <c r="AX54" s="23">
        <f t="shared" si="6"/>
        <v>8.8615883047127681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8.4</v>
      </c>
      <c r="BD54" s="13">
        <f>IF('Données projet'!$A$88&gt;35,BD53+BC54-BL53,IF(A54&lt;'Données projet'!$A$88,$BA$205^A54,IF(A54='Données projet'!$A$88,'Données projet'!$B$88,BD53+BC54-BL53)))</f>
        <v>290.39999999999992</v>
      </c>
      <c r="BE54" s="14">
        <f>BD54*VLOOKUP('Données projet'!$B$11,Paramètres!$A$1:$I$89,3,0)*VLOOKUP('Données projet'!$B$11,Paramètres!$A$1:$I$89,5,0)</f>
        <v>212.92127999999991</v>
      </c>
      <c r="BF54" s="14">
        <f t="shared" si="37"/>
        <v>52.57344469809297</v>
      </c>
      <c r="BG54" s="22">
        <f t="shared" si="7"/>
        <v>462.4033121825118</v>
      </c>
      <c r="BH54" s="62">
        <f t="shared" si="8"/>
        <v>755.73664551584511</v>
      </c>
      <c r="BI54" s="62">
        <f ca="1">AVERAGE(OFFSET($BH$3,0,0,'Données projet'!$E$11+1,1))-AVERAGE(OFFSET($H$3,0,0,'Données projet'!$E$11+1,1))</f>
        <v>376.5422416541544</v>
      </c>
      <c r="BJ54" s="62">
        <f t="shared" si="38"/>
        <v>365.76175372075869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16.308271446281285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16.308271446281285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25.71999999999997</v>
      </c>
      <c r="BY54" s="13">
        <f>IF('Données projet'!$A$114&gt;35,BY53+BX54-CG53,IF(A54&lt;'Données projet'!$A$114,$BV$205^A54,IF(A54='Données projet'!$A$114,'Données projet'!$B$114,BY53+BX54-CG53)))</f>
        <v>629.83999999999992</v>
      </c>
      <c r="BZ54" s="14">
        <f>BY54*VLOOKUP('Données projet'!$B$12,Paramètres!$A$1:$I$89,3,0)*VLOOKUP('Données projet'!$B$12,Paramètres!$A$1:$I$89,5,0)</f>
        <v>352.08055999999999</v>
      </c>
      <c r="CA54" s="14">
        <f t="shared" si="39"/>
        <v>81.99077226106516</v>
      </c>
      <c r="CB54" s="22">
        <f t="shared" si="10"/>
        <v>756.00757035468848</v>
      </c>
      <c r="CC54" s="62">
        <f t="shared" si="11"/>
        <v>1049.3409036880219</v>
      </c>
      <c r="CD54" s="62">
        <f ca="1">AVERAGE(OFFSET($CC$3,0,0,'Données projet'!$E$12+1,1))-AVERAGE(OFFSET($H$3,0,0,'Données projet'!$E$12+1,1))</f>
        <v>405.09126081846171</v>
      </c>
      <c r="CE54" s="62">
        <f t="shared" si="40"/>
        <v>534.22295841722166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6.4989687808858463</v>
      </c>
      <c r="CL54" s="23">
        <f>EXP(-LN(2)/25)*CL53+(1-EXP(-LN(2)/25))/(LN(2)/25)*Calculateur!CG54*Calculateur!CI54*VLOOKUP('Données projet'!$B$12,Paramètres!$A$1:$I$89,3,0)*0.475*44/12</f>
        <v>7.8323874064120638</v>
      </c>
      <c r="CM54" s="23">
        <f>EXP(-LN(2)/2)*CM53+(1-EXP(-LN(2)/2))/(LN(2)/2)*CG54*CJ54*VLOOKUP('Données projet'!$B$12,Paramètres!$A$1:$I$89,3,0)*0.475*44/12</f>
        <v>1.0977225691757538E-3</v>
      </c>
      <c r="CN54" s="24">
        <f t="shared" si="12"/>
        <v>14.332453909867086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>
        <f>CT54*VLOOKUP('Données projet'!$B$13,Paramètres!$A$1:$I$89,3,0)*VLOOKUP('Données projet'!$B$13,Paramètres!$A$1:$I$89,5,0)</f>
        <v>0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244.82163392718377</v>
      </c>
      <c r="CZ54" s="62">
        <f t="shared" si="42"/>
        <v>342.30266518164211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3.8982805314831386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3.8982805314831386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6.2</v>
      </c>
      <c r="DO54" s="13">
        <f>IF('Données projet'!$A$166&gt;35,DO53+DN54-DW53,IF(A54&lt;'Données projet'!$A$166,$DL$205^A54,IF(A54='Données projet'!$A$166,'Données projet'!$B$166,DO53+DN54-DW53)))</f>
        <v>207.2</v>
      </c>
      <c r="DP54" s="18">
        <f>DO54*VLOOKUP('Données projet'!$B$14,Paramètres!$A$1:$I$89,3,0)*VLOOKUP('Données projet'!$B$14,Paramètres!$A$1:$I$89,5,0)</f>
        <v>164.84832</v>
      </c>
      <c r="DQ54" s="14">
        <f t="shared" si="43"/>
        <v>41.934160358278433</v>
      </c>
      <c r="DR54" s="22">
        <f t="shared" si="16"/>
        <v>360.14615329066828</v>
      </c>
      <c r="DS54" s="62">
        <f t="shared" si="17"/>
        <v>653.47948662400154</v>
      </c>
      <c r="DT54" s="62">
        <f ca="1">AVERAGE(OFFSET($DS$3,0,0,'Données projet'!$E$14+1,1))-AVERAGE(OFFSET($H$3,0,0,'Données projet'!$E$14+1,1))</f>
        <v>298.89893065707554</v>
      </c>
      <c r="DU54" s="62">
        <f t="shared" si="44"/>
        <v>294.28794439094878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10.199999999999999</v>
      </c>
      <c r="EJ54" s="13">
        <f>IF('Données projet'!$A$192&gt;35,EJ53+EI54-ER53,IF(A54&lt;'Données projet'!$A$192,$EG$205^A54,IF(A54='Données projet'!$A$192,'Données projet'!$B$192,EJ53+EI54-ER53)))</f>
        <v>213.20000000000002</v>
      </c>
      <c r="EK54" s="18">
        <f>EJ54*VLOOKUP('Données projet'!$B$15,Paramètres!$A$1:$I$89,3,0)*VLOOKUP('Données projet'!$B$15,Paramètres!$A$1:$I$89,5,0)</f>
        <v>192.90336000000002</v>
      </c>
      <c r="EL54" s="14">
        <f t="shared" si="45"/>
        <v>48.181276881765257</v>
      </c>
      <c r="EM54" s="22">
        <f t="shared" si="19"/>
        <v>419.88907590240791</v>
      </c>
      <c r="EN54" s="62">
        <f t="shared" si="20"/>
        <v>713.22240923574122</v>
      </c>
      <c r="EO54" s="62">
        <f ca="1">AVERAGE(OFFSET($EN$3,0,0,'Données projet'!$E$15+1,1))-AVERAGE(OFFSET($H$3,0,0,'Données projet'!$E$15+1,1))</f>
        <v>439.06700232017681</v>
      </c>
      <c r="EP54" s="62">
        <f t="shared" si="46"/>
        <v>278.21741231699929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5.1006619514034908</v>
      </c>
      <c r="EX54" s="23">
        <f>EXP(-LN(2)/2)*EX53+(1-EXP(-LN(2)/2))/(LN(2)/2)*ER54*EU54*VLOOKUP('Données projet'!$B$15,Paramètres!$A$1:$I$89,3,0)*0.475*44/12</f>
        <v>1.0295705817509732E-2</v>
      </c>
      <c r="EY54" s="24">
        <f t="shared" si="21"/>
        <v>5.1109576572210003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10.199999999999999</v>
      </c>
      <c r="FE54" s="13">
        <f>IF('Données projet'!$A$218&gt;35,FE53+FD54-FM53,IF(A54&lt;'Données projet'!$A$218,$FB$205^A54,IF(A54='Données projet'!$A$218,'Données projet'!$B$218,FE53+FD54-FM53)))</f>
        <v>213.20000000000002</v>
      </c>
      <c r="FF54" s="18">
        <f>FE54*VLOOKUP('Données projet'!$B$16,Paramètres!$A$1:$I$89,3,0)*VLOOKUP('Données projet'!$B$16,Paramètres!$A$1:$I$89,5,0)</f>
        <v>206.20704000000001</v>
      </c>
      <c r="FG54" s="14">
        <f t="shared" si="47"/>
        <v>51.105851308113081</v>
      </c>
      <c r="FH54" s="22">
        <f t="shared" si="22"/>
        <v>448.15328569496359</v>
      </c>
      <c r="FI54" s="62">
        <f t="shared" si="23"/>
        <v>741.4866190282969</v>
      </c>
      <c r="FJ54" s="62">
        <f ca="1">AVERAGE(OFFSET($FI$3,0,0,'Données projet'!$E$16+1,1))-AVERAGE(OFFSET($H$3,0,0,'Données projet'!$E$16+1,1))</f>
        <v>466.4945858005575</v>
      </c>
      <c r="FK54" s="62">
        <f t="shared" si="48"/>
        <v>294.45557293177131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2.0881998374966782E-2</v>
      </c>
      <c r="FT54" s="24">
        <f t="shared" si="24"/>
        <v>2.0881998374966782E-2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10.199999999999999</v>
      </c>
      <c r="FZ54" s="13">
        <f>IF('Données projet'!$A$244&gt;35,FZ53+FY54-GH53,IF(A54&lt;'Données projet'!$A$244,$FW$205^A54,IF(A54='Données projet'!$A$244,'Données projet'!$B$244,FZ53+FY54-GH53)))</f>
        <v>213.20000000000002</v>
      </c>
      <c r="GA54" s="18">
        <f>FZ54*VLOOKUP('Données projet'!$B$17,Paramètres!$A$1:$I$89,3,0)*VLOOKUP('Données projet'!$B$17,Paramètres!$A$1:$I$89,5,0)</f>
        <v>202.88112000000004</v>
      </c>
      <c r="GB54" s="14">
        <f t="shared" si="49"/>
        <v>50.376822658563356</v>
      </c>
      <c r="GC54" s="22">
        <f t="shared" si="25"/>
        <v>441.09091679699787</v>
      </c>
      <c r="GD54" s="62">
        <f t="shared" si="26"/>
        <v>734.42425013033119</v>
      </c>
      <c r="GE54" s="62">
        <f ca="1">AVERAGE(OFFSET($GD$3,0,0,'Données projet'!$E$17+1,1))-AVERAGE(OFFSET($H$3,0,0,'Données projet'!$E$17+1,1))</f>
        <v>459.64120566196812</v>
      </c>
      <c r="GF54" s="62">
        <f t="shared" si="50"/>
        <v>290.39826583283588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2.8421709430404007E-14</v>
      </c>
      <c r="O55" s="14">
        <f>N55*VLOOKUP('Données projet'!$B$9,Paramètres!$A$1:$I$89,3,0)*VLOOKUP('Données projet'!$B$9,Paramètres!$A$1:$I$89,5,0)</f>
        <v>1.5518253349000589E-14</v>
      </c>
      <c r="P55" s="14">
        <f t="shared" si="33"/>
        <v>2.8958815659671149E-13</v>
      </c>
      <c r="Q55" s="22">
        <f t="shared" si="53"/>
        <v>5.3139366398878183E-13</v>
      </c>
      <c r="R55" s="62">
        <f t="shared" si="0"/>
        <v>293.33333333333383</v>
      </c>
      <c r="S55" s="62">
        <f ca="1">AVERAGE(OFFSET($R$3,0,0,'Données projet'!$E$9+1,1))-AVERAGE(OFFSET($H$3,0,0,'Données projet'!$E$9+1,1))</f>
        <v>170.27677128684815</v>
      </c>
      <c r="T55" s="62">
        <f t="shared" si="34"/>
        <v>243.47439640666289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4.486845221611178</v>
      </c>
      <c r="AB55" s="23">
        <f>EXP(-LN(2)/2)*AB54+(1-EXP(-LN(2)/2))/(LN(2)/2)*V55*Y55*VLOOKUP('Données projet'!$B$9,Paramètres!$A$1:$I$89,3,0)*0.475*44/12</f>
        <v>3.7174747481483459E-3</v>
      </c>
      <c r="AC55" s="24">
        <f t="shared" si="3"/>
        <v>4.4905626963593264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6.8</v>
      </c>
      <c r="AI55" s="14">
        <f>IF('Données projet'!$A$62&gt;35,AI54+AH55-AQ54,IF(A55&lt;'Données projet'!$A$62,$AF$205^A55,IF(A55='Données projet'!$A$62,'Données projet'!$B$62,AI54+AH55-AQ54)))</f>
        <v>194.6</v>
      </c>
      <c r="AJ55" s="14">
        <f>AI55*VLOOKUP('Données projet'!$B$10,Paramètres!$A$1:$I$89,3,0)*VLOOKUP('Données projet'!$B$10,Paramètres!$A$1:$I$89,5,0)</f>
        <v>170.00256000000002</v>
      </c>
      <c r="AK55" s="14">
        <f t="shared" si="35"/>
        <v>43.090596939649579</v>
      </c>
      <c r="AL55" s="22">
        <f t="shared" si="4"/>
        <v>371.1372483365563</v>
      </c>
      <c r="AM55" s="62">
        <f t="shared" si="5"/>
        <v>664.47058166988961</v>
      </c>
      <c r="AN55" s="62">
        <f ca="1">AVERAGE(OFFSET($AM$3,0,0,'Données projet'!$E$10+1,1))-AVERAGE(OFFSET($H$3,0,0,'Données projet'!$E$10+1,1))</f>
        <v>327.826081588335</v>
      </c>
      <c r="AO55" s="62">
        <f t="shared" si="36"/>
        <v>348.84706693879735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8.609263612091155</v>
      </c>
      <c r="AW55" s="23">
        <f>EXP(-LN(2)/2)*AW54+(1-EXP(-LN(2)/2))/(LN(2)/2)*AQ55*AT55*VLOOKUP('Données projet'!$B$10,Paramètres!$A$1:$I$89,3,0)*0.475*44/12</f>
        <v>7.2728391726371812E-3</v>
      </c>
      <c r="AX55" s="23">
        <f t="shared" si="6"/>
        <v>8.6165364512637925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8.4</v>
      </c>
      <c r="BD55" s="13">
        <f>IF('Données projet'!$A$88&gt;35,BD54+BC55-BL54,IF(A55&lt;'Données projet'!$A$88,$BA$205^A55,IF(A55='Données projet'!$A$88,'Données projet'!$B$88,BD54+BC55-BL54)))</f>
        <v>298.7999999999999</v>
      </c>
      <c r="BE55" s="14">
        <f>BD55*VLOOKUP('Données projet'!$B$11,Paramètres!$A$1:$I$89,3,0)*VLOOKUP('Données projet'!$B$11,Paramètres!$A$1:$I$89,5,0)</f>
        <v>219.08015999999992</v>
      </c>
      <c r="BF55" s="14">
        <f t="shared" si="37"/>
        <v>53.914914316401685</v>
      </c>
      <c r="BG55" s="22">
        <f t="shared" si="7"/>
        <v>475.46642110106609</v>
      </c>
      <c r="BH55" s="62">
        <f t="shared" si="8"/>
        <v>768.79975443439935</v>
      </c>
      <c r="BI55" s="62">
        <f ca="1">AVERAGE(OFFSET($BH$3,0,0,'Données projet'!$E$11+1,1))-AVERAGE(OFFSET($H$3,0,0,'Données projet'!$E$11+1,1))</f>
        <v>376.5422416541544</v>
      </c>
      <c r="BJ55" s="62">
        <f t="shared" si="38"/>
        <v>365.76175372075869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15.9884761902831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15.9884761902831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655.56</v>
      </c>
      <c r="BW55" s="13">
        <f>VLOOKUP(A55,'Données projet'!$A$113:$I$133,9,0)</f>
        <v>25.71999999999997</v>
      </c>
      <c r="BX55" s="13">
        <f t="array" ref="BX55">INDEX(BW:BW,MIN(IF(ISNUMBER(BW55:BW251),ROW(BW55:BW251),"")))</f>
        <v>25.71999999999997</v>
      </c>
      <c r="BY55" s="13">
        <f>IF('Données projet'!$A$114&gt;35,BY54+BX55-CG54,IF(A55&lt;'Données projet'!$A$114,$BV$205^A55,IF(A55='Données projet'!$A$114,'Données projet'!$B$114,BY54+BX55-CG54)))</f>
        <v>655.56</v>
      </c>
      <c r="BZ55" s="14">
        <f>BY55*VLOOKUP('Données projet'!$B$12,Paramètres!$A$1:$I$89,3,0)*VLOOKUP('Données projet'!$B$12,Paramètres!$A$1:$I$89,5,0)</f>
        <v>366.45803999999998</v>
      </c>
      <c r="CA55" s="14">
        <f t="shared" si="39"/>
        <v>84.942276491660508</v>
      </c>
      <c r="CB55" s="22">
        <f t="shared" si="10"/>
        <v>786.18888455630861</v>
      </c>
      <c r="CC55" s="62">
        <f t="shared" si="11"/>
        <v>1079.522217889642</v>
      </c>
      <c r="CD55" s="62">
        <f ca="1">AVERAGE(OFFSET($CC$3,0,0,'Données projet'!$E$12+1,1))-AVERAGE(OFFSET($H$3,0,0,'Données projet'!$E$12+1,1))</f>
        <v>405.09126081846171</v>
      </c>
      <c r="CE55" s="62">
        <f t="shared" si="40"/>
        <v>534.22295841722166</v>
      </c>
      <c r="CF55" s="16">
        <f>IF(ISNA(VLOOKUP(A55,'Données projet'!$A$113:$I$133,3,0)),0,VLOOKUP(A55,'Données projet'!$A$113:$I$133,3,0))</f>
        <v>19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6.3715279670722209</v>
      </c>
      <c r="CL55" s="23">
        <f>EXP(-LN(2)/25)*CL54+(1-EXP(-LN(2)/25))/(LN(2)/25)*Calculateur!CG55*Calculateur!CI55*VLOOKUP('Données projet'!$B$12,Paramètres!$A$1:$I$89,3,0)*0.475*44/12</f>
        <v>7.6182103608963736</v>
      </c>
      <c r="CM55" s="23">
        <f>EXP(-LN(2)/2)*CM54+(1-EXP(-LN(2)/2))/(LN(2)/2)*CG55*CJ55*VLOOKUP('Données projet'!$B$12,Paramètres!$A$1:$I$89,3,0)*0.475*44/12</f>
        <v>7.7620707252569455E-4</v>
      </c>
      <c r="CN55" s="24">
        <f t="shared" si="12"/>
        <v>13.990514535041122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>
        <f>CT55*VLOOKUP('Données projet'!$B$13,Paramètres!$A$1:$I$89,3,0)*VLOOKUP('Données projet'!$B$13,Paramètres!$A$1:$I$89,5,0)</f>
        <v>0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244.82163392718377</v>
      </c>
      <c r="CZ55" s="62">
        <f t="shared" si="42"/>
        <v>342.30266518164211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3.8218376279770983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3.8218376279770983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6.2</v>
      </c>
      <c r="DO55" s="13">
        <f>IF('Données projet'!$A$166&gt;35,DO54+DN55-DW54,IF(A55&lt;'Données projet'!$A$166,$DL$205^A55,IF(A55='Données projet'!$A$166,'Données projet'!$B$166,DO54+DN55-DW54)))</f>
        <v>213.39999999999998</v>
      </c>
      <c r="DP55" s="18">
        <f>DO55*VLOOKUP('Données projet'!$B$14,Paramètres!$A$1:$I$89,3,0)*VLOOKUP('Données projet'!$B$14,Paramètres!$A$1:$I$89,5,0)</f>
        <v>169.78103999999999</v>
      </c>
      <c r="DQ55" s="14">
        <f t="shared" si="43"/>
        <v>43.040980151296445</v>
      </c>
      <c r="DR55" s="22">
        <f t="shared" si="16"/>
        <v>370.6650184301746</v>
      </c>
      <c r="DS55" s="62">
        <f t="shared" si="17"/>
        <v>663.99835176350791</v>
      </c>
      <c r="DT55" s="62">
        <f ca="1">AVERAGE(OFFSET($DS$3,0,0,'Données projet'!$E$14+1,1))-AVERAGE(OFFSET($H$3,0,0,'Données projet'!$E$14+1,1))</f>
        <v>298.89893065707554</v>
      </c>
      <c r="DU55" s="62">
        <f t="shared" si="44"/>
        <v>294.28794439094878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10.199999999999999</v>
      </c>
      <c r="EJ55" s="13">
        <f>IF('Données projet'!$A$192&gt;35,EJ54+EI55-ER54,IF(A55&lt;'Données projet'!$A$192,$EG$205^A55,IF(A55='Données projet'!$A$192,'Données projet'!$B$192,EJ54+EI55-ER54)))</f>
        <v>223.4</v>
      </c>
      <c r="EK55" s="18">
        <f>EJ55*VLOOKUP('Données projet'!$B$15,Paramètres!$A$1:$I$89,3,0)*VLOOKUP('Données projet'!$B$15,Paramètres!$A$1:$I$89,5,0)</f>
        <v>202.13232000000002</v>
      </c>
      <c r="EL55" s="14">
        <f t="shared" si="45"/>
        <v>50.212497488959627</v>
      </c>
      <c r="EM55" s="22">
        <f t="shared" si="19"/>
        <v>439.50055712660469</v>
      </c>
      <c r="EN55" s="62">
        <f t="shared" si="20"/>
        <v>732.83389045993795</v>
      </c>
      <c r="EO55" s="62">
        <f ca="1">AVERAGE(OFFSET($EN$3,0,0,'Données projet'!$E$15+1,1))-AVERAGE(OFFSET($H$3,0,0,'Données projet'!$E$15+1,1))</f>
        <v>439.06700232017681</v>
      </c>
      <c r="EP55" s="62">
        <f t="shared" si="46"/>
        <v>278.21741231699929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4.9611840821102078</v>
      </c>
      <c r="EX55" s="23">
        <f>EXP(-LN(2)/2)*EX54+(1-EXP(-LN(2)/2))/(LN(2)/2)*ER55*EU55*VLOOKUP('Données projet'!$B$15,Paramètres!$A$1:$I$89,3,0)*0.475*44/12</f>
        <v>7.2801634006629187E-3</v>
      </c>
      <c r="EY55" s="24">
        <f t="shared" si="21"/>
        <v>4.9684642455108703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10.199999999999999</v>
      </c>
      <c r="FE55" s="13">
        <f>IF('Données projet'!$A$218&gt;35,FE54+FD55-FM54,IF(A55&lt;'Données projet'!$A$218,$FB$205^A55,IF(A55='Données projet'!$A$218,'Données projet'!$B$218,FE54+FD55-FM54)))</f>
        <v>223.4</v>
      </c>
      <c r="FF55" s="18">
        <f>FE55*VLOOKUP('Données projet'!$B$16,Paramètres!$A$1:$I$89,3,0)*VLOOKUP('Données projet'!$B$16,Paramètres!$A$1:$I$89,5,0)</f>
        <v>216.07248000000001</v>
      </c>
      <c r="FG55" s="14">
        <f t="shared" si="47"/>
        <v>53.260365780197098</v>
      </c>
      <c r="FH55" s="22">
        <f t="shared" si="22"/>
        <v>469.08803973384329</v>
      </c>
      <c r="FI55" s="62">
        <f t="shared" si="23"/>
        <v>762.42137306717655</v>
      </c>
      <c r="FJ55" s="62">
        <f ca="1">AVERAGE(OFFSET($FI$3,0,0,'Données projet'!$E$16+1,1))-AVERAGE(OFFSET($H$3,0,0,'Données projet'!$E$16+1,1))</f>
        <v>466.4945858005575</v>
      </c>
      <c r="FK55" s="62">
        <f t="shared" si="48"/>
        <v>294.45557293177131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1.4765802655665478E-2</v>
      </c>
      <c r="FT55" s="24">
        <f t="shared" si="24"/>
        <v>1.4765802655665478E-2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10.199999999999999</v>
      </c>
      <c r="FZ55" s="13">
        <f>IF('Données projet'!$A$244&gt;35,FZ54+FY55-GH54,IF(A55&lt;'Données projet'!$A$244,$FW$205^A55,IF(A55='Données projet'!$A$244,'Données projet'!$B$244,FZ54+FY55-GH54)))</f>
        <v>223.4</v>
      </c>
      <c r="GA55" s="18">
        <f>FZ55*VLOOKUP('Données projet'!$B$17,Paramètres!$A$1:$I$89,3,0)*VLOOKUP('Données projet'!$B$17,Paramètres!$A$1:$I$89,5,0)</f>
        <v>212.58744000000002</v>
      </c>
      <c r="GB55" s="14">
        <f t="shared" si="49"/>
        <v>52.500602826535129</v>
      </c>
      <c r="GC55" s="22">
        <f t="shared" si="25"/>
        <v>461.69500792288198</v>
      </c>
      <c r="GD55" s="62">
        <f t="shared" si="26"/>
        <v>755.0283412562153</v>
      </c>
      <c r="GE55" s="62">
        <f ca="1">AVERAGE(OFFSET($GD$3,0,0,'Données projet'!$E$17+1,1))-AVERAGE(OFFSET($H$3,0,0,'Données projet'!$E$17+1,1))</f>
        <v>459.64120566196812</v>
      </c>
      <c r="GF55" s="62">
        <f t="shared" si="50"/>
        <v>290.39826583283588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2.8421709430404007E-14</v>
      </c>
      <c r="O56" s="14">
        <f>N56*VLOOKUP('Données projet'!$B$9,Paramètres!$A$1:$I$89,3,0)*VLOOKUP('Données projet'!$B$9,Paramètres!$A$1:$I$89,5,0)</f>
        <v>1.5518253349000589E-14</v>
      </c>
      <c r="P56" s="14">
        <f t="shared" si="33"/>
        <v>2.8958815659671149E-13</v>
      </c>
      <c r="Q56" s="22">
        <f t="shared" si="53"/>
        <v>5.3139366398878183E-13</v>
      </c>
      <c r="R56" s="62">
        <f t="shared" si="0"/>
        <v>293.33333333333383</v>
      </c>
      <c r="S56" s="62">
        <f ca="1">AVERAGE(OFFSET($R$3,0,0,'Données projet'!$E$9+1,1))-AVERAGE(OFFSET($H$3,0,0,'Données projet'!$E$9+1,1))</f>
        <v>170.27677128684815</v>
      </c>
      <c r="T56" s="62">
        <f t="shared" si="34"/>
        <v>243.47439640666289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4.3641522030732851</v>
      </c>
      <c r="AB56" s="23">
        <f>EXP(-LN(2)/2)*AB55+(1-EXP(-LN(2)/2))/(LN(2)/2)*V56*Y56*VLOOKUP('Données projet'!$B$9,Paramètres!$A$1:$I$89,3,0)*0.475*44/12</f>
        <v>2.6286516033054486E-3</v>
      </c>
      <c r="AC56" s="24">
        <f t="shared" si="3"/>
        <v>4.3667808546765903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6.8</v>
      </c>
      <c r="AI56" s="14">
        <f>IF('Données projet'!$A$62&gt;35,AI55+AH56-AQ55,IF(A56&lt;'Données projet'!$A$62,$AF$205^A56,IF(A56='Données projet'!$A$62,'Données projet'!$B$62,AI55+AH56-AQ55)))</f>
        <v>201.4</v>
      </c>
      <c r="AJ56" s="14">
        <f>AI56*VLOOKUP('Données projet'!$B$10,Paramètres!$A$1:$I$89,3,0)*VLOOKUP('Données projet'!$B$10,Paramètres!$A$1:$I$89,5,0)</f>
        <v>175.94304000000002</v>
      </c>
      <c r="AK56" s="14">
        <f t="shared" si="35"/>
        <v>44.418393276556458</v>
      </c>
      <c r="AL56" s="22">
        <f t="shared" si="4"/>
        <v>383.79616295666915</v>
      </c>
      <c r="AM56" s="62">
        <f t="shared" si="5"/>
        <v>677.12949629000241</v>
      </c>
      <c r="AN56" s="62">
        <f ca="1">AVERAGE(OFFSET($AM$3,0,0,'Données projet'!$E$10+1,1))-AVERAGE(OFFSET($H$3,0,0,'Données projet'!$E$10+1,1))</f>
        <v>327.826081588335</v>
      </c>
      <c r="AO56" s="62">
        <f t="shared" si="36"/>
        <v>348.84706693879735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8.3738428458770251</v>
      </c>
      <c r="AW56" s="23">
        <f>EXP(-LN(2)/2)*AW55+(1-EXP(-LN(2)/2))/(LN(2)/2)*AQ56*AT56*VLOOKUP('Données projet'!$B$10,Paramètres!$A$1:$I$89,3,0)*0.475*44/12</f>
        <v>5.1426738974509108E-3</v>
      </c>
      <c r="AX56" s="23">
        <f t="shared" si="6"/>
        <v>8.378985519774476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8.4</v>
      </c>
      <c r="BD56" s="13">
        <f>IF('Données projet'!$A$88&gt;35,BD55+BC56-BL55,IF(A56&lt;'Données projet'!$A$88,$BA$205^A56,IF(A56='Données projet'!$A$88,'Données projet'!$B$88,BD55+BC56-BL55)))</f>
        <v>307.19999999999987</v>
      </c>
      <c r="BE56" s="14">
        <f>BD56*VLOOKUP('Données projet'!$B$11,Paramètres!$A$1:$I$89,3,0)*VLOOKUP('Données projet'!$B$11,Paramètres!$A$1:$I$89,5,0)</f>
        <v>225.2390399999999</v>
      </c>
      <c r="BF56" s="14">
        <f t="shared" si="37"/>
        <v>55.252000822487368</v>
      </c>
      <c r="BG56" s="22">
        <f t="shared" si="7"/>
        <v>488.5218960991653</v>
      </c>
      <c r="BH56" s="62">
        <f t="shared" si="8"/>
        <v>781.85522943249862</v>
      </c>
      <c r="BI56" s="62">
        <f ca="1">AVERAGE(OFFSET($BH$3,0,0,'Données projet'!$E$11+1,1))-AVERAGE(OFFSET($H$3,0,0,'Données projet'!$E$11+1,1))</f>
        <v>376.5422416541544</v>
      </c>
      <c r="BJ56" s="62">
        <f t="shared" si="38"/>
        <v>365.76175372075869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15.674951924199194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15.674951924199194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26.095000000000027</v>
      </c>
      <c r="BY56" s="13">
        <f>IF('Données projet'!$A$114&gt;35,BY55+BX56-CG55,IF(A56&lt;'Données projet'!$A$114,$BV$205^A56,IF(A56='Données projet'!$A$114,'Données projet'!$B$114,BY55+BX56-CG55)))</f>
        <v>681.65499999999997</v>
      </c>
      <c r="BZ56" s="14">
        <f>BY56*VLOOKUP('Données projet'!$B$12,Paramètres!$A$1:$I$89,3,0)*VLOOKUP('Données projet'!$B$12,Paramètres!$A$1:$I$89,5,0)</f>
        <v>381.04514499999999</v>
      </c>
      <c r="CA56" s="14">
        <f t="shared" si="39"/>
        <v>87.92306934491728</v>
      </c>
      <c r="CB56" s="22">
        <f t="shared" si="10"/>
        <v>816.78630665073081</v>
      </c>
      <c r="CC56" s="62">
        <f t="shared" si="11"/>
        <v>1110.1196399840642</v>
      </c>
      <c r="CD56" s="62">
        <f ca="1">AVERAGE(OFFSET($CC$3,0,0,'Données projet'!$E$12+1,1))-AVERAGE(OFFSET($H$3,0,0,'Données projet'!$E$12+1,1))</f>
        <v>405.09126081846171</v>
      </c>
      <c r="CE56" s="62">
        <f t="shared" si="40"/>
        <v>534.22295841722166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6.2465861898862594</v>
      </c>
      <c r="CL56" s="23">
        <f>EXP(-LN(2)/25)*CL55+(1-EXP(-LN(2)/25))/(LN(2)/25)*Calculateur!CG56*Calculateur!CI56*VLOOKUP('Données projet'!$B$12,Paramètres!$A$1:$I$89,3,0)*0.475*44/12</f>
        <v>7.4098899979533908</v>
      </c>
      <c r="CM56" s="23">
        <f>EXP(-LN(2)/2)*CM55+(1-EXP(-LN(2)/2))/(LN(2)/2)*CG56*CJ56*VLOOKUP('Données projet'!$B$12,Paramètres!$A$1:$I$89,3,0)*0.475*44/12</f>
        <v>5.4886128458787691E-4</v>
      </c>
      <c r="CN56" s="24">
        <f t="shared" si="12"/>
        <v>13.65702504912424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>
        <f>CT56*VLOOKUP('Données projet'!$B$13,Paramètres!$A$1:$I$89,3,0)*VLOOKUP('Données projet'!$B$13,Paramètres!$A$1:$I$89,5,0)</f>
        <v>0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244.82163392718377</v>
      </c>
      <c r="CZ56" s="62">
        <f t="shared" si="42"/>
        <v>342.30266518164211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3.7468937231832444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3.7468937231832444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6.2</v>
      </c>
      <c r="DO56" s="13">
        <f>IF('Données projet'!$A$166&gt;35,DO55+DN56-DW55,IF(A56&lt;'Données projet'!$A$166,$DL$205^A56,IF(A56='Données projet'!$A$166,'Données projet'!$B$166,DO55+DN56-DW55)))</f>
        <v>219.59999999999997</v>
      </c>
      <c r="DP56" s="18">
        <f>DO56*VLOOKUP('Données projet'!$B$14,Paramètres!$A$1:$I$89,3,0)*VLOOKUP('Données projet'!$B$14,Paramètres!$A$1:$I$89,5,0)</f>
        <v>174.71375999999998</v>
      </c>
      <c r="DQ56" s="14">
        <f t="shared" si="43"/>
        <v>44.144062647515817</v>
      </c>
      <c r="DR56" s="22">
        <f t="shared" si="16"/>
        <v>381.17737444442332</v>
      </c>
      <c r="DS56" s="62">
        <f t="shared" si="17"/>
        <v>674.51070777775658</v>
      </c>
      <c r="DT56" s="62">
        <f ca="1">AVERAGE(OFFSET($DS$3,0,0,'Données projet'!$E$14+1,1))-AVERAGE(OFFSET($H$3,0,0,'Données projet'!$E$14+1,1))</f>
        <v>298.89893065707554</v>
      </c>
      <c r="DU56" s="62">
        <f t="shared" si="44"/>
        <v>294.28794439094878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10.199999999999999</v>
      </c>
      <c r="EJ56" s="13">
        <f>IF('Données projet'!$A$192&gt;35,EJ55+EI56-ER55,IF(A56&lt;'Données projet'!$A$192,$EG$205^A56,IF(A56='Données projet'!$A$192,'Données projet'!$B$192,EJ55+EI56-ER55)))</f>
        <v>233.6</v>
      </c>
      <c r="EK56" s="18">
        <f>EJ56*VLOOKUP('Données projet'!$B$15,Paramètres!$A$1:$I$89,3,0)*VLOOKUP('Données projet'!$B$15,Paramètres!$A$1:$I$89,5,0)</f>
        <v>211.36127999999999</v>
      </c>
      <c r="EL56" s="14">
        <f t="shared" si="45"/>
        <v>52.232947669705631</v>
      </c>
      <c r="EM56" s="22">
        <f t="shared" si="19"/>
        <v>459.09327985807062</v>
      </c>
      <c r="EN56" s="62">
        <f t="shared" si="20"/>
        <v>752.42661319140393</v>
      </c>
      <c r="EO56" s="62">
        <f ca="1">AVERAGE(OFFSET($EN$3,0,0,'Données projet'!$E$15+1,1))-AVERAGE(OFFSET($H$3,0,0,'Données projet'!$E$15+1,1))</f>
        <v>439.06700232017681</v>
      </c>
      <c r="EP56" s="62">
        <f t="shared" si="46"/>
        <v>278.21741231699929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4.8255202424875723</v>
      </c>
      <c r="EX56" s="23">
        <f>EXP(-LN(2)/2)*EX55+(1-EXP(-LN(2)/2))/(LN(2)/2)*ER56*EU56*VLOOKUP('Données projet'!$B$15,Paramètres!$A$1:$I$89,3,0)*0.475*44/12</f>
        <v>5.1478529087548661E-3</v>
      </c>
      <c r="EY56" s="24">
        <f t="shared" si="21"/>
        <v>4.8306680953963275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10.199999999999999</v>
      </c>
      <c r="FE56" s="13">
        <f>IF('Données projet'!$A$218&gt;35,FE55+FD56-FM55,IF(A56&lt;'Données projet'!$A$218,$FB$205^A56,IF(A56='Données projet'!$A$218,'Données projet'!$B$218,FE55+FD56-FM55)))</f>
        <v>233.6</v>
      </c>
      <c r="FF56" s="18">
        <f>FE56*VLOOKUP('Données projet'!$B$16,Paramètres!$A$1:$I$89,3,0)*VLOOKUP('Données projet'!$B$16,Paramètres!$A$1:$I$89,5,0)</f>
        <v>225.93791999999999</v>
      </c>
      <c r="FG56" s="14">
        <f t="shared" si="47"/>
        <v>55.403456067447962</v>
      </c>
      <c r="FH56" s="22">
        <f t="shared" si="22"/>
        <v>490.00289665080521</v>
      </c>
      <c r="FI56" s="62">
        <f t="shared" si="23"/>
        <v>783.33622998413853</v>
      </c>
      <c r="FJ56" s="62">
        <f ca="1">AVERAGE(OFFSET($FI$3,0,0,'Données projet'!$E$16+1,1))-AVERAGE(OFFSET($H$3,0,0,'Données projet'!$E$16+1,1))</f>
        <v>466.4945858005575</v>
      </c>
      <c r="FK56" s="62">
        <f t="shared" si="48"/>
        <v>294.45557293177131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1.0440999187483393E-2</v>
      </c>
      <c r="FT56" s="24">
        <f t="shared" si="24"/>
        <v>1.0440999187483393E-2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10.199999999999999</v>
      </c>
      <c r="FZ56" s="13">
        <f>IF('Données projet'!$A$244&gt;35,FZ55+FY56-GH55,IF(A56&lt;'Données projet'!$A$244,$FW$205^A56,IF(A56='Données projet'!$A$244,'Données projet'!$B$244,FZ55+FY56-GH55)))</f>
        <v>233.6</v>
      </c>
      <c r="GA56" s="18">
        <f>FZ56*VLOOKUP('Données projet'!$B$17,Paramètres!$A$1:$I$89,3,0)*VLOOKUP('Données projet'!$B$17,Paramètres!$A$1:$I$89,5,0)</f>
        <v>222.29375999999999</v>
      </c>
      <c r="GB56" s="14">
        <f t="shared" si="49"/>
        <v>54.613121776493159</v>
      </c>
      <c r="GC56" s="22">
        <f t="shared" si="25"/>
        <v>482.27948576072555</v>
      </c>
      <c r="GD56" s="62">
        <f t="shared" si="26"/>
        <v>775.61281909405886</v>
      </c>
      <c r="GE56" s="62">
        <f ca="1">AVERAGE(OFFSET($GD$3,0,0,'Données projet'!$E$17+1,1))-AVERAGE(OFFSET($H$3,0,0,'Données projet'!$E$17+1,1))</f>
        <v>459.64120566196812</v>
      </c>
      <c r="GF56" s="62">
        <f t="shared" si="50"/>
        <v>290.39826583283588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2.8421709430404007E-14</v>
      </c>
      <c r="O57" s="14">
        <f>N57*VLOOKUP('Données projet'!$B$9,Paramètres!$A$1:$I$89,3,0)*VLOOKUP('Données projet'!$B$9,Paramètres!$A$1:$I$89,5,0)</f>
        <v>1.5518253349000589E-14</v>
      </c>
      <c r="P57" s="14">
        <f t="shared" si="33"/>
        <v>2.8958815659671149E-13</v>
      </c>
      <c r="Q57" s="22">
        <f t="shared" si="53"/>
        <v>5.3139366398878183E-13</v>
      </c>
      <c r="R57" s="62">
        <f t="shared" si="0"/>
        <v>293.33333333333383</v>
      </c>
      <c r="S57" s="62">
        <f ca="1">AVERAGE(OFFSET($R$3,0,0,'Données projet'!$E$9+1,1))-AVERAGE(OFFSET($H$3,0,0,'Données projet'!$E$9+1,1))</f>
        <v>170.27677128684815</v>
      </c>
      <c r="T57" s="62">
        <f t="shared" si="34"/>
        <v>243.47439640666289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4.2448142315794559</v>
      </c>
      <c r="AB57" s="23">
        <f>EXP(-LN(2)/2)*AB56+(1-EXP(-LN(2)/2))/(LN(2)/2)*V57*Y57*VLOOKUP('Données projet'!$B$9,Paramètres!$A$1:$I$89,3,0)*0.475*44/12</f>
        <v>1.8587373740741734E-3</v>
      </c>
      <c r="AC57" s="24">
        <f t="shared" si="3"/>
        <v>4.2466729689535301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6.8</v>
      </c>
      <c r="AI57" s="14">
        <f>IF('Données projet'!$A$62&gt;35,AI56+AH57-AQ56,IF(A57&lt;'Données projet'!$A$62,$AF$205^A57,IF(A57='Données projet'!$A$62,'Données projet'!$B$62,AI56+AH57-AQ56)))</f>
        <v>208.20000000000002</v>
      </c>
      <c r="AJ57" s="14">
        <f>AI57*VLOOKUP('Données projet'!$B$10,Paramètres!$A$1:$I$89,3,0)*VLOOKUP('Données projet'!$B$10,Paramètres!$A$1:$I$89,5,0)</f>
        <v>181.88352000000006</v>
      </c>
      <c r="AK57" s="14">
        <f t="shared" si="35"/>
        <v>45.74098045051349</v>
      </c>
      <c r="AL57" s="22">
        <f t="shared" si="4"/>
        <v>396.44600495131112</v>
      </c>
      <c r="AM57" s="62">
        <f t="shared" si="5"/>
        <v>689.77933828464438</v>
      </c>
      <c r="AN57" s="62">
        <f ca="1">AVERAGE(OFFSET($AM$3,0,0,'Données projet'!$E$10+1,1))-AVERAGE(OFFSET($H$3,0,0,'Données projet'!$E$10+1,1))</f>
        <v>327.826081588335</v>
      </c>
      <c r="AO57" s="62">
        <f t="shared" si="36"/>
        <v>348.84706693879735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8.1448596728952616</v>
      </c>
      <c r="AW57" s="23">
        <f>EXP(-LN(2)/2)*AW56+(1-EXP(-LN(2)/2))/(LN(2)/2)*AQ57*AT57*VLOOKUP('Données projet'!$B$10,Paramètres!$A$1:$I$89,3,0)*0.475*44/12</f>
        <v>3.636419586318591E-3</v>
      </c>
      <c r="AX57" s="23">
        <f t="shared" si="6"/>
        <v>8.1484960924815795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8.4</v>
      </c>
      <c r="BD57" s="13">
        <f>IF('Données projet'!$A$88&gt;35,BD56+BC57-BL56,IF(A57&lt;'Données projet'!$A$88,$BA$205^A57,IF(A57='Données projet'!$A$88,'Données projet'!$B$88,BD56+BC57-BL56)))</f>
        <v>315.59999999999985</v>
      </c>
      <c r="BE57" s="14">
        <f>BD57*VLOOKUP('Données projet'!$B$11,Paramètres!$A$1:$I$89,3,0)*VLOOKUP('Données projet'!$B$11,Paramètres!$A$1:$I$89,5,0)</f>
        <v>231.39791999999986</v>
      </c>
      <c r="BF57" s="14">
        <f t="shared" si="37"/>
        <v>56.584837838715806</v>
      </c>
      <c r="BG57" s="22">
        <f t="shared" si="7"/>
        <v>501.5699699024297</v>
      </c>
      <c r="BH57" s="62">
        <f t="shared" si="8"/>
        <v>794.90330323576302</v>
      </c>
      <c r="BI57" s="62">
        <f ca="1">AVERAGE(OFFSET($BH$3,0,0,'Données projet'!$E$11+1,1))-AVERAGE(OFFSET($H$3,0,0,'Données projet'!$E$11+1,1))</f>
        <v>376.5422416541544</v>
      </c>
      <c r="BJ57" s="62">
        <f t="shared" si="38"/>
        <v>365.76175372075869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15.367575677742273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15.367575677742273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>
        <f>VLOOKUP(A57,'Données projet'!$A$113:$I$133,2,0)</f>
        <v>707.75</v>
      </c>
      <c r="BW57" s="13">
        <f>VLOOKUP(A57,'Données projet'!$A$113:$I$133,9,0)</f>
        <v>26.095000000000027</v>
      </c>
      <c r="BX57" s="13">
        <f t="array" ref="BX57">INDEX(BW:BW,MIN(IF(ISNUMBER(BW57:BW253),ROW(BW57:BW253),"")))</f>
        <v>26.095000000000027</v>
      </c>
      <c r="BY57" s="13">
        <f>IF('Données projet'!$A$114&gt;35,BY56+BX57-CG56,IF(A57&lt;'Données projet'!$A$114,$BV$205^A57,IF(A57='Données projet'!$A$114,'Données projet'!$B$114,BY56+BX57-CG56)))</f>
        <v>707.75</v>
      </c>
      <c r="BZ57" s="14">
        <f>BY57*VLOOKUP('Données projet'!$B$12,Paramètres!$A$1:$I$89,3,0)*VLOOKUP('Données projet'!$B$12,Paramètres!$A$1:$I$89,5,0)</f>
        <v>395.63225</v>
      </c>
      <c r="CA57" s="14">
        <f t="shared" si="39"/>
        <v>90.890605900198707</v>
      </c>
      <c r="CB57" s="22">
        <f t="shared" si="10"/>
        <v>847.360640692846</v>
      </c>
      <c r="CC57" s="62">
        <f t="shared" si="11"/>
        <v>1140.6939740261794</v>
      </c>
      <c r="CD57" s="62">
        <f ca="1">AVERAGE(OFFSET($CC$3,0,0,'Données projet'!$E$12+1,1))-AVERAGE(OFFSET($H$3,0,0,'Données projet'!$E$12+1,1))</f>
        <v>405.09126081846171</v>
      </c>
      <c r="CE57" s="62">
        <f t="shared" si="40"/>
        <v>534.22295841722166</v>
      </c>
      <c r="CF57" s="16">
        <f>IF(ISNA(VLOOKUP(A57,'Données projet'!$A$113:$I$133,3,0)),0,VLOOKUP(A57,'Données projet'!$A$113:$I$133,3,0))</f>
        <v>20</v>
      </c>
      <c r="CG57" s="16">
        <f>IF(ISNA(VLOOKUP(A57,'Données projet'!$A$113:$I$133,4,0)),0,VLOOKUP(A57,'Données projet'!$A$113:$I$133,4,0))</f>
        <v>707.75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6.1240944447439549</v>
      </c>
      <c r="CL57" s="23">
        <f>EXP(-LN(2)/25)*CL56+(1-EXP(-LN(2)/25))/(LN(2)/25)*Calculateur!CG57*Calculateur!CI57*VLOOKUP('Données projet'!$B$12,Paramètres!$A$1:$I$89,3,0)*0.475*44/12</f>
        <v>7.207266166290176</v>
      </c>
      <c r="CM57" s="23">
        <f>EXP(-LN(2)/2)*CM56+(1-EXP(-LN(2)/2))/(LN(2)/2)*CG57*CJ57*VLOOKUP('Données projet'!$B$12,Paramètres!$A$1:$I$89,3,0)*0.475*44/12</f>
        <v>3.8810353626284727E-4</v>
      </c>
      <c r="CN57" s="24">
        <f t="shared" si="12"/>
        <v>13.331748714570395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>
        <f>CT57*VLOOKUP('Données projet'!$B$13,Paramètres!$A$1:$I$89,3,0)*VLOOKUP('Données projet'!$B$13,Paramètres!$A$1:$I$89,5,0)</f>
        <v>0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244.82163392718377</v>
      </c>
      <c r="CZ57" s="62">
        <f t="shared" si="42"/>
        <v>342.30266518164211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3.6734194226511296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3.6734194226511296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6.2</v>
      </c>
      <c r="DO57" s="13">
        <f>IF('Données projet'!$A$166&gt;35,DO56+DN57-DW56,IF(A57&lt;'Données projet'!$A$166,$DL$205^A57,IF(A57='Données projet'!$A$166,'Données projet'!$B$166,DO56+DN57-DW56)))</f>
        <v>225.79999999999995</v>
      </c>
      <c r="DP57" s="18">
        <f>DO57*VLOOKUP('Données projet'!$B$14,Paramètres!$A$1:$I$89,3,0)*VLOOKUP('Données projet'!$B$14,Paramètres!$A$1:$I$89,5,0)</f>
        <v>179.64647999999997</v>
      </c>
      <c r="DQ57" s="14">
        <f t="shared" si="43"/>
        <v>45.24352548294069</v>
      </c>
      <c r="DR57" s="22">
        <f t="shared" si="16"/>
        <v>391.68342621612163</v>
      </c>
      <c r="DS57" s="62">
        <f t="shared" si="17"/>
        <v>685.01675954945495</v>
      </c>
      <c r="DT57" s="62">
        <f ca="1">AVERAGE(OFFSET($DS$3,0,0,'Données projet'!$E$14+1,1))-AVERAGE(OFFSET($H$3,0,0,'Données projet'!$E$14+1,1))</f>
        <v>298.89893065707554</v>
      </c>
      <c r="DU57" s="62">
        <f t="shared" si="44"/>
        <v>294.28794439094878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10.199999999999999</v>
      </c>
      <c r="EJ57" s="13">
        <f>IF('Données projet'!$A$192&gt;35,EJ56+EI57-ER56,IF(A57&lt;'Données projet'!$A$192,$EG$205^A57,IF(A57='Données projet'!$A$192,'Données projet'!$B$192,EJ56+EI57-ER56)))</f>
        <v>243.79999999999998</v>
      </c>
      <c r="EK57" s="18">
        <f>EJ57*VLOOKUP('Données projet'!$B$15,Paramètres!$A$1:$I$89,3,0)*VLOOKUP('Données projet'!$B$15,Paramètres!$A$1:$I$89,5,0)</f>
        <v>220.59023999999997</v>
      </c>
      <c r="EL57" s="14">
        <f t="shared" si="45"/>
        <v>54.24315145708789</v>
      </c>
      <c r="EM57" s="22">
        <f t="shared" si="19"/>
        <v>478.66815678776129</v>
      </c>
      <c r="EN57" s="62">
        <f t="shared" si="20"/>
        <v>772.00149012109455</v>
      </c>
      <c r="EO57" s="62">
        <f ca="1">AVERAGE(OFFSET($EN$3,0,0,'Données projet'!$E$15+1,1))-AVERAGE(OFFSET($H$3,0,0,'Données projet'!$E$15+1,1))</f>
        <v>439.06700232017681</v>
      </c>
      <c r="EP57" s="62">
        <f t="shared" si="46"/>
        <v>278.21741231699929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4.6935661376936686</v>
      </c>
      <c r="EX57" s="23">
        <f>EXP(-LN(2)/2)*EX56+(1-EXP(-LN(2)/2))/(LN(2)/2)*ER57*EU57*VLOOKUP('Données projet'!$B$15,Paramètres!$A$1:$I$89,3,0)*0.475*44/12</f>
        <v>3.6400817003314594E-3</v>
      </c>
      <c r="EY57" s="24">
        <f t="shared" si="21"/>
        <v>4.6972062193940003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10.199999999999999</v>
      </c>
      <c r="FE57" s="13">
        <f>IF('Données projet'!$A$218&gt;35,FE56+FD57-FM56,IF(A57&lt;'Données projet'!$A$218,$FB$205^A57,IF(A57='Données projet'!$A$218,'Données projet'!$B$218,FE56+FD57-FM56)))</f>
        <v>243.79999999999998</v>
      </c>
      <c r="FF57" s="18">
        <f>FE57*VLOOKUP('Données projet'!$B$16,Paramètres!$A$1:$I$89,3,0)*VLOOKUP('Données projet'!$B$16,Paramètres!$A$1:$I$89,5,0)</f>
        <v>235.80335999999997</v>
      </c>
      <c r="FG57" s="14">
        <f t="shared" si="47"/>
        <v>57.53567801144218</v>
      </c>
      <c r="FH57" s="22">
        <f t="shared" si="22"/>
        <v>510.89882453659499</v>
      </c>
      <c r="FI57" s="62">
        <f t="shared" si="23"/>
        <v>804.2321578699283</v>
      </c>
      <c r="FJ57" s="62">
        <f ca="1">AVERAGE(OFFSET($FI$3,0,0,'Données projet'!$E$16+1,1))-AVERAGE(OFFSET($H$3,0,0,'Données projet'!$E$16+1,1))</f>
        <v>466.4945858005575</v>
      </c>
      <c r="FK57" s="62">
        <f t="shared" si="48"/>
        <v>294.45557293177131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7.3829013278327409E-3</v>
      </c>
      <c r="FT57" s="24">
        <f t="shared" si="24"/>
        <v>7.3829013278327409E-3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10.199999999999999</v>
      </c>
      <c r="FZ57" s="13">
        <f>IF('Données projet'!$A$244&gt;35,FZ56+FY57-GH56,IF(A57&lt;'Données projet'!$A$244,$FW$205^A57,IF(A57='Données projet'!$A$244,'Données projet'!$B$244,FZ56+FY57-GH56)))</f>
        <v>243.79999999999998</v>
      </c>
      <c r="GA57" s="18">
        <f>FZ57*VLOOKUP('Données projet'!$B$17,Paramètres!$A$1:$I$89,3,0)*VLOOKUP('Données projet'!$B$17,Paramètres!$A$1:$I$89,5,0)</f>
        <v>232.00008</v>
      </c>
      <c r="GB57" s="14">
        <f t="shared" si="49"/>
        <v>56.714927420893837</v>
      </c>
      <c r="GC57" s="22">
        <f t="shared" si="25"/>
        <v>502.84530459139</v>
      </c>
      <c r="GD57" s="62">
        <f t="shared" si="26"/>
        <v>796.17863792472326</v>
      </c>
      <c r="GE57" s="62">
        <f ca="1">AVERAGE(OFFSET($GD$3,0,0,'Données projet'!$E$17+1,1))-AVERAGE(OFFSET($H$3,0,0,'Données projet'!$E$17+1,1))</f>
        <v>459.64120566196812</v>
      </c>
      <c r="GF57" s="62">
        <f t="shared" si="50"/>
        <v>290.39826583283588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2.8421709430404007E-14</v>
      </c>
      <c r="O58" s="14">
        <f>N58*VLOOKUP('Données projet'!$B$9,Paramètres!$A$1:$I$89,3,0)*VLOOKUP('Données projet'!$B$9,Paramètres!$A$1:$I$89,5,0)</f>
        <v>1.5518253349000589E-14</v>
      </c>
      <c r="P58" s="14">
        <f t="shared" si="33"/>
        <v>2.8958815659671149E-13</v>
      </c>
      <c r="Q58" s="22">
        <f t="shared" si="53"/>
        <v>5.3139366398878183E-13</v>
      </c>
      <c r="R58" s="62">
        <f t="shared" si="0"/>
        <v>293.33333333333383</v>
      </c>
      <c r="S58" s="62">
        <f ca="1">AVERAGE(OFFSET($R$3,0,0,'Données projet'!$E$9+1,1))-AVERAGE(OFFSET($H$3,0,0,'Données projet'!$E$9+1,1))</f>
        <v>170.27677128684815</v>
      </c>
      <c r="T58" s="62">
        <f t="shared" si="34"/>
        <v>243.47439640666289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4.1287395631918367</v>
      </c>
      <c r="AB58" s="23">
        <f>EXP(-LN(2)/2)*AB57+(1-EXP(-LN(2)/2))/(LN(2)/2)*V58*Y58*VLOOKUP('Données projet'!$B$9,Paramètres!$A$1:$I$89,3,0)*0.475*44/12</f>
        <v>1.3143258016527245E-3</v>
      </c>
      <c r="AC58" s="24">
        <f t="shared" si="3"/>
        <v>4.1300538889934897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215</v>
      </c>
      <c r="AG58" s="13">
        <f>VLOOKUP(A58,'Données projet'!$A$61:$I$81,9,0)</f>
        <v>6.8</v>
      </c>
      <c r="AH58" s="13">
        <f t="array" ref="AH58">INDEX(AG:AG,MIN(IF(ISNUMBER(AG58:AG254),ROW(AG58:AG254),"")))</f>
        <v>6.8</v>
      </c>
      <c r="AI58" s="14">
        <f>IF('Données projet'!$A$62&gt;35,AI57+AH58-AQ57,IF(A58&lt;'Données projet'!$A$62,$AF$205^A58,IF(A58='Données projet'!$A$62,'Données projet'!$B$62,AI57+AH58-AQ57)))</f>
        <v>215.00000000000003</v>
      </c>
      <c r="AJ58" s="14">
        <f>AI58*VLOOKUP('Données projet'!$B$10,Paramètres!$A$1:$I$89,3,0)*VLOOKUP('Données projet'!$B$10,Paramètres!$A$1:$I$89,5,0)</f>
        <v>187.82400000000007</v>
      </c>
      <c r="AK58" s="14">
        <f t="shared" si="35"/>
        <v>47.05854810918273</v>
      </c>
      <c r="AL58" s="22">
        <f t="shared" si="4"/>
        <v>409.08710462349336</v>
      </c>
      <c r="AM58" s="62">
        <f t="shared" si="5"/>
        <v>702.42043795682662</v>
      </c>
      <c r="AN58" s="62">
        <f ca="1">AVERAGE(OFFSET($AM$3,0,0,'Données projet'!$E$10+1,1))-AVERAGE(OFFSET($H$3,0,0,'Données projet'!$E$10+1,1))</f>
        <v>327.826081588335</v>
      </c>
      <c r="AO58" s="62">
        <f t="shared" si="36"/>
        <v>348.84706693879735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7.9221380568203861</v>
      </c>
      <c r="AW58" s="23">
        <f>EXP(-LN(2)/2)*AW57+(1-EXP(-LN(2)/2))/(LN(2)/2)*AQ58*AT58*VLOOKUP('Données projet'!$B$10,Paramètres!$A$1:$I$89,3,0)*0.475*44/12</f>
        <v>2.5713369487254559E-3</v>
      </c>
      <c r="AX58" s="23">
        <f t="shared" si="6"/>
        <v>7.9247093937691115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324</v>
      </c>
      <c r="BB58" s="13">
        <f>VLOOKUP(A58,'Données projet'!$A$87:$I$107,9,0)</f>
        <v>8.4</v>
      </c>
      <c r="BC58" s="13">
        <f t="array" ref="BC58">INDEX(BB:BB,MIN(IF(ISNUMBER(BB58:BB254),ROW(BB58:BB254),"")))</f>
        <v>8.4</v>
      </c>
      <c r="BD58" s="13">
        <f>IF('Données projet'!$A$88&gt;35,BD57+BC58-BL57,IF(A58&lt;'Données projet'!$A$88,$BA$205^A58,IF(A58='Données projet'!$A$88,'Données projet'!$B$88,BD57+BC58-BL57)))</f>
        <v>323.99999999999983</v>
      </c>
      <c r="BE58" s="14">
        <f>BD58*VLOOKUP('Données projet'!$B$11,Paramètres!$A$1:$I$89,3,0)*VLOOKUP('Données projet'!$B$11,Paramètres!$A$1:$I$89,5,0)</f>
        <v>237.55679999999987</v>
      </c>
      <c r="BF58" s="14">
        <f t="shared" si="37"/>
        <v>57.913551469467308</v>
      </c>
      <c r="BG58" s="22">
        <f t="shared" si="7"/>
        <v>514.61086214265526</v>
      </c>
      <c r="BH58" s="62">
        <f t="shared" si="8"/>
        <v>807.94419547598864</v>
      </c>
      <c r="BI58" s="62">
        <f ca="1">AVERAGE(OFFSET($BH$3,0,0,'Données projet'!$E$11+1,1))-AVERAGE(OFFSET($H$3,0,0,'Données projet'!$E$11+1,1))</f>
        <v>376.5422416541544</v>
      </c>
      <c r="BJ58" s="62">
        <f t="shared" si="38"/>
        <v>365.76175372075869</v>
      </c>
      <c r="BK58" s="16">
        <f>IF(ISNA(VLOOKUP(A58,'Données projet'!$A$87:$I$107,3,0)),0,VLOOKUP(A58,'Données projet'!$A$87:$I$107,3,0))</f>
        <v>10</v>
      </c>
      <c r="BL58" s="16">
        <f>IF(ISNA(VLOOKUP(A58,'Données projet'!$A$87:$I$107,4,0)),0,VLOOKUP(A58,'Données projet'!$A$87:$I$107,4,0))</f>
        <v>18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15.066226891997374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15.066226891997374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405.09126081846171</v>
      </c>
      <c r="CE58" s="62">
        <f t="shared" si="40"/>
        <v>534.22295841722166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6.004004688011304</v>
      </c>
      <c r="CL58" s="23">
        <f>EXP(-LN(2)/25)*CL57+(1-EXP(-LN(2)/25))/(LN(2)/25)*Calculateur!CG58*Calculateur!CI58*VLOOKUP('Données projet'!$B$12,Paramètres!$A$1:$I$89,3,0)*0.475*44/12</f>
        <v>7.0101830939593155</v>
      </c>
      <c r="CM58" s="23">
        <f>EXP(-LN(2)/2)*CM57+(1-EXP(-LN(2)/2))/(LN(2)/2)*CG58*CJ58*VLOOKUP('Données projet'!$B$12,Paramètres!$A$1:$I$89,3,0)*0.475*44/12</f>
        <v>2.7443064229393845E-4</v>
      </c>
      <c r="CN58" s="24">
        <f t="shared" si="12"/>
        <v>13.014462212612914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>
        <f>CT58*VLOOKUP('Données projet'!$B$13,Paramètres!$A$1:$I$89,3,0)*VLOOKUP('Données projet'!$B$13,Paramètres!$A$1:$I$89,5,0)</f>
        <v>0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244.82163392718377</v>
      </c>
      <c r="CZ58" s="62">
        <f t="shared" si="42"/>
        <v>342.30266518164211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3.6013859083375515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3.6013859083375515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232</v>
      </c>
      <c r="DM58" s="13">
        <f>VLOOKUP(A58,'Données projet'!$A$165:$I$185,9,0)</f>
        <v>6.2</v>
      </c>
      <c r="DN58" s="13">
        <f t="array" ref="DN58">INDEX(DM:DM,MIN(IF(ISNUMBER(DM58:DM254),ROW(DM58:DM254),"")))</f>
        <v>6.2</v>
      </c>
      <c r="DO58" s="13">
        <f>IF('Données projet'!$A$166&gt;35,DO57+DN58-DW57,IF(A58&lt;'Données projet'!$A$166,$DL$205^A58,IF(A58='Données projet'!$A$166,'Données projet'!$B$166,DO57+DN58-DW57)))</f>
        <v>231.99999999999994</v>
      </c>
      <c r="DP58" s="18">
        <f>DO58*VLOOKUP('Données projet'!$B$14,Paramètres!$A$1:$I$89,3,0)*VLOOKUP('Données projet'!$B$14,Paramètres!$A$1:$I$89,5,0)</f>
        <v>184.57919999999999</v>
      </c>
      <c r="DQ58" s="14">
        <f t="shared" si="43"/>
        <v>46.339479465836618</v>
      </c>
      <c r="DR58" s="22">
        <f t="shared" si="16"/>
        <v>402.18336673633206</v>
      </c>
      <c r="DS58" s="62">
        <f t="shared" si="17"/>
        <v>695.51670006966538</v>
      </c>
      <c r="DT58" s="62">
        <f ca="1">AVERAGE(OFFSET($DS$3,0,0,'Données projet'!$E$14+1,1))-AVERAGE(OFFSET($H$3,0,0,'Données projet'!$E$14+1,1))</f>
        <v>298.89893065707554</v>
      </c>
      <c r="DU58" s="62">
        <f t="shared" si="44"/>
        <v>294.28794439094878</v>
      </c>
      <c r="DV58" s="16">
        <f>IF(ISNA(VLOOKUP(A58,'Données projet'!$A$165:$I$185,3,0)),0,VLOOKUP(A58,'Données projet'!$A$165:$I$185,3,0))</f>
        <v>9</v>
      </c>
      <c r="DW58" s="16">
        <f>IF(ISNA(VLOOKUP(A58,'Données projet'!$A$165:$I$185,4,0)),0,VLOOKUP(A58,'Données projet'!$A$165:$I$185,4,0))</f>
        <v>13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254</v>
      </c>
      <c r="EH58" s="13">
        <f>VLOOKUP(A58,'Données projet'!$A$191:$I$211,9,0)</f>
        <v>10.199999999999999</v>
      </c>
      <c r="EI58" s="13">
        <f t="array" ref="EI58">INDEX(EH:EH,MIN(IF(ISNUMBER(EH58:EH254),ROW(EH58:EH254),"")))</f>
        <v>10.199999999999999</v>
      </c>
      <c r="EJ58" s="13">
        <f>IF('Données projet'!$A$192&gt;35,EJ57+EI58-ER57,IF(A58&lt;'Données projet'!$A$192,$EG$205^A58,IF(A58='Données projet'!$A$192,'Données projet'!$B$192,EJ57+EI58-ER57)))</f>
        <v>253.99999999999997</v>
      </c>
      <c r="EK58" s="18">
        <f>EJ58*VLOOKUP('Données projet'!$B$15,Paramètres!$A$1:$I$89,3,0)*VLOOKUP('Données projet'!$B$15,Paramètres!$A$1:$I$89,5,0)</f>
        <v>229.81919999999997</v>
      </c>
      <c r="EL58" s="14">
        <f t="shared" si="45"/>
        <v>56.243586554989342</v>
      </c>
      <c r="EM58" s="22">
        <f t="shared" si="19"/>
        <v>498.22601991660639</v>
      </c>
      <c r="EN58" s="62">
        <f t="shared" si="20"/>
        <v>791.5593532499397</v>
      </c>
      <c r="EO58" s="62">
        <f ca="1">AVERAGE(OFFSET($EN$3,0,0,'Données projet'!$E$15+1,1))-AVERAGE(OFFSET($H$3,0,0,'Données projet'!$E$15+1,1))</f>
        <v>439.06700232017681</v>
      </c>
      <c r="EP58" s="62">
        <f t="shared" si="46"/>
        <v>278.21741231699929</v>
      </c>
      <c r="EQ58" s="16">
        <f>IF(ISNA(VLOOKUP(A58,'Données projet'!$A$191:$I$211,3,0)),0,VLOOKUP(A58,'Données projet'!$A$191:$I$211,3,0))</f>
        <v>8</v>
      </c>
      <c r="ER58" s="16">
        <f>IF(ISNA(VLOOKUP(A58,'Données projet'!$A$191:$I$211,4,0)),0,VLOOKUP(A58,'Données projet'!$A$191:$I$211,4,0))</f>
        <v>28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4.5652203248345193</v>
      </c>
      <c r="EX58" s="23">
        <f>EXP(-LN(2)/2)*EX57+(1-EXP(-LN(2)/2))/(LN(2)/2)*ER58*EU58*VLOOKUP('Données projet'!$B$15,Paramètres!$A$1:$I$89,3,0)*0.475*44/12</f>
        <v>2.5739264543774331E-3</v>
      </c>
      <c r="EY58" s="24">
        <f t="shared" si="21"/>
        <v>4.5677942512888965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254</v>
      </c>
      <c r="FC58" s="13">
        <f>VLOOKUP(A58,'Données projet'!$A$217:$I$237,9,0)</f>
        <v>10.199999999999999</v>
      </c>
      <c r="FD58" s="13">
        <f t="array" ref="FD58">INDEX(FC:FC,MIN(IF(ISNUMBER(FC58:FC254),ROW(FC58:FC254),"")))</f>
        <v>10.199999999999999</v>
      </c>
      <c r="FE58" s="13">
        <f>IF('Données projet'!$A$218&gt;35,FE57+FD58-FM57,IF(A58&lt;'Données projet'!$A$218,$FB$205^A58,IF(A58='Données projet'!$A$218,'Données projet'!$B$218,FE57+FD58-FM57)))</f>
        <v>253.99999999999997</v>
      </c>
      <c r="FF58" s="18">
        <f>FE58*VLOOKUP('Données projet'!$B$16,Paramètres!$A$1:$I$89,3,0)*VLOOKUP('Données projet'!$B$16,Paramètres!$A$1:$I$89,5,0)</f>
        <v>245.6688</v>
      </c>
      <c r="FG58" s="14">
        <f t="shared" si="47"/>
        <v>59.657538312400263</v>
      </c>
      <c r="FH58" s="22">
        <f t="shared" si="22"/>
        <v>531.77670589409706</v>
      </c>
      <c r="FI58" s="62">
        <f t="shared" si="23"/>
        <v>825.11003922743043</v>
      </c>
      <c r="FJ58" s="62">
        <f ca="1">AVERAGE(OFFSET($FI$3,0,0,'Données projet'!$E$16+1,1))-AVERAGE(OFFSET($H$3,0,0,'Données projet'!$E$16+1,1))</f>
        <v>466.4945858005575</v>
      </c>
      <c r="FK58" s="62">
        <f t="shared" si="48"/>
        <v>294.45557293177131</v>
      </c>
      <c r="FL58" s="16">
        <f>IF(ISNA(VLOOKUP(A58,'Données projet'!$A$217:$I$237,3,0)),0,VLOOKUP(A58,'Données projet'!$A$217:$I$237,3,0))</f>
        <v>8</v>
      </c>
      <c r="FM58" s="16">
        <f>IF(ISNA(VLOOKUP(A58,'Données projet'!$A$217:$I$237,4,0)),0,VLOOKUP(A58,'Données projet'!$A$217:$I$237,4,0))</f>
        <v>28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5.2204995937416973E-3</v>
      </c>
      <c r="FT58" s="24">
        <f t="shared" si="24"/>
        <v>5.2204995937416973E-3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254</v>
      </c>
      <c r="FX58" s="13">
        <f>VLOOKUP(A58,'Données projet'!$A$243:$I$263,9,0)</f>
        <v>10.199999999999999</v>
      </c>
      <c r="FY58" s="13">
        <f t="array" ref="FY58">INDEX(FX:FX,MIN(IF(ISNUMBER(FX58:FX254),ROW(FX58:FX254),"")))</f>
        <v>10.199999999999999</v>
      </c>
      <c r="FZ58" s="13">
        <f>IF('Données projet'!$A$244&gt;35,FZ57+FY58-GH57,IF(A58&lt;'Données projet'!$A$244,$FW$205^A58,IF(A58='Données projet'!$A$244,'Données projet'!$B$244,FZ57+FY58-GH57)))</f>
        <v>253.99999999999997</v>
      </c>
      <c r="GA58" s="18">
        <f>FZ58*VLOOKUP('Données projet'!$B$17,Paramètres!$A$1:$I$89,3,0)*VLOOKUP('Données projet'!$B$17,Paramètres!$A$1:$I$89,5,0)</f>
        <v>241.70639999999997</v>
      </c>
      <c r="GB58" s="14">
        <f t="shared" si="49"/>
        <v>58.806519231842536</v>
      </c>
      <c r="GC58" s="22">
        <f t="shared" si="25"/>
        <v>523.39333432879232</v>
      </c>
      <c r="GD58" s="62">
        <f t="shared" si="26"/>
        <v>816.72666766212569</v>
      </c>
      <c r="GE58" s="62">
        <f ca="1">AVERAGE(OFFSET($GD$3,0,0,'Données projet'!$E$17+1,1))-AVERAGE(OFFSET($H$3,0,0,'Données projet'!$E$17+1,1))</f>
        <v>459.64120566196812</v>
      </c>
      <c r="GF58" s="62">
        <f t="shared" si="50"/>
        <v>290.39826583283588</v>
      </c>
      <c r="GG58" s="16">
        <f>IF(ISNA(VLOOKUP(A58,'Données projet'!$A$243:$I$263,3,0)),0,VLOOKUP(A58,'Données projet'!$A$243:$I$263,3,0))</f>
        <v>8</v>
      </c>
      <c r="GH58" s="16">
        <f>IF(ISNA(VLOOKUP(A58,'Données projet'!$A$243:$I$263,4,0)),0,VLOOKUP(A58,'Données projet'!$A$243:$I$263,4,0))</f>
        <v>28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2.8421709430404007E-14</v>
      </c>
      <c r="O59" s="14">
        <f>N59*VLOOKUP('Données projet'!$B$9,Paramètres!$A$1:$I$89,3,0)*VLOOKUP('Données projet'!$B$9,Paramètres!$A$1:$I$89,5,0)</f>
        <v>1.5518253349000589E-14</v>
      </c>
      <c r="P59" s="14">
        <f t="shared" si="33"/>
        <v>2.8958815659671149E-13</v>
      </c>
      <c r="Q59" s="22">
        <f t="shared" si="53"/>
        <v>5.3139366398878183E-13</v>
      </c>
      <c r="R59" s="62">
        <f t="shared" si="0"/>
        <v>293.33333333333383</v>
      </c>
      <c r="S59" s="62">
        <f ca="1">AVERAGE(OFFSET($R$3,0,0,'Données projet'!$E$9+1,1))-AVERAGE(OFFSET($H$3,0,0,'Données projet'!$E$9+1,1))</f>
        <v>170.27677128684815</v>
      </c>
      <c r="T59" s="62">
        <f t="shared" si="34"/>
        <v>243.47439640666289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4.015838962715379</v>
      </c>
      <c r="AB59" s="23">
        <f>EXP(-LN(2)/2)*AB58+(1-EXP(-LN(2)/2))/(LN(2)/2)*V59*Y59*VLOOKUP('Données projet'!$B$9,Paramètres!$A$1:$I$89,3,0)*0.475*44/12</f>
        <v>9.293686870370868E-4</v>
      </c>
      <c r="AC59" s="24">
        <f t="shared" si="3"/>
        <v>4.0167683314024165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</v>
      </c>
      <c r="AI59" s="14">
        <f>IF('Données projet'!$A$62&gt;35,AI58+AH59-AQ58,IF(A59&lt;'Données projet'!$A$62,$AF$205^A59,IF(A59='Données projet'!$A$62,'Données projet'!$B$62,AI58+AH59-AQ58)))</f>
        <v>196.00000000000003</v>
      </c>
      <c r="AJ59" s="14">
        <f>AI59*VLOOKUP('Données projet'!$B$10,Paramètres!$A$1:$I$89,3,0)*VLOOKUP('Données projet'!$B$10,Paramètres!$A$1:$I$89,5,0)</f>
        <v>171.22560000000004</v>
      </c>
      <c r="AK59" s="14">
        <f t="shared" si="35"/>
        <v>43.364402348589557</v>
      </c>
      <c r="AL59" s="22">
        <f t="shared" si="4"/>
        <v>373.74425409046017</v>
      </c>
      <c r="AM59" s="62">
        <f t="shared" si="5"/>
        <v>667.07758742379349</v>
      </c>
      <c r="AN59" s="62">
        <f ca="1">AVERAGE(OFFSET($AM$3,0,0,'Données projet'!$E$10+1,1))-AVERAGE(OFFSET($H$3,0,0,'Données projet'!$E$10+1,1))</f>
        <v>327.826081588335</v>
      </c>
      <c r="AO59" s="62">
        <f t="shared" si="36"/>
        <v>348.84706693879735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7.7055067750494981</v>
      </c>
      <c r="AW59" s="23">
        <f>EXP(-LN(2)/2)*AW58+(1-EXP(-LN(2)/2))/(LN(2)/2)*AQ59*AT59*VLOOKUP('Données projet'!$B$10,Paramètres!$A$1:$I$89,3,0)*0.475*44/12</f>
        <v>1.8182097931592957E-3</v>
      </c>
      <c r="AX59" s="23">
        <f t="shared" si="6"/>
        <v>7.707324984842657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313.39999999999981</v>
      </c>
      <c r="BE59" s="14">
        <f>BD59*VLOOKUP('Données projet'!$B$11,Paramètres!$A$1:$I$89,3,0)*VLOOKUP('Données projet'!$B$11,Paramètres!$A$1:$I$89,5,0)</f>
        <v>229.78487999999984</v>
      </c>
      <c r="BF59" s="14">
        <f t="shared" si="37"/>
        <v>56.236165024777975</v>
      </c>
      <c r="BG59" s="22">
        <f t="shared" si="7"/>
        <v>498.15332008482136</v>
      </c>
      <c r="BH59" s="62">
        <f t="shared" si="8"/>
        <v>791.48665341815467</v>
      </c>
      <c r="BI59" s="62">
        <f ca="1">AVERAGE(OFFSET($BH$3,0,0,'Données projet'!$E$11+1,1))-AVERAGE(OFFSET($H$3,0,0,'Données projet'!$E$11+1,1))</f>
        <v>376.5422416541544</v>
      </c>
      <c r="BJ59" s="62">
        <f t="shared" si="38"/>
        <v>365.76175372075869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14.770787372136322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14.770787372136322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405.09126081846171</v>
      </c>
      <c r="CE59" s="62">
        <f t="shared" si="40"/>
        <v>534.22295841722166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5.8862698181606614</v>
      </c>
      <c r="CL59" s="23">
        <f>EXP(-LN(2)/25)*CL58+(1-EXP(-LN(2)/25))/(LN(2)/25)*Calculateur!CG59*Calculateur!CI59*VLOOKUP('Données projet'!$B$12,Paramètres!$A$1:$I$89,3,0)*0.475*44/12</f>
        <v>6.8184892686054912</v>
      </c>
      <c r="CM59" s="23">
        <f>EXP(-LN(2)/2)*CM58+(1-EXP(-LN(2)/2))/(LN(2)/2)*CG59*CJ59*VLOOKUP('Données projet'!$B$12,Paramètres!$A$1:$I$89,3,0)*0.475*44/12</f>
        <v>1.9405176813142364E-4</v>
      </c>
      <c r="CN59" s="24">
        <f t="shared" si="12"/>
        <v>12.704953138534284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>
        <f>CT59*VLOOKUP('Données projet'!$B$13,Paramètres!$A$1:$I$89,3,0)*VLOOKUP('Données projet'!$B$13,Paramètres!$A$1:$I$89,5,0)</f>
        <v>0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244.82163392718377</v>
      </c>
      <c r="CZ59" s="62">
        <f t="shared" si="42"/>
        <v>342.30266518164211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3.5307649273035571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3.5307649273035571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5.2</v>
      </c>
      <c r="DO59" s="13">
        <f>IF('Données projet'!$A$166&gt;35,DO58+DN59-DW58,IF(A59&lt;'Données projet'!$A$166,$DL$205^A59,IF(A59='Données projet'!$A$166,'Données projet'!$B$166,DO58+DN59-DW58)))</f>
        <v>224.19999999999993</v>
      </c>
      <c r="DP59" s="18">
        <f>DO59*VLOOKUP('Données projet'!$B$14,Paramètres!$A$1:$I$89,3,0)*VLOOKUP('Données projet'!$B$14,Paramètres!$A$1:$I$89,5,0)</f>
        <v>178.37351999999996</v>
      </c>
      <c r="DQ59" s="14">
        <f t="shared" si="43"/>
        <v>44.960133388294842</v>
      </c>
      <c r="DR59" s="22">
        <f t="shared" si="16"/>
        <v>388.97277965128006</v>
      </c>
      <c r="DS59" s="62">
        <f t="shared" si="17"/>
        <v>682.30611298461338</v>
      </c>
      <c r="DT59" s="62">
        <f ca="1">AVERAGE(OFFSET($DS$3,0,0,'Données projet'!$E$14+1,1))-AVERAGE(OFFSET($H$3,0,0,'Données projet'!$E$14+1,1))</f>
        <v>298.89893065707554</v>
      </c>
      <c r="DU59" s="62">
        <f t="shared" si="44"/>
        <v>294.28794439094878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9.4</v>
      </c>
      <c r="EJ59" s="13">
        <f>IF('Données projet'!$A$192&gt;35,EJ58+EI59-ER58,IF(A59&lt;'Données projet'!$A$192,$EG$205^A59,IF(A59='Données projet'!$A$192,'Données projet'!$B$192,EJ58+EI59-ER58)))</f>
        <v>235.39999999999998</v>
      </c>
      <c r="EK59" s="18">
        <f>EJ59*VLOOKUP('Données projet'!$B$15,Paramètres!$A$1:$I$89,3,0)*VLOOKUP('Données projet'!$B$15,Paramètres!$A$1:$I$89,5,0)</f>
        <v>212.98991999999998</v>
      </c>
      <c r="EL59" s="14">
        <f t="shared" si="45"/>
        <v>52.588419883221171</v>
      </c>
      <c r="EM59" s="22">
        <f t="shared" si="19"/>
        <v>462.54894196327677</v>
      </c>
      <c r="EN59" s="62">
        <f t="shared" si="20"/>
        <v>755.88227529661003</v>
      </c>
      <c r="EO59" s="62">
        <f ca="1">AVERAGE(OFFSET($EN$3,0,0,'Données projet'!$E$15+1,1))-AVERAGE(OFFSET($H$3,0,0,'Données projet'!$E$15+1,1))</f>
        <v>439.06700232017681</v>
      </c>
      <c r="EP59" s="62">
        <f t="shared" si="46"/>
        <v>278.21741231699929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4.4403841349774167</v>
      </c>
      <c r="EX59" s="23">
        <f>EXP(-LN(2)/2)*EX58+(1-EXP(-LN(2)/2))/(LN(2)/2)*ER59*EU59*VLOOKUP('Données projet'!$B$15,Paramètres!$A$1:$I$89,3,0)*0.475*44/12</f>
        <v>1.8200408501657297E-3</v>
      </c>
      <c r="EY59" s="24">
        <f t="shared" si="21"/>
        <v>4.4422041758275821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9.4</v>
      </c>
      <c r="FE59" s="13">
        <f>IF('Données projet'!$A$218&gt;35,FE58+FD59-FM58,IF(A59&lt;'Données projet'!$A$218,$FB$205^A59,IF(A59='Données projet'!$A$218,'Données projet'!$B$218,FE58+FD59-FM58)))</f>
        <v>235.39999999999998</v>
      </c>
      <c r="FF59" s="18">
        <f>FE59*VLOOKUP('Données projet'!$B$16,Paramètres!$A$1:$I$89,3,0)*VLOOKUP('Données projet'!$B$16,Paramètres!$A$1:$I$89,5,0)</f>
        <v>227.67887999999996</v>
      </c>
      <c r="FG59" s="14">
        <f t="shared" si="47"/>
        <v>55.780505229774469</v>
      </c>
      <c r="FH59" s="22">
        <f t="shared" si="22"/>
        <v>493.69176260852379</v>
      </c>
      <c r="FI59" s="62">
        <f t="shared" si="23"/>
        <v>787.0250959418571</v>
      </c>
      <c r="FJ59" s="62">
        <f ca="1">AVERAGE(OFFSET($FI$3,0,0,'Données projet'!$E$16+1,1))-AVERAGE(OFFSET($H$3,0,0,'Données projet'!$E$16+1,1))</f>
        <v>466.4945858005575</v>
      </c>
      <c r="FK59" s="62">
        <f t="shared" si="48"/>
        <v>294.45557293177131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3.6914506639163709E-3</v>
      </c>
      <c r="FT59" s="24">
        <f t="shared" si="24"/>
        <v>3.6914506639163709E-3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9.4</v>
      </c>
      <c r="FZ59" s="13">
        <f>IF('Données projet'!$A$244&gt;35,FZ58+FY59-GH58,IF(A59&lt;'Données projet'!$A$244,$FW$205^A59,IF(A59='Données projet'!$A$244,'Données projet'!$B$244,FZ58+FY59-GH58)))</f>
        <v>235.39999999999998</v>
      </c>
      <c r="GA59" s="18">
        <f>FZ59*VLOOKUP('Données projet'!$B$17,Paramètres!$A$1:$I$89,3,0)*VLOOKUP('Données projet'!$B$17,Paramètres!$A$1:$I$89,5,0)</f>
        <v>224.00664</v>
      </c>
      <c r="GB59" s="14">
        <f t="shared" si="49"/>
        <v>54.984792305364024</v>
      </c>
      <c r="GC59" s="22">
        <f t="shared" si="25"/>
        <v>485.9100779318423</v>
      </c>
      <c r="GD59" s="62">
        <f t="shared" si="26"/>
        <v>779.24341126517561</v>
      </c>
      <c r="GE59" s="62">
        <f ca="1">AVERAGE(OFFSET($GD$3,0,0,'Données projet'!$E$17+1,1))-AVERAGE(OFFSET($H$3,0,0,'Données projet'!$E$17+1,1))</f>
        <v>459.64120566196812</v>
      </c>
      <c r="GF59" s="62">
        <f t="shared" si="50"/>
        <v>290.39826583283588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2.8421709430404007E-14</v>
      </c>
      <c r="O60" s="14">
        <f>N60*VLOOKUP('Données projet'!$B$9,Paramètres!$A$1:$I$89,3,0)*VLOOKUP('Données projet'!$B$9,Paramètres!$A$1:$I$89,5,0)</f>
        <v>1.5518253349000589E-14</v>
      </c>
      <c r="P60" s="14">
        <f t="shared" si="33"/>
        <v>2.8958815659671149E-13</v>
      </c>
      <c r="Q60" s="22">
        <f t="shared" si="53"/>
        <v>5.3139366398878183E-13</v>
      </c>
      <c r="R60" s="62">
        <f t="shared" si="0"/>
        <v>293.33333333333383</v>
      </c>
      <c r="S60" s="62">
        <f ca="1">AVERAGE(OFFSET($R$3,0,0,'Données projet'!$E$9+1,1))-AVERAGE(OFFSET($H$3,0,0,'Données projet'!$E$9+1,1))</f>
        <v>170.27677128684815</v>
      </c>
      <c r="T60" s="62">
        <f t="shared" si="34"/>
        <v>243.47439640666289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3.9060256350961344</v>
      </c>
      <c r="AB60" s="23">
        <f>EXP(-LN(2)/2)*AB59+(1-EXP(-LN(2)/2))/(LN(2)/2)*V60*Y60*VLOOKUP('Données projet'!$B$9,Paramètres!$A$1:$I$89,3,0)*0.475*44/12</f>
        <v>6.5716290082636238E-4</v>
      </c>
      <c r="AC60" s="24">
        <f t="shared" si="3"/>
        <v>3.9066827979969609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</v>
      </c>
      <c r="AI60" s="14">
        <f>IF('Données projet'!$A$62&gt;35,AI59+AH60-AQ59,IF(A60&lt;'Données projet'!$A$62,$AF$205^A60,IF(A60='Données projet'!$A$62,'Données projet'!$B$62,AI59+AH60-AQ59)))</f>
        <v>202.00000000000003</v>
      </c>
      <c r="AJ60" s="14">
        <f>AI60*VLOOKUP('Données projet'!$B$10,Paramètres!$A$1:$I$89,3,0)*VLOOKUP('Données projet'!$B$10,Paramètres!$A$1:$I$89,5,0)</f>
        <v>176.46720000000005</v>
      </c>
      <c r="AK60" s="14">
        <f t="shared" si="35"/>
        <v>44.535298821989393</v>
      </c>
      <c r="AL60" s="22">
        <f t="shared" si="4"/>
        <v>384.91268544829819</v>
      </c>
      <c r="AM60" s="62">
        <f t="shared" si="5"/>
        <v>678.24601878163151</v>
      </c>
      <c r="AN60" s="62">
        <f ca="1">AVERAGE(OFFSET($AM$3,0,0,'Données projet'!$E$10+1,1))-AVERAGE(OFFSET($H$3,0,0,'Données projet'!$E$10+1,1))</f>
        <v>327.826081588335</v>
      </c>
      <c r="AO60" s="62">
        <f t="shared" si="36"/>
        <v>348.84706693879735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7.4947992870707791</v>
      </c>
      <c r="AW60" s="23">
        <f>EXP(-LN(2)/2)*AW59+(1-EXP(-LN(2)/2))/(LN(2)/2)*AQ60*AT60*VLOOKUP('Données projet'!$B$10,Paramètres!$A$1:$I$89,3,0)*0.475*44/12</f>
        <v>1.2856684743627281E-3</v>
      </c>
      <c r="AX60" s="23">
        <f t="shared" si="6"/>
        <v>7.4960849555451414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320.79999999999978</v>
      </c>
      <c r="BE60" s="14">
        <f>BD60*VLOOKUP('Données projet'!$B$11,Paramètres!$A$1:$I$89,3,0)*VLOOKUP('Données projet'!$B$11,Paramètres!$A$1:$I$89,5,0)</f>
        <v>235.21055999999984</v>
      </c>
      <c r="BF60" s="14">
        <f t="shared" si="37"/>
        <v>57.407853322119394</v>
      </c>
      <c r="BG60" s="22">
        <f t="shared" si="7"/>
        <v>509.64373653602433</v>
      </c>
      <c r="BH60" s="62">
        <f t="shared" si="8"/>
        <v>802.97706986935759</v>
      </c>
      <c r="BI60" s="62">
        <f ca="1">AVERAGE(OFFSET($BH$3,0,0,'Données projet'!$E$11+1,1))-AVERAGE(OFFSET($H$3,0,0,'Données projet'!$E$11+1,1))</f>
        <v>376.5422416541544</v>
      </c>
      <c r="BJ60" s="62">
        <f t="shared" si="38"/>
        <v>365.76175372075869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14.481141241059433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14.481141241059433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405.09126081846171</v>
      </c>
      <c r="CE60" s="62">
        <f t="shared" si="40"/>
        <v>534.22295841722166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5.7708436572966102</v>
      </c>
      <c r="CL60" s="23">
        <f>EXP(-LN(2)/25)*CL59+(1-EXP(-LN(2)/25))/(LN(2)/25)*Calculateur!CG60*Calculateur!CI60*VLOOKUP('Données projet'!$B$12,Paramètres!$A$1:$I$89,3,0)*0.475*44/12</f>
        <v>6.632037320986707</v>
      </c>
      <c r="CM60" s="23">
        <f>EXP(-LN(2)/2)*CM59+(1-EXP(-LN(2)/2))/(LN(2)/2)*CG60*CJ60*VLOOKUP('Données projet'!$B$12,Paramètres!$A$1:$I$89,3,0)*0.475*44/12</f>
        <v>1.3721532114696923E-4</v>
      </c>
      <c r="CN60" s="24">
        <f t="shared" si="12"/>
        <v>12.403018193604463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>
        <f>CT60*VLOOKUP('Données projet'!$B$13,Paramètres!$A$1:$I$89,3,0)*VLOOKUP('Données projet'!$B$13,Paramètres!$A$1:$I$89,5,0)</f>
        <v>0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244.82163392718377</v>
      </c>
      <c r="CZ60" s="62">
        <f t="shared" si="42"/>
        <v>342.30266518164211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3.4615287806330941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3.4615287806330941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5.2</v>
      </c>
      <c r="DO60" s="13">
        <f>IF('Données projet'!$A$166&gt;35,DO59+DN60-DW59,IF(A60&lt;'Données projet'!$A$166,$DL$205^A60,IF(A60='Données projet'!$A$166,'Données projet'!$B$166,DO59+DN60-DW59)))</f>
        <v>229.39999999999992</v>
      </c>
      <c r="DP60" s="18">
        <f>DO60*VLOOKUP('Données projet'!$B$14,Paramètres!$A$1:$I$89,3,0)*VLOOKUP('Données projet'!$B$14,Paramètres!$A$1:$I$89,5,0)</f>
        <v>182.51063999999994</v>
      </c>
      <c r="DQ60" s="14">
        <f t="shared" si="43"/>
        <v>45.880306213791414</v>
      </c>
      <c r="DR60" s="22">
        <f t="shared" si="16"/>
        <v>397.78089798901993</v>
      </c>
      <c r="DS60" s="62">
        <f t="shared" si="17"/>
        <v>691.11423132235325</v>
      </c>
      <c r="DT60" s="62">
        <f ca="1">AVERAGE(OFFSET($DS$3,0,0,'Données projet'!$E$14+1,1))-AVERAGE(OFFSET($H$3,0,0,'Données projet'!$E$14+1,1))</f>
        <v>298.89893065707554</v>
      </c>
      <c r="DU60" s="62">
        <f t="shared" si="44"/>
        <v>294.28794439094878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9.4</v>
      </c>
      <c r="EJ60" s="13">
        <f>IF('Données projet'!$A$192&gt;35,EJ59+EI60-ER59,IF(A60&lt;'Données projet'!$A$192,$EG$205^A60,IF(A60='Données projet'!$A$192,'Données projet'!$B$192,EJ59+EI60-ER59)))</f>
        <v>244.79999999999998</v>
      </c>
      <c r="EK60" s="18">
        <f>EJ60*VLOOKUP('Données projet'!$B$15,Paramètres!$A$1:$I$89,3,0)*VLOOKUP('Données projet'!$B$15,Paramètres!$A$1:$I$89,5,0)</f>
        <v>221.49503999999999</v>
      </c>
      <c r="EL60" s="14">
        <f t="shared" si="45"/>
        <v>54.439697086174412</v>
      </c>
      <c r="EM60" s="22">
        <f t="shared" si="19"/>
        <v>480.58633375842032</v>
      </c>
      <c r="EN60" s="62">
        <f t="shared" si="20"/>
        <v>773.91966709175358</v>
      </c>
      <c r="EO60" s="62">
        <f ca="1">AVERAGE(OFFSET($EN$3,0,0,'Données projet'!$E$15+1,1))-AVERAGE(OFFSET($H$3,0,0,'Données projet'!$E$15+1,1))</f>
        <v>439.06700232017681</v>
      </c>
      <c r="EP60" s="62">
        <f t="shared" si="46"/>
        <v>278.21741231699929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4.3189615972968065</v>
      </c>
      <c r="EX60" s="23">
        <f>EXP(-LN(2)/2)*EX59+(1-EXP(-LN(2)/2))/(LN(2)/2)*ER60*EU60*VLOOKUP('Données projet'!$B$15,Paramètres!$A$1:$I$89,3,0)*0.475*44/12</f>
        <v>1.2869632271887165E-3</v>
      </c>
      <c r="EY60" s="24">
        <f t="shared" si="21"/>
        <v>4.3202485605239955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9.4</v>
      </c>
      <c r="FE60" s="13">
        <f>IF('Données projet'!$A$218&gt;35,FE59+FD60-FM59,IF(A60&lt;'Données projet'!$A$218,$FB$205^A60,IF(A60='Données projet'!$A$218,'Données projet'!$B$218,FE59+FD60-FM59)))</f>
        <v>244.79999999999998</v>
      </c>
      <c r="FF60" s="18">
        <f>FE60*VLOOKUP('Données projet'!$B$16,Paramètres!$A$1:$I$89,3,0)*VLOOKUP('Données projet'!$B$16,Paramètres!$A$1:$I$89,5,0)</f>
        <v>236.77055999999999</v>
      </c>
      <c r="FG60" s="14">
        <f t="shared" si="47"/>
        <v>57.744153841586929</v>
      </c>
      <c r="FH60" s="22">
        <f t="shared" si="22"/>
        <v>512.94645994076382</v>
      </c>
      <c r="FI60" s="62">
        <f t="shared" si="23"/>
        <v>806.27979327409707</v>
      </c>
      <c r="FJ60" s="62">
        <f ca="1">AVERAGE(OFFSET($FI$3,0,0,'Données projet'!$E$16+1,1))-AVERAGE(OFFSET($H$3,0,0,'Données projet'!$E$16+1,1))</f>
        <v>466.4945858005575</v>
      </c>
      <c r="FK60" s="62">
        <f t="shared" si="48"/>
        <v>294.45557293177131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2.6102497968708491E-3</v>
      </c>
      <c r="FT60" s="24">
        <f t="shared" si="24"/>
        <v>2.6102497968708491E-3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9.4</v>
      </c>
      <c r="FZ60" s="13">
        <f>IF('Données projet'!$A$244&gt;35,FZ59+FY60-GH59,IF(A60&lt;'Données projet'!$A$244,$FW$205^A60,IF(A60='Données projet'!$A$244,'Données projet'!$B$244,FZ59+FY60-GH59)))</f>
        <v>244.79999999999998</v>
      </c>
      <c r="GA60" s="18">
        <f>FZ60*VLOOKUP('Données projet'!$B$17,Paramètres!$A$1:$I$89,3,0)*VLOOKUP('Données projet'!$B$17,Paramètres!$A$1:$I$89,5,0)</f>
        <v>232.95167999999998</v>
      </c>
      <c r="GB60" s="14">
        <f t="shared" si="49"/>
        <v>56.920429328307158</v>
      </c>
      <c r="GC60" s="22">
        <f t="shared" si="25"/>
        <v>504.86059041346829</v>
      </c>
      <c r="GD60" s="62">
        <f t="shared" si="26"/>
        <v>798.1939237468016</v>
      </c>
      <c r="GE60" s="62">
        <f ca="1">AVERAGE(OFFSET($GD$3,0,0,'Données projet'!$E$17+1,1))-AVERAGE(OFFSET($H$3,0,0,'Données projet'!$E$17+1,1))</f>
        <v>459.64120566196812</v>
      </c>
      <c r="GF60" s="62">
        <f t="shared" si="50"/>
        <v>290.39826583283588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2.8421709430404007E-14</v>
      </c>
      <c r="O61" s="14">
        <f>N61*VLOOKUP('Données projet'!$B$9,Paramètres!$A$1:$I$89,3,0)*VLOOKUP('Données projet'!$B$9,Paramètres!$A$1:$I$89,5,0)</f>
        <v>1.5518253349000589E-14</v>
      </c>
      <c r="P61" s="14">
        <f t="shared" si="33"/>
        <v>2.8958815659671149E-13</v>
      </c>
      <c r="Q61" s="22">
        <f t="shared" si="53"/>
        <v>5.3139366398878183E-13</v>
      </c>
      <c r="R61" s="62">
        <f t="shared" si="0"/>
        <v>293.33333333333383</v>
      </c>
      <c r="S61" s="62">
        <f ca="1">AVERAGE(OFFSET($R$3,0,0,'Données projet'!$E$9+1,1))-AVERAGE(OFFSET($H$3,0,0,'Données projet'!$E$9+1,1))</f>
        <v>170.27677128684815</v>
      </c>
      <c r="T61" s="62">
        <f t="shared" si="34"/>
        <v>243.47439640666289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3.7992151586954699</v>
      </c>
      <c r="AB61" s="23">
        <f>EXP(-LN(2)/2)*AB60+(1-EXP(-LN(2)/2))/(LN(2)/2)*V61*Y61*VLOOKUP('Données projet'!$B$9,Paramètres!$A$1:$I$89,3,0)*0.475*44/12</f>
        <v>4.6468434351854351E-4</v>
      </c>
      <c r="AC61" s="24">
        <f t="shared" si="3"/>
        <v>3.7996798430389886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</v>
      </c>
      <c r="AI61" s="14">
        <f>IF('Données projet'!$A$62&gt;35,AI60+AH61-AQ60,IF(A61&lt;'Données projet'!$A$62,$AF$205^A61,IF(A61='Données projet'!$A$62,'Données projet'!$B$62,AI60+AH61-AQ60)))</f>
        <v>208.00000000000003</v>
      </c>
      <c r="AJ61" s="14">
        <f>AI61*VLOOKUP('Données projet'!$B$10,Paramètres!$A$1:$I$89,3,0)*VLOOKUP('Données projet'!$B$10,Paramètres!$A$1:$I$89,5,0)</f>
        <v>181.70880000000005</v>
      </c>
      <c r="AK61" s="14">
        <f t="shared" si="35"/>
        <v>45.702153370067812</v>
      </c>
      <c r="AL61" s="22">
        <f t="shared" si="4"/>
        <v>396.07407711953482</v>
      </c>
      <c r="AM61" s="62">
        <f t="shared" si="5"/>
        <v>689.40741045286813</v>
      </c>
      <c r="AN61" s="62">
        <f ca="1">AVERAGE(OFFSET($AM$3,0,0,'Données projet'!$E$10+1,1))-AVERAGE(OFFSET($H$3,0,0,'Données projet'!$E$10+1,1))</f>
        <v>327.826081588335</v>
      </c>
      <c r="AO61" s="62">
        <f t="shared" si="36"/>
        <v>348.84706693879735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7.2898536064314641</v>
      </c>
      <c r="AW61" s="23">
        <f>EXP(-LN(2)/2)*AW60+(1-EXP(-LN(2)/2))/(LN(2)/2)*AQ61*AT61*VLOOKUP('Données projet'!$B$10,Paramètres!$A$1:$I$89,3,0)*0.475*44/12</f>
        <v>9.0910489657964808E-4</v>
      </c>
      <c r="AX61" s="23">
        <f t="shared" si="6"/>
        <v>7.2907627113280435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328.19999999999976</v>
      </c>
      <c r="BE61" s="14">
        <f>BD61*VLOOKUP('Données projet'!$B$11,Paramètres!$A$1:$I$89,3,0)*VLOOKUP('Données projet'!$B$11,Paramètres!$A$1:$I$89,5,0)</f>
        <v>240.63623999999982</v>
      </c>
      <c r="BF61" s="14">
        <f t="shared" si="37"/>
        <v>58.576399517863109</v>
      </c>
      <c r="BG61" s="22">
        <f t="shared" si="7"/>
        <v>521.12868049361134</v>
      </c>
      <c r="BH61" s="62">
        <f t="shared" si="8"/>
        <v>814.46201382694471</v>
      </c>
      <c r="BI61" s="62">
        <f ca="1">AVERAGE(OFFSET($BH$3,0,0,'Données projet'!$E$11+1,1))-AVERAGE(OFFSET($H$3,0,0,'Données projet'!$E$11+1,1))</f>
        <v>376.5422416541544</v>
      </c>
      <c r="BJ61" s="62">
        <f t="shared" si="38"/>
        <v>365.76175372075869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14.197174893946265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14.197174893946265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405.09126081846171</v>
      </c>
      <c r="CE61" s="62">
        <f t="shared" si="40"/>
        <v>534.22295841722166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5.6576809330440962</v>
      </c>
      <c r="CL61" s="23">
        <f>EXP(-LN(2)/25)*CL60+(1-EXP(-LN(2)/25))/(LN(2)/25)*Calculateur!CG61*Calculateur!CI61*VLOOKUP('Données projet'!$B$12,Paramètres!$A$1:$I$89,3,0)*0.475*44/12</f>
        <v>6.45068391168064</v>
      </c>
      <c r="CM61" s="23">
        <f>EXP(-LN(2)/2)*CM60+(1-EXP(-LN(2)/2))/(LN(2)/2)*CG61*CJ61*VLOOKUP('Données projet'!$B$12,Paramètres!$A$1:$I$89,3,0)*0.475*44/12</f>
        <v>9.7025884065711818E-5</v>
      </c>
      <c r="CN61" s="24">
        <f t="shared" si="12"/>
        <v>12.108461870608801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>
        <f>CT61*VLOOKUP('Données projet'!$B$13,Paramètres!$A$1:$I$89,3,0)*VLOOKUP('Données projet'!$B$13,Paramètres!$A$1:$I$89,5,0)</f>
        <v>0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244.82163392718377</v>
      </c>
      <c r="CZ61" s="62">
        <f t="shared" si="42"/>
        <v>342.30266518164211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3.3936503125689592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3.3936503125689592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5.2</v>
      </c>
      <c r="DO61" s="13">
        <f>IF('Données projet'!$A$166&gt;35,DO60+DN61-DW60,IF(A61&lt;'Données projet'!$A$166,$DL$205^A61,IF(A61='Données projet'!$A$166,'Données projet'!$B$166,DO60+DN61-DW60)))</f>
        <v>234.59999999999991</v>
      </c>
      <c r="DP61" s="18">
        <f>DO61*VLOOKUP('Données projet'!$B$14,Paramètres!$A$1:$I$89,3,0)*VLOOKUP('Données projet'!$B$14,Paramètres!$A$1:$I$89,5,0)</f>
        <v>186.64775999999995</v>
      </c>
      <c r="DQ61" s="14">
        <f t="shared" si="43"/>
        <v>46.79805411155214</v>
      </c>
      <c r="DR61" s="22">
        <f t="shared" si="16"/>
        <v>406.58479291095324</v>
      </c>
      <c r="DS61" s="62">
        <f t="shared" si="17"/>
        <v>699.91812624428655</v>
      </c>
      <c r="DT61" s="62">
        <f ca="1">AVERAGE(OFFSET($DS$3,0,0,'Données projet'!$E$14+1,1))-AVERAGE(OFFSET($H$3,0,0,'Données projet'!$E$14+1,1))</f>
        <v>298.89893065707554</v>
      </c>
      <c r="DU61" s="62">
        <f t="shared" si="44"/>
        <v>294.28794439094878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9.4</v>
      </c>
      <c r="EJ61" s="13">
        <f>IF('Données projet'!$A$192&gt;35,EJ60+EI61-ER60,IF(A61&lt;'Données projet'!$A$192,$EG$205^A61,IF(A61='Données projet'!$A$192,'Données projet'!$B$192,EJ60+EI61-ER60)))</f>
        <v>254.2</v>
      </c>
      <c r="EK61" s="18">
        <f>EJ61*VLOOKUP('Données projet'!$B$15,Paramètres!$A$1:$I$89,3,0)*VLOOKUP('Données projet'!$B$15,Paramètres!$A$1:$I$89,5,0)</f>
        <v>230.00015999999997</v>
      </c>
      <c r="EL61" s="14">
        <f t="shared" si="45"/>
        <v>56.282716126880423</v>
      </c>
      <c r="EM61" s="22">
        <f t="shared" si="19"/>
        <v>498.60934258765002</v>
      </c>
      <c r="EN61" s="62">
        <f t="shared" si="20"/>
        <v>791.94267592098333</v>
      </c>
      <c r="EO61" s="62">
        <f ca="1">AVERAGE(OFFSET($EN$3,0,0,'Données projet'!$E$15+1,1))-AVERAGE(OFFSET($H$3,0,0,'Données projet'!$E$15+1,1))</f>
        <v>439.06700232017681</v>
      </c>
      <c r="EP61" s="62">
        <f t="shared" si="46"/>
        <v>278.21741231699929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4.2008593652944057</v>
      </c>
      <c r="EX61" s="23">
        <f>EXP(-LN(2)/2)*EX60+(1-EXP(-LN(2)/2))/(LN(2)/2)*ER61*EU61*VLOOKUP('Données projet'!$B$15,Paramètres!$A$1:$I$89,3,0)*0.475*44/12</f>
        <v>9.1002042508286484E-4</v>
      </c>
      <c r="EY61" s="24">
        <f t="shared" si="21"/>
        <v>4.2017693857194889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9.4</v>
      </c>
      <c r="FE61" s="13">
        <f>IF('Données projet'!$A$218&gt;35,FE60+FD61-FM60,IF(A61&lt;'Données projet'!$A$218,$FB$205^A61,IF(A61='Données projet'!$A$218,'Données projet'!$B$218,FE60+FD61-FM60)))</f>
        <v>254.2</v>
      </c>
      <c r="FF61" s="18">
        <f>FE61*VLOOKUP('Données projet'!$B$16,Paramètres!$A$1:$I$89,3,0)*VLOOKUP('Données projet'!$B$16,Paramètres!$A$1:$I$89,5,0)</f>
        <v>245.86223999999999</v>
      </c>
      <c r="FG61" s="14">
        <f t="shared" si="47"/>
        <v>59.699043025687963</v>
      </c>
      <c r="FH61" s="22">
        <f t="shared" si="22"/>
        <v>532.18590126973982</v>
      </c>
      <c r="FI61" s="62">
        <f t="shared" si="23"/>
        <v>825.51923460307307</v>
      </c>
      <c r="FJ61" s="62">
        <f ca="1">AVERAGE(OFFSET($FI$3,0,0,'Données projet'!$E$16+1,1))-AVERAGE(OFFSET($H$3,0,0,'Données projet'!$E$16+1,1))</f>
        <v>466.4945858005575</v>
      </c>
      <c r="FK61" s="62">
        <f t="shared" si="48"/>
        <v>294.45557293177131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1.8457253319581856E-3</v>
      </c>
      <c r="FT61" s="24">
        <f t="shared" si="24"/>
        <v>1.8457253319581856E-3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9.4</v>
      </c>
      <c r="FZ61" s="13">
        <f>IF('Données projet'!$A$244&gt;35,FZ60+FY61-GH60,IF(A61&lt;'Données projet'!$A$244,$FW$205^A61,IF(A61='Données projet'!$A$244,'Données projet'!$B$244,FZ60+FY61-GH60)))</f>
        <v>254.2</v>
      </c>
      <c r="GA61" s="18">
        <f>FZ61*VLOOKUP('Données projet'!$B$17,Paramètres!$A$1:$I$89,3,0)*VLOOKUP('Données projet'!$B$17,Paramètres!$A$1:$I$89,5,0)</f>
        <v>241.89671999999999</v>
      </c>
      <c r="GB61" s="14">
        <f t="shared" si="49"/>
        <v>58.847431877406024</v>
      </c>
      <c r="GC61" s="22">
        <f t="shared" si="25"/>
        <v>523.79606451981545</v>
      </c>
      <c r="GD61" s="62">
        <f t="shared" si="26"/>
        <v>817.1293978531487</v>
      </c>
      <c r="GE61" s="62">
        <f ca="1">AVERAGE(OFFSET($GD$3,0,0,'Données projet'!$E$17+1,1))-AVERAGE(OFFSET($H$3,0,0,'Données projet'!$E$17+1,1))</f>
        <v>459.64120566196812</v>
      </c>
      <c r="GF61" s="62">
        <f t="shared" si="50"/>
        <v>290.39826583283588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2.8421709430404007E-14</v>
      </c>
      <c r="O62" s="14">
        <f>N62*VLOOKUP('Données projet'!$B$9,Paramètres!$A$1:$I$89,3,0)*VLOOKUP('Données projet'!$B$9,Paramètres!$A$1:$I$89,5,0)</f>
        <v>1.5518253349000589E-14</v>
      </c>
      <c r="P62" s="14">
        <f t="shared" si="33"/>
        <v>2.8958815659671149E-13</v>
      </c>
      <c r="Q62" s="22">
        <f t="shared" si="53"/>
        <v>5.3139366398878183E-13</v>
      </c>
      <c r="R62" s="62">
        <f t="shared" si="0"/>
        <v>293.33333333333383</v>
      </c>
      <c r="S62" s="62">
        <f ca="1">AVERAGE(OFFSET($R$3,0,0,'Données projet'!$E$9+1,1))-AVERAGE(OFFSET($H$3,0,0,'Données projet'!$E$9+1,1))</f>
        <v>170.27677128684815</v>
      </c>
      <c r="T62" s="62">
        <f t="shared" si="34"/>
        <v>243.47439640666289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3.6953254203889001</v>
      </c>
      <c r="AB62" s="23">
        <f>EXP(-LN(2)/2)*AB61+(1-EXP(-LN(2)/2))/(LN(2)/2)*V62*Y62*VLOOKUP('Données projet'!$B$9,Paramètres!$A$1:$I$89,3,0)*0.475*44/12</f>
        <v>3.2858145041318124E-4</v>
      </c>
      <c r="AC62" s="24">
        <f t="shared" si="3"/>
        <v>3.6956540018393134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</v>
      </c>
      <c r="AI62" s="14">
        <f>IF('Données projet'!$A$62&gt;35,AI61+AH62-AQ61,IF(A62&lt;'Données projet'!$A$62,$AF$205^A62,IF(A62='Données projet'!$A$62,'Données projet'!$B$62,AI61+AH62-AQ61)))</f>
        <v>214.00000000000003</v>
      </c>
      <c r="AJ62" s="14">
        <f>AI62*VLOOKUP('Données projet'!$B$10,Paramètres!$A$1:$I$89,3,0)*VLOOKUP('Données projet'!$B$10,Paramètres!$A$1:$I$89,5,0)</f>
        <v>186.95040000000006</v>
      </c>
      <c r="AK62" s="14">
        <f t="shared" si="35"/>
        <v>46.865095976617653</v>
      </c>
      <c r="AL62" s="22">
        <f t="shared" si="4"/>
        <v>407.22865549260922</v>
      </c>
      <c r="AM62" s="62">
        <f t="shared" si="5"/>
        <v>700.56198882594254</v>
      </c>
      <c r="AN62" s="62">
        <f ca="1">AVERAGE(OFFSET($AM$3,0,0,'Données projet'!$E$10+1,1))-AVERAGE(OFFSET($H$3,0,0,'Données projet'!$E$10+1,1))</f>
        <v>327.826081588335</v>
      </c>
      <c r="AO62" s="62">
        <f t="shared" si="36"/>
        <v>348.84706693879735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7.0905121762068557</v>
      </c>
      <c r="AW62" s="23">
        <f>EXP(-LN(2)/2)*AW61+(1-EXP(-LN(2)/2))/(LN(2)/2)*AQ62*AT62*VLOOKUP('Données projet'!$B$10,Paramètres!$A$1:$I$89,3,0)*0.475*44/12</f>
        <v>6.4283423718136418E-4</v>
      </c>
      <c r="AX62" s="23">
        <f t="shared" si="6"/>
        <v>7.0911550104440373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335.59999999999974</v>
      </c>
      <c r="BE62" s="14">
        <f>BD62*VLOOKUP('Données projet'!$B$11,Paramètres!$A$1:$I$89,3,0)*VLOOKUP('Données projet'!$B$11,Paramètres!$A$1:$I$89,5,0)</f>
        <v>246.06191999999979</v>
      </c>
      <c r="BF62" s="14">
        <f t="shared" si="37"/>
        <v>59.741882613953308</v>
      </c>
      <c r="BG62" s="22">
        <f t="shared" si="7"/>
        <v>532.60828955263503</v>
      </c>
      <c r="BH62" s="62">
        <f t="shared" si="8"/>
        <v>825.9416228859684</v>
      </c>
      <c r="BI62" s="62">
        <f ca="1">AVERAGE(OFFSET($BH$3,0,0,'Données projet'!$E$11+1,1))-AVERAGE(OFFSET($H$3,0,0,'Données projet'!$E$11+1,1))</f>
        <v>376.5422416541544</v>
      </c>
      <c r="BJ62" s="62">
        <f t="shared" si="38"/>
        <v>365.76175372075869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13.918776953697618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13.918776953697618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405.09126081846171</v>
      </c>
      <c r="CE62" s="62">
        <f t="shared" si="40"/>
        <v>534.22295841722166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5.546737260791728</v>
      </c>
      <c r="CL62" s="23">
        <f>EXP(-LN(2)/25)*CL61+(1-EXP(-LN(2)/25))/(LN(2)/25)*Calculateur!CG62*Calculateur!CI62*VLOOKUP('Données projet'!$B$12,Paramètres!$A$1:$I$89,3,0)*0.475*44/12</f>
        <v>6.2742896208890091</v>
      </c>
      <c r="CM62" s="23">
        <f>EXP(-LN(2)/2)*CM61+(1-EXP(-LN(2)/2))/(LN(2)/2)*CG62*CJ62*VLOOKUP('Données projet'!$B$12,Paramètres!$A$1:$I$89,3,0)*0.475*44/12</f>
        <v>6.8607660573484613E-5</v>
      </c>
      <c r="CN62" s="24">
        <f t="shared" si="12"/>
        <v>11.82109548934131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>
        <f>CT62*VLOOKUP('Données projet'!$B$13,Paramètres!$A$1:$I$89,3,0)*VLOOKUP('Données projet'!$B$13,Paramètres!$A$1:$I$89,5,0)</f>
        <v>0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244.82163392718377</v>
      </c>
      <c r="CZ62" s="62">
        <f t="shared" si="42"/>
        <v>342.30266518164211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3.3271028998617846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3.3271028998617846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5.2</v>
      </c>
      <c r="DO62" s="13">
        <f>IF('Données projet'!$A$166&gt;35,DO61+DN62-DW61,IF(A62&lt;'Données projet'!$A$166,$DL$205^A62,IF(A62='Données projet'!$A$166,'Données projet'!$B$166,DO61+DN62-DW61)))</f>
        <v>239.7999999999999</v>
      </c>
      <c r="DP62" s="18">
        <f>DO62*VLOOKUP('Données projet'!$B$14,Paramètres!$A$1:$I$89,3,0)*VLOOKUP('Données projet'!$B$14,Paramètres!$A$1:$I$89,5,0)</f>
        <v>190.78487999999993</v>
      </c>
      <c r="DQ62" s="14">
        <f t="shared" si="43"/>
        <v>47.713437020051622</v>
      </c>
      <c r="DR62" s="22">
        <f t="shared" si="16"/>
        <v>415.38456880992311</v>
      </c>
      <c r="DS62" s="62">
        <f t="shared" si="17"/>
        <v>708.71790214325642</v>
      </c>
      <c r="DT62" s="62">
        <f ca="1">AVERAGE(OFFSET($DS$3,0,0,'Données projet'!$E$14+1,1))-AVERAGE(OFFSET($H$3,0,0,'Données projet'!$E$14+1,1))</f>
        <v>298.89893065707554</v>
      </c>
      <c r="DU62" s="62">
        <f t="shared" si="44"/>
        <v>294.28794439094878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9.4</v>
      </c>
      <c r="EJ62" s="13">
        <f>IF('Données projet'!$A$192&gt;35,EJ61+EI62-ER61,IF(A62&lt;'Données projet'!$A$192,$EG$205^A62,IF(A62='Données projet'!$A$192,'Données projet'!$B$192,EJ61+EI62-ER61)))</f>
        <v>263.59999999999997</v>
      </c>
      <c r="EK62" s="18">
        <f>EJ62*VLOOKUP('Données projet'!$B$15,Paramètres!$A$1:$I$89,3,0)*VLOOKUP('Données projet'!$B$15,Paramètres!$A$1:$I$89,5,0)</f>
        <v>238.50527999999997</v>
      </c>
      <c r="EL62" s="14">
        <f t="shared" si="45"/>
        <v>58.117817352909881</v>
      </c>
      <c r="EM62" s="22">
        <f t="shared" si="19"/>
        <v>516.61856122298457</v>
      </c>
      <c r="EN62" s="62">
        <f t="shared" si="20"/>
        <v>809.95189455631794</v>
      </c>
      <c r="EO62" s="62">
        <f ca="1">AVERAGE(OFFSET($EN$3,0,0,'Données projet'!$E$15+1,1))-AVERAGE(OFFSET($H$3,0,0,'Données projet'!$E$15+1,1))</f>
        <v>439.06700232017681</v>
      </c>
      <c r="EP62" s="62">
        <f t="shared" si="46"/>
        <v>278.21741231699929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4.0859866450368374</v>
      </c>
      <c r="EX62" s="23">
        <f>EXP(-LN(2)/2)*EX61+(1-EXP(-LN(2)/2))/(LN(2)/2)*ER62*EU62*VLOOKUP('Données projet'!$B$15,Paramètres!$A$1:$I$89,3,0)*0.475*44/12</f>
        <v>6.4348161359435827E-4</v>
      </c>
      <c r="EY62" s="24">
        <f t="shared" si="21"/>
        <v>4.0866301266504319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9.4</v>
      </c>
      <c r="FE62" s="13">
        <f>IF('Données projet'!$A$218&gt;35,FE61+FD62-FM61,IF(A62&lt;'Données projet'!$A$218,$FB$205^A62,IF(A62='Données projet'!$A$218,'Données projet'!$B$218,FE61+FD62-FM61)))</f>
        <v>263.59999999999997</v>
      </c>
      <c r="FF62" s="18">
        <f>FE62*VLOOKUP('Données projet'!$B$16,Paramètres!$A$1:$I$89,3,0)*VLOOKUP('Données projet'!$B$16,Paramètres!$A$1:$I$89,5,0)</f>
        <v>254.95391999999998</v>
      </c>
      <c r="FG62" s="14">
        <f t="shared" si="47"/>
        <v>61.645533788540583</v>
      </c>
      <c r="FH62" s="22">
        <f t="shared" si="22"/>
        <v>551.41071534837477</v>
      </c>
      <c r="FI62" s="62">
        <f t="shared" si="23"/>
        <v>844.74404868170814</v>
      </c>
      <c r="FJ62" s="62">
        <f ca="1">AVERAGE(OFFSET($FI$3,0,0,'Données projet'!$E$16+1,1))-AVERAGE(OFFSET($H$3,0,0,'Données projet'!$E$16+1,1))</f>
        <v>466.4945858005575</v>
      </c>
      <c r="FK62" s="62">
        <f t="shared" si="48"/>
        <v>294.45557293177131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1.3051248984354248E-3</v>
      </c>
      <c r="FT62" s="24">
        <f t="shared" si="24"/>
        <v>1.3051248984354248E-3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9.4</v>
      </c>
      <c r="FZ62" s="13">
        <f>IF('Données projet'!$A$244&gt;35,FZ61+FY62-GH61,IF(A62&lt;'Données projet'!$A$244,$FW$205^A62,IF(A62='Données projet'!$A$244,'Données projet'!$B$244,FZ61+FY62-GH61)))</f>
        <v>263.59999999999997</v>
      </c>
      <c r="GA62" s="18">
        <f>FZ62*VLOOKUP('Données projet'!$B$17,Paramètres!$A$1:$I$89,3,0)*VLOOKUP('Données projet'!$B$17,Paramètres!$A$1:$I$89,5,0)</f>
        <v>250.84175999999997</v>
      </c>
      <c r="GB62" s="14">
        <f t="shared" si="49"/>
        <v>60.766155809340432</v>
      </c>
      <c r="GC62" s="22">
        <f t="shared" si="25"/>
        <v>542.71712003460118</v>
      </c>
      <c r="GD62" s="62">
        <f t="shared" si="26"/>
        <v>836.05045336793455</v>
      </c>
      <c r="GE62" s="62">
        <f ca="1">AVERAGE(OFFSET($GD$3,0,0,'Données projet'!$E$17+1,1))-AVERAGE(OFFSET($H$3,0,0,'Données projet'!$E$17+1,1))</f>
        <v>459.64120566196812</v>
      </c>
      <c r="GF62" s="62">
        <f t="shared" si="50"/>
        <v>290.39826583283588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2.8421709430404007E-14</v>
      </c>
      <c r="O63" s="14">
        <f>N63*VLOOKUP('Données projet'!$B$9,Paramètres!$A$1:$I$89,3,0)*VLOOKUP('Données projet'!$B$9,Paramètres!$A$1:$I$89,5,0)</f>
        <v>1.5518253349000589E-14</v>
      </c>
      <c r="P63" s="14">
        <f t="shared" si="33"/>
        <v>2.8958815659671149E-13</v>
      </c>
      <c r="Q63" s="22">
        <f t="shared" si="53"/>
        <v>5.3139366398878183E-13</v>
      </c>
      <c r="R63" s="62">
        <f t="shared" si="0"/>
        <v>293.33333333333383</v>
      </c>
      <c r="S63" s="62">
        <f ca="1">AVERAGE(OFFSET($R$3,0,0,'Données projet'!$E$9+1,1))-AVERAGE(OFFSET($H$3,0,0,'Données projet'!$E$9+1,1))</f>
        <v>170.27677128684815</v>
      </c>
      <c r="T63" s="62">
        <f t="shared" si="34"/>
        <v>243.47439640666289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3.5942765524396476</v>
      </c>
      <c r="AB63" s="23">
        <f>EXP(-LN(2)/2)*AB62+(1-EXP(-LN(2)/2))/(LN(2)/2)*V63*Y63*VLOOKUP('Données projet'!$B$9,Paramètres!$A$1:$I$89,3,0)*0.475*44/12</f>
        <v>2.3234217175927178E-4</v>
      </c>
      <c r="AC63" s="24">
        <f t="shared" si="3"/>
        <v>3.594508894611407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220</v>
      </c>
      <c r="AG63" s="13">
        <f>VLOOKUP(A63,'Données projet'!$A$61:$I$81,9,0)</f>
        <v>6</v>
      </c>
      <c r="AH63" s="13">
        <f t="array" ref="AH63">INDEX(AG:AG,MIN(IF(ISNUMBER(AG63:AG259),ROW(AG63:AG259),"")))</f>
        <v>6</v>
      </c>
      <c r="AI63" s="14">
        <f>IF('Données projet'!$A$62&gt;35,AI62+AH63-AQ62,IF(A63&lt;'Données projet'!$A$62,$AF$205^A63,IF(A63='Données projet'!$A$62,'Données projet'!$B$62,AI62+AH63-AQ62)))</f>
        <v>220.00000000000003</v>
      </c>
      <c r="AJ63" s="14">
        <f>AI63*VLOOKUP('Données projet'!$B$10,Paramètres!$A$1:$I$89,3,0)*VLOOKUP('Données projet'!$B$10,Paramètres!$A$1:$I$89,5,0)</f>
        <v>192.19200000000006</v>
      </c>
      <c r="AK63" s="14">
        <f t="shared" si="35"/>
        <v>48.02424892193244</v>
      </c>
      <c r="AL63" s="22">
        <f t="shared" si="4"/>
        <v>418.37663353903241</v>
      </c>
      <c r="AM63" s="62">
        <f t="shared" si="5"/>
        <v>711.70996687236573</v>
      </c>
      <c r="AN63" s="62">
        <f ca="1">AVERAGE(OFFSET($AM$3,0,0,'Données projet'!$E$10+1,1))-AVERAGE(OFFSET($H$3,0,0,'Données projet'!$E$10+1,1))</f>
        <v>327.826081588335</v>
      </c>
      <c r="AO63" s="62">
        <f t="shared" si="36"/>
        <v>348.84706693879735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6.8966217478746499</v>
      </c>
      <c r="AW63" s="23">
        <f>EXP(-LN(2)/2)*AW62+(1-EXP(-LN(2)/2))/(LN(2)/2)*AQ63*AT63*VLOOKUP('Données projet'!$B$10,Paramètres!$A$1:$I$89,3,0)*0.475*44/12</f>
        <v>4.5455244828982409E-4</v>
      </c>
      <c r="AX63" s="23">
        <f t="shared" si="6"/>
        <v>6.8970763003229401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343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342.99999999999972</v>
      </c>
      <c r="BE63" s="14">
        <f>BD63*VLOOKUP('Données projet'!$B$11,Paramètres!$A$1:$I$89,3,0)*VLOOKUP('Données projet'!$B$11,Paramètres!$A$1:$I$89,5,0)</f>
        <v>251.48759999999979</v>
      </c>
      <c r="BF63" s="14">
        <f t="shared" si="37"/>
        <v>60.904377929400603</v>
      </c>
      <c r="BG63" s="22">
        <f t="shared" si="7"/>
        <v>544.08269489370571</v>
      </c>
      <c r="BH63" s="62">
        <f t="shared" si="8"/>
        <v>837.41602822703908</v>
      </c>
      <c r="BI63" s="62">
        <f ca="1">AVERAGE(OFFSET($BH$3,0,0,'Données projet'!$E$11+1,1))-AVERAGE(OFFSET($H$3,0,0,'Données projet'!$E$11+1,1))</f>
        <v>376.5422416541544</v>
      </c>
      <c r="BJ63" s="62">
        <f t="shared" si="38"/>
        <v>365.76175372075869</v>
      </c>
      <c r="BK63" s="16">
        <f>IF(ISNA(VLOOKUP(A63,'Données projet'!$A$87:$I$107,3,0)),0,VLOOKUP(A63,'Données projet'!$A$87:$I$107,3,0))</f>
        <v>11</v>
      </c>
      <c r="BL63" s="16">
        <f>IF(ISNA(VLOOKUP(A63,'Données projet'!$A$87:$I$107,4,0)),0,VLOOKUP(A63,'Données projet'!$A$87:$I$107,4,0))</f>
        <v>17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13.64583822725127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13.64583822725127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405.09126081846171</v>
      </c>
      <c r="CE63" s="62">
        <f t="shared" si="40"/>
        <v>534.22295841722166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5.4379691262832708</v>
      </c>
      <c r="CL63" s="23">
        <f>EXP(-LN(2)/25)*CL62+(1-EXP(-LN(2)/25))/(LN(2)/25)*Calculateur!CG63*Calculateur!CI63*VLOOKUP('Données projet'!$B$12,Paramètres!$A$1:$I$89,3,0)*0.475*44/12</f>
        <v>6.102718841255248</v>
      </c>
      <c r="CM63" s="23">
        <f>EXP(-LN(2)/2)*CM62+(1-EXP(-LN(2)/2))/(LN(2)/2)*CG63*CJ63*VLOOKUP('Données projet'!$B$12,Paramètres!$A$1:$I$89,3,0)*0.475*44/12</f>
        <v>4.8512942032855909E-5</v>
      </c>
      <c r="CN63" s="24">
        <f t="shared" si="12"/>
        <v>11.540736480480552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>
        <f>CT63*VLOOKUP('Données projet'!$B$13,Paramètres!$A$1:$I$89,3,0)*VLOOKUP('Données projet'!$B$13,Paramètres!$A$1:$I$89,5,0)</f>
        <v>0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244.82163392718377</v>
      </c>
      <c r="CZ63" s="62">
        <f t="shared" si="42"/>
        <v>342.30266518164211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3.261860441327884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3.261860441327884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245</v>
      </c>
      <c r="DM63" s="13">
        <f>VLOOKUP(A63,'Données projet'!$A$165:$I$185,9,0)</f>
        <v>5.2</v>
      </c>
      <c r="DN63" s="13">
        <f t="array" ref="DN63">INDEX(DM:DM,MIN(IF(ISNUMBER(DM63:DM259),ROW(DM63:DM259),"")))</f>
        <v>5.2</v>
      </c>
      <c r="DO63" s="13">
        <f>IF('Données projet'!$A$166&gt;35,DO62+DN63-DW62,IF(A63&lt;'Données projet'!$A$166,$DL$205^A63,IF(A63='Données projet'!$A$166,'Données projet'!$B$166,DO62+DN63-DW62)))</f>
        <v>244.99999999999989</v>
      </c>
      <c r="DP63" s="18">
        <f>DO63*VLOOKUP('Données projet'!$B$14,Paramètres!$A$1:$I$89,3,0)*VLOOKUP('Données projet'!$B$14,Paramètres!$A$1:$I$89,5,0)</f>
        <v>194.92199999999991</v>
      </c>
      <c r="DQ63" s="14">
        <f t="shared" si="43"/>
        <v>48.626512129794925</v>
      </c>
      <c r="DR63" s="22">
        <f t="shared" si="16"/>
        <v>424.18032529272597</v>
      </c>
      <c r="DS63" s="62">
        <f t="shared" si="17"/>
        <v>717.51365862605928</v>
      </c>
      <c r="DT63" s="62">
        <f ca="1">AVERAGE(OFFSET($DS$3,0,0,'Données projet'!$E$14+1,1))-AVERAGE(OFFSET($H$3,0,0,'Données projet'!$E$14+1,1))</f>
        <v>298.89893065707554</v>
      </c>
      <c r="DU63" s="62">
        <f t="shared" si="44"/>
        <v>294.28794439094878</v>
      </c>
      <c r="DV63" s="16">
        <f>IF(ISNA(VLOOKUP(A63,'Données projet'!$A$165:$I$185,3,0)),0,VLOOKUP(A63,'Données projet'!$A$165:$I$185,3,0))</f>
        <v>10</v>
      </c>
      <c r="DW63" s="16">
        <f>IF(ISNA(VLOOKUP(A63,'Données projet'!$A$165:$I$185,4,0)),0,VLOOKUP(A63,'Données projet'!$A$165:$I$185,4,0))</f>
        <v>12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273</v>
      </c>
      <c r="EH63" s="13">
        <f>VLOOKUP(A63,'Données projet'!$A$191:$I$211,9,0)</f>
        <v>9.4</v>
      </c>
      <c r="EI63" s="13">
        <f t="array" ref="EI63">INDEX(EH:EH,MIN(IF(ISNUMBER(EH63:EH259),ROW(EH63:EH259),"")))</f>
        <v>9.4</v>
      </c>
      <c r="EJ63" s="13">
        <f>IF('Données projet'!$A$192&gt;35,EJ62+EI63-ER62,IF(A63&lt;'Données projet'!$A$192,$EG$205^A63,IF(A63='Données projet'!$A$192,'Données projet'!$B$192,EJ62+EI63-ER62)))</f>
        <v>272.99999999999994</v>
      </c>
      <c r="EK63" s="18">
        <f>EJ63*VLOOKUP('Données projet'!$B$15,Paramètres!$A$1:$I$89,3,0)*VLOOKUP('Données projet'!$B$15,Paramètres!$A$1:$I$89,5,0)</f>
        <v>247.01039999999992</v>
      </c>
      <c r="EL63" s="14">
        <f t="shared" si="45"/>
        <v>59.945315462121812</v>
      </c>
      <c r="EM63" s="22">
        <f t="shared" si="19"/>
        <v>534.61453776319524</v>
      </c>
      <c r="EN63" s="62">
        <f t="shared" si="20"/>
        <v>827.94787109652862</v>
      </c>
      <c r="EO63" s="62">
        <f ca="1">AVERAGE(OFFSET($EN$3,0,0,'Données projet'!$E$15+1,1))-AVERAGE(OFFSET($H$3,0,0,'Données projet'!$E$15+1,1))</f>
        <v>439.06700232017681</v>
      </c>
      <c r="EP63" s="62">
        <f t="shared" si="46"/>
        <v>278.21741231699929</v>
      </c>
      <c r="EQ63" s="16">
        <f>IF(ISNA(VLOOKUP(A63,'Données projet'!$A$191:$I$211,3,0)),0,VLOOKUP(A63,'Données projet'!$A$191:$I$211,3,0))</f>
        <v>9</v>
      </c>
      <c r="ER63" s="16">
        <f>IF(ISNA(VLOOKUP(A63,'Données projet'!$A$191:$I$211,4,0)),0,VLOOKUP(A63,'Données projet'!$A$191:$I$211,4,0))</f>
        <v>28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3.9742551253556062</v>
      </c>
      <c r="EX63" s="23">
        <f>EXP(-LN(2)/2)*EX62+(1-EXP(-LN(2)/2))/(LN(2)/2)*ER63*EU63*VLOOKUP('Données projet'!$B$15,Paramètres!$A$1:$I$89,3,0)*0.475*44/12</f>
        <v>4.5501021254143242E-4</v>
      </c>
      <c r="EY63" s="24">
        <f t="shared" si="21"/>
        <v>3.9747101355681478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273</v>
      </c>
      <c r="FC63" s="13">
        <f>VLOOKUP(A63,'Données projet'!$A$217:$I$237,9,0)</f>
        <v>9.4</v>
      </c>
      <c r="FD63" s="13">
        <f t="array" ref="FD63">INDEX(FC:FC,MIN(IF(ISNUMBER(FC63:FC259),ROW(FC63:FC259),"")))</f>
        <v>9.4</v>
      </c>
      <c r="FE63" s="13">
        <f>IF('Données projet'!$A$218&gt;35,FE62+FD63-FM62,IF(A63&lt;'Données projet'!$A$218,$FB$205^A63,IF(A63='Données projet'!$A$218,'Données projet'!$B$218,FE62+FD63-FM62)))</f>
        <v>272.99999999999994</v>
      </c>
      <c r="FF63" s="18">
        <f>FE63*VLOOKUP('Données projet'!$B$16,Paramètres!$A$1:$I$89,3,0)*VLOOKUP('Données projet'!$B$16,Paramètres!$A$1:$I$89,5,0)</f>
        <v>264.04559999999992</v>
      </c>
      <c r="FG63" s="14">
        <f t="shared" si="47"/>
        <v>63.58395992997368</v>
      </c>
      <c r="FH63" s="22">
        <f t="shared" si="22"/>
        <v>570.62148354470401</v>
      </c>
      <c r="FI63" s="62">
        <f t="shared" si="23"/>
        <v>863.95481687803726</v>
      </c>
      <c r="FJ63" s="62">
        <f ca="1">AVERAGE(OFFSET($FI$3,0,0,'Données projet'!$E$16+1,1))-AVERAGE(OFFSET($H$3,0,0,'Données projet'!$E$16+1,1))</f>
        <v>466.4945858005575</v>
      </c>
      <c r="FK63" s="62">
        <f t="shared" si="48"/>
        <v>294.45557293177131</v>
      </c>
      <c r="FL63" s="16">
        <f>IF(ISNA(VLOOKUP(A63,'Données projet'!$A$217:$I$237,3,0)),0,VLOOKUP(A63,'Données projet'!$A$217:$I$237,3,0))</f>
        <v>9</v>
      </c>
      <c r="FM63" s="16">
        <f>IF(ISNA(VLOOKUP(A63,'Données projet'!$A$217:$I$237,4,0)),0,VLOOKUP(A63,'Données projet'!$A$217:$I$237,4,0))</f>
        <v>28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9.2286266597909304E-4</v>
      </c>
      <c r="FT63" s="24">
        <f t="shared" si="24"/>
        <v>9.2286266597909304E-4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273</v>
      </c>
      <c r="FX63" s="13">
        <f>VLOOKUP(A63,'Données projet'!$A$243:$I$263,9,0)</f>
        <v>9.4</v>
      </c>
      <c r="FY63" s="13">
        <f t="array" ref="FY63">INDEX(FX:FX,MIN(IF(ISNUMBER(FX63:FX259),ROW(FX63:FX259),"")))</f>
        <v>9.4</v>
      </c>
      <c r="FZ63" s="13">
        <f>IF('Données projet'!$A$244&gt;35,FZ62+FY63-GH62,IF(A63&lt;'Données projet'!$A$244,$FW$205^A63,IF(A63='Données projet'!$A$244,'Données projet'!$B$244,FZ62+FY63-GH62)))</f>
        <v>272.99999999999994</v>
      </c>
      <c r="GA63" s="18">
        <f>FZ63*VLOOKUP('Données projet'!$B$17,Paramètres!$A$1:$I$89,3,0)*VLOOKUP('Données projet'!$B$17,Paramètres!$A$1:$I$89,5,0)</f>
        <v>259.78679999999997</v>
      </c>
      <c r="GB63" s="14">
        <f t="shared" si="49"/>
        <v>62.676930162260739</v>
      </c>
      <c r="GC63" s="22">
        <f t="shared" si="25"/>
        <v>561.62433003260401</v>
      </c>
      <c r="GD63" s="62">
        <f t="shared" si="26"/>
        <v>854.95766336593738</v>
      </c>
      <c r="GE63" s="62">
        <f ca="1">AVERAGE(OFFSET($GD$3,0,0,'Données projet'!$E$17+1,1))-AVERAGE(OFFSET($H$3,0,0,'Données projet'!$E$17+1,1))</f>
        <v>459.64120566196812</v>
      </c>
      <c r="GF63" s="62">
        <f t="shared" si="50"/>
        <v>290.39826583283588</v>
      </c>
      <c r="GG63" s="16">
        <f>IF(ISNA(VLOOKUP(A63,'Données projet'!$A$243:$I$263,3,0)),0,VLOOKUP(A63,'Données projet'!$A$243:$I$263,3,0))</f>
        <v>9</v>
      </c>
      <c r="GH63" s="16">
        <f>IF(ISNA(VLOOKUP(A63,'Données projet'!$A$243:$I$263,4,0)),0,VLOOKUP(A63,'Données projet'!$A$243:$I$263,4,0))</f>
        <v>28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2.8421709430404007E-14</v>
      </c>
      <c r="O64" s="14">
        <f>N64*VLOOKUP('Données projet'!$B$9,Paramètres!$A$1:$I$89,3,0)*VLOOKUP('Données projet'!$B$9,Paramètres!$A$1:$I$89,5,0)</f>
        <v>1.5518253349000589E-14</v>
      </c>
      <c r="P64" s="14">
        <f t="shared" si="33"/>
        <v>2.8958815659671149E-13</v>
      </c>
      <c r="Q64" s="22">
        <f t="shared" si="53"/>
        <v>5.3139366398878183E-13</v>
      </c>
      <c r="R64" s="62">
        <f t="shared" si="0"/>
        <v>293.33333333333383</v>
      </c>
      <c r="S64" s="62">
        <f ca="1">AVERAGE(OFFSET($R$3,0,0,'Données projet'!$E$9+1,1))-AVERAGE(OFFSET($H$3,0,0,'Données projet'!$E$9+1,1))</f>
        <v>170.27677128684815</v>
      </c>
      <c r="T64" s="62">
        <f t="shared" si="34"/>
        <v>243.47439640666289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3.4959908710983965</v>
      </c>
      <c r="AB64" s="23">
        <f>EXP(-LN(2)/2)*AB63+(1-EXP(-LN(2)/2))/(LN(2)/2)*V64*Y64*VLOOKUP('Données projet'!$B$9,Paramètres!$A$1:$I$89,3,0)*0.475*44/12</f>
        <v>1.6429072520659065E-4</v>
      </c>
      <c r="AC64" s="24">
        <f t="shared" si="3"/>
        <v>3.4961551618236029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203.20000000000002</v>
      </c>
      <c r="AJ64" s="14">
        <f>AI64*VLOOKUP('Données projet'!$B$10,Paramètres!$A$1:$I$89,3,0)*VLOOKUP('Données projet'!$B$10,Paramètres!$A$1:$I$89,5,0)</f>
        <v>177.51552000000004</v>
      </c>
      <c r="AK64" s="14">
        <f t="shared" si="35"/>
        <v>44.768988809542904</v>
      </c>
      <c r="AL64" s="22">
        <f t="shared" si="4"/>
        <v>387.145519509954</v>
      </c>
      <c r="AM64" s="62">
        <f t="shared" si="5"/>
        <v>680.47885284328731</v>
      </c>
      <c r="AN64" s="62">
        <f ca="1">AVERAGE(OFFSET($AM$3,0,0,'Données projet'!$E$10+1,1))-AVERAGE(OFFSET($H$3,0,0,'Données projet'!$E$10+1,1))</f>
        <v>327.826081588335</v>
      </c>
      <c r="AO64" s="62">
        <f t="shared" si="36"/>
        <v>348.84706693879735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6.7080332635014424</v>
      </c>
      <c r="AW64" s="23">
        <f>EXP(-LN(2)/2)*AW63+(1-EXP(-LN(2)/2))/(LN(2)/2)*AQ64*AT64*VLOOKUP('Données projet'!$B$10,Paramètres!$A$1:$I$89,3,0)*0.475*44/12</f>
        <v>3.2141711859068214E-4</v>
      </c>
      <c r="AX64" s="23">
        <f t="shared" si="6"/>
        <v>6.7083546806200332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</v>
      </c>
      <c r="BD64" s="13">
        <f>IF('Données projet'!$A$88&gt;35,BD63+BC64-BL63,IF(A64&lt;'Données projet'!$A$88,$BA$205^A64,IF(A64='Données projet'!$A$88,'Données projet'!$B$88,BD63+BC64-BL63)))</f>
        <v>331.99999999999972</v>
      </c>
      <c r="BE64" s="14">
        <f>BD64*VLOOKUP('Données projet'!$B$11,Paramètres!$A$1:$I$89,3,0)*VLOOKUP('Données projet'!$B$11,Paramètres!$A$1:$I$89,5,0)</f>
        <v>243.42239999999978</v>
      </c>
      <c r="BF64" s="14">
        <f t="shared" si="37"/>
        <v>59.175268615646175</v>
      </c>
      <c r="BG64" s="22">
        <f t="shared" si="7"/>
        <v>527.02427283891677</v>
      </c>
      <c r="BH64" s="62">
        <f t="shared" si="8"/>
        <v>820.35760617225014</v>
      </c>
      <c r="BI64" s="62">
        <f ca="1">AVERAGE(OFFSET($BH$3,0,0,'Données projet'!$E$11+1,1))-AVERAGE(OFFSET($H$3,0,0,'Données projet'!$E$11+1,1))</f>
        <v>376.5422416541544</v>
      </c>
      <c r="BJ64" s="62">
        <f t="shared" si="38"/>
        <v>365.76175372075869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13.37825166275435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13.37825166275435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405.09126081846171</v>
      </c>
      <c r="CE64" s="62">
        <f t="shared" si="40"/>
        <v>534.22295841722166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5.3313338685505132</v>
      </c>
      <c r="CL64" s="23">
        <f>EXP(-LN(2)/25)*CL63+(1-EXP(-LN(2)/25))/(LN(2)/25)*Calculateur!CG64*Calculateur!CI64*VLOOKUP('Données projet'!$B$12,Paramètres!$A$1:$I$89,3,0)*0.475*44/12</f>
        <v>5.9358396736130876</v>
      </c>
      <c r="CM64" s="23">
        <f>EXP(-LN(2)/2)*CM63+(1-EXP(-LN(2)/2))/(LN(2)/2)*CG64*CJ64*VLOOKUP('Données projet'!$B$12,Paramètres!$A$1:$I$89,3,0)*0.475*44/12</f>
        <v>3.4303830286742307E-5</v>
      </c>
      <c r="CN64" s="24">
        <f t="shared" si="12"/>
        <v>11.267207845993887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projet'!$B$13,Paramètres!$A$1:$I$89,3,0)*VLOOKUP('Données projet'!$B$13,Paramètres!$A$1:$I$89,5,0)</f>
        <v>0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244.82163392718377</v>
      </c>
      <c r="CZ64" s="62">
        <f t="shared" si="42"/>
        <v>342.30266518164211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3.1978973476118626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3.1978973476118626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4.2</v>
      </c>
      <c r="DO64" s="13">
        <f>IF('Données projet'!$A$166&gt;35,DO63+DN64-DW63,IF(A64&lt;'Données projet'!$A$166,$DL$205^A64,IF(A64='Données projet'!$A$166,'Données projet'!$B$166,DO63+DN64-DW63)))</f>
        <v>237.19999999999987</v>
      </c>
      <c r="DP64" s="18">
        <f>DO64*VLOOKUP('Données projet'!$B$14,Paramètres!$A$1:$I$89,3,0)*VLOOKUP('Données projet'!$B$14,Paramètres!$A$1:$I$89,5,0)</f>
        <v>188.71631999999991</v>
      </c>
      <c r="DQ64" s="14">
        <f t="shared" si="43"/>
        <v>47.256037552855531</v>
      </c>
      <c r="DR64" s="22">
        <f t="shared" si="16"/>
        <v>410.98518940455659</v>
      </c>
      <c r="DS64" s="62">
        <f t="shared" si="17"/>
        <v>704.31852273788991</v>
      </c>
      <c r="DT64" s="62">
        <f ca="1">AVERAGE(OFFSET($DS$3,0,0,'Données projet'!$E$14+1,1))-AVERAGE(OFFSET($H$3,0,0,'Données projet'!$E$14+1,1))</f>
        <v>298.89893065707554</v>
      </c>
      <c r="DU64" s="62">
        <f t="shared" si="44"/>
        <v>294.28794439094878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8.8000000000000007</v>
      </c>
      <c r="EJ64" s="13">
        <f>IF('Données projet'!$A$192&gt;35,EJ63+EI64-ER63,IF(A64&lt;'Données projet'!$A$192,$EG$205^A64,IF(A64='Données projet'!$A$192,'Données projet'!$B$192,EJ63+EI64-ER63)))</f>
        <v>253.79999999999995</v>
      </c>
      <c r="EK64" s="18">
        <f>EJ64*VLOOKUP('Données projet'!$B$15,Paramètres!$A$1:$I$89,3,0)*VLOOKUP('Données projet'!$B$15,Paramètres!$A$1:$I$89,5,0)</f>
        <v>229.63823999999994</v>
      </c>
      <c r="EL64" s="14">
        <f t="shared" si="45"/>
        <v>56.204453396569633</v>
      </c>
      <c r="EM64" s="22">
        <f t="shared" si="19"/>
        <v>497.84269099902531</v>
      </c>
      <c r="EN64" s="62">
        <f t="shared" si="20"/>
        <v>791.17602433235857</v>
      </c>
      <c r="EO64" s="62">
        <f ca="1">AVERAGE(OFFSET($EN$3,0,0,'Données projet'!$E$15+1,1))-AVERAGE(OFFSET($H$3,0,0,'Données projet'!$E$15+1,1))</f>
        <v>439.06700232017681</v>
      </c>
      <c r="EP64" s="62">
        <f t="shared" si="46"/>
        <v>278.21741231699929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3.8655789099557634</v>
      </c>
      <c r="EX64" s="23">
        <f>EXP(-LN(2)/2)*EX63+(1-EXP(-LN(2)/2))/(LN(2)/2)*ER64*EU64*VLOOKUP('Données projet'!$B$15,Paramètres!$A$1:$I$89,3,0)*0.475*44/12</f>
        <v>3.2174080679717913E-4</v>
      </c>
      <c r="EY64" s="24">
        <f t="shared" si="21"/>
        <v>3.8659006507625606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8.8000000000000007</v>
      </c>
      <c r="FE64" s="13">
        <f>IF('Données projet'!$A$218&gt;35,FE63+FD64-FM63,IF(A64&lt;'Données projet'!$A$218,$FB$205^A64,IF(A64='Données projet'!$A$218,'Données projet'!$B$218,FE63+FD64-FM63)))</f>
        <v>253.79999999999995</v>
      </c>
      <c r="FF64" s="18">
        <f>FE64*VLOOKUP('Données projet'!$B$16,Paramètres!$A$1:$I$89,3,0)*VLOOKUP('Données projet'!$B$16,Paramètres!$A$1:$I$89,5,0)</f>
        <v>245.47535999999997</v>
      </c>
      <c r="FG64" s="14">
        <f t="shared" si="47"/>
        <v>59.616029794883758</v>
      </c>
      <c r="FH64" s="22">
        <f t="shared" si="22"/>
        <v>531.36750389275585</v>
      </c>
      <c r="FI64" s="62">
        <f t="shared" si="23"/>
        <v>824.70083722608911</v>
      </c>
      <c r="FJ64" s="62">
        <f ca="1">AVERAGE(OFFSET($FI$3,0,0,'Données projet'!$E$16+1,1))-AVERAGE(OFFSET($H$3,0,0,'Données projet'!$E$16+1,1))</f>
        <v>466.4945858005575</v>
      </c>
      <c r="FK64" s="62">
        <f t="shared" si="48"/>
        <v>294.45557293177131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6.5256244921771248E-4</v>
      </c>
      <c r="FT64" s="24">
        <f t="shared" si="24"/>
        <v>6.5256244921771248E-4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8.8000000000000007</v>
      </c>
      <c r="FZ64" s="13">
        <f>IF('Données projet'!$A$244&gt;35,FZ63+FY64-GH63,IF(A64&lt;'Données projet'!$A$244,$FW$205^A64,IF(A64='Données projet'!$A$244,'Données projet'!$B$244,FZ63+FY64-GH63)))</f>
        <v>253.79999999999995</v>
      </c>
      <c r="GA64" s="18">
        <f>FZ64*VLOOKUP('Données projet'!$B$17,Paramètres!$A$1:$I$89,3,0)*VLOOKUP('Données projet'!$B$17,Paramètres!$A$1:$I$89,5,0)</f>
        <v>241.51607999999993</v>
      </c>
      <c r="GB64" s="14">
        <f t="shared" si="49"/>
        <v>58.765602836317846</v>
      </c>
      <c r="GC64" s="22">
        <f t="shared" si="25"/>
        <v>522.99059760658679</v>
      </c>
      <c r="GD64" s="62">
        <f t="shared" si="26"/>
        <v>816.32393093992005</v>
      </c>
      <c r="GE64" s="62">
        <f ca="1">AVERAGE(OFFSET($GD$3,0,0,'Données projet'!$E$17+1,1))-AVERAGE(OFFSET($H$3,0,0,'Données projet'!$E$17+1,1))</f>
        <v>459.64120566196812</v>
      </c>
      <c r="GF64" s="62">
        <f t="shared" si="50"/>
        <v>290.39826583283588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2.8421709430404007E-14</v>
      </c>
      <c r="O65" s="14">
        <f>N65*VLOOKUP('Données projet'!$B$9,Paramètres!$A$1:$I$89,3,0)*VLOOKUP('Données projet'!$B$9,Paramètres!$A$1:$I$89,5,0)</f>
        <v>1.5518253349000589E-14</v>
      </c>
      <c r="P65" s="14">
        <f t="shared" si="33"/>
        <v>2.8958815659671149E-13</v>
      </c>
      <c r="Q65" s="22">
        <f t="shared" si="53"/>
        <v>5.3139366398878183E-13</v>
      </c>
      <c r="R65" s="62">
        <f t="shared" si="0"/>
        <v>293.33333333333383</v>
      </c>
      <c r="S65" s="62">
        <f ca="1">AVERAGE(OFFSET($R$3,0,0,'Données projet'!$E$9+1,1))-AVERAGE(OFFSET($H$3,0,0,'Données projet'!$E$9+1,1))</f>
        <v>170.27677128684815</v>
      </c>
      <c r="T65" s="62">
        <f t="shared" si="34"/>
        <v>243.47439640666289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3.4003928168820412</v>
      </c>
      <c r="AB65" s="23">
        <f>EXP(-LN(2)/2)*AB64+(1-EXP(-LN(2)/2))/(LN(2)/2)*V65*Y65*VLOOKUP('Données projet'!$B$9,Paramètres!$A$1:$I$89,3,0)*0.475*44/12</f>
        <v>1.161710858796359E-4</v>
      </c>
      <c r="AC65" s="24">
        <f t="shared" si="3"/>
        <v>3.4005089879679207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208.4</v>
      </c>
      <c r="AJ65" s="14">
        <f>AI65*VLOOKUP('Données projet'!$B$10,Paramètres!$A$1:$I$89,3,0)*VLOOKUP('Données projet'!$B$10,Paramètres!$A$1:$I$89,5,0)</f>
        <v>182.05824000000001</v>
      </c>
      <c r="AK65" s="14">
        <f t="shared" si="35"/>
        <v>45.779803189729343</v>
      </c>
      <c r="AL65" s="22">
        <f t="shared" si="4"/>
        <v>396.81792522211191</v>
      </c>
      <c r="AM65" s="62">
        <f t="shared" si="5"/>
        <v>690.15125855544522</v>
      </c>
      <c r="AN65" s="62">
        <f ca="1">AVERAGE(OFFSET($AM$3,0,0,'Données projet'!$E$10+1,1))-AVERAGE(OFFSET($H$3,0,0,'Données projet'!$E$10+1,1))</f>
        <v>327.826081588335</v>
      </c>
      <c r="AO65" s="62">
        <f t="shared" si="36"/>
        <v>348.84706693879735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6.5246017411508577</v>
      </c>
      <c r="AW65" s="23">
        <f>EXP(-LN(2)/2)*AW64+(1-EXP(-LN(2)/2))/(LN(2)/2)*AQ65*AT65*VLOOKUP('Données projet'!$B$10,Paramètres!$A$1:$I$89,3,0)*0.475*44/12</f>
        <v>2.272762241449121E-4</v>
      </c>
      <c r="AX65" s="23">
        <f t="shared" si="6"/>
        <v>6.5248290173750023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</v>
      </c>
      <c r="BD65" s="13">
        <f>IF('Données projet'!$A$88&gt;35,BD64+BC65-BL64,IF(A65&lt;'Données projet'!$A$88,$BA$205^A65,IF(A65='Données projet'!$A$88,'Données projet'!$B$88,BD64+BC65-BL64)))</f>
        <v>337.99999999999972</v>
      </c>
      <c r="BE65" s="14">
        <f>BD65*VLOOKUP('Données projet'!$B$11,Paramètres!$A$1:$I$89,3,0)*VLOOKUP('Données projet'!$B$11,Paramètres!$A$1:$I$89,5,0)</f>
        <v>247.82159999999982</v>
      </c>
      <c r="BF65" s="14">
        <f t="shared" si="37"/>
        <v>60.119231945607517</v>
      </c>
      <c r="BG65" s="22">
        <f t="shared" si="7"/>
        <v>536.330282305266</v>
      </c>
      <c r="BH65" s="62">
        <f t="shared" si="8"/>
        <v>829.66361563859937</v>
      </c>
      <c r="BI65" s="62">
        <f ca="1">AVERAGE(OFFSET($BH$3,0,0,'Données projet'!$E$11+1,1))-AVERAGE(OFFSET($H$3,0,0,'Données projet'!$E$11+1,1))</f>
        <v>376.5422416541544</v>
      </c>
      <c r="BJ65" s="62">
        <f t="shared" si="38"/>
        <v>365.76175372075869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13.115912307575526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13.115912307575526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405.09126081846171</v>
      </c>
      <c r="CE65" s="62">
        <f t="shared" si="40"/>
        <v>534.22295841722166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5.22678966318081</v>
      </c>
      <c r="CL65" s="23">
        <f>EXP(-LN(2)/25)*CL64+(1-EXP(-LN(2)/25))/(LN(2)/25)*Calculateur!CG65*Calculateur!CI65*VLOOKUP('Données projet'!$B$12,Paramètres!$A$1:$I$89,3,0)*0.475*44/12</f>
        <v>5.7735238255858956</v>
      </c>
      <c r="CM65" s="23">
        <f>EXP(-LN(2)/2)*CM64+(1-EXP(-LN(2)/2))/(LN(2)/2)*CG65*CJ65*VLOOKUP('Données projet'!$B$12,Paramètres!$A$1:$I$89,3,0)*0.475*44/12</f>
        <v>2.4256471016427955E-5</v>
      </c>
      <c r="CN65" s="24">
        <f t="shared" si="12"/>
        <v>11.000337745237722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projet'!$B$13,Paramètres!$A$1:$I$89,3,0)*VLOOKUP('Données projet'!$B$13,Paramètres!$A$1:$I$89,5,0)</f>
        <v>0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244.82163392718377</v>
      </c>
      <c r="CZ65" s="62">
        <f t="shared" si="42"/>
        <v>342.30266518164211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3.1351885311499776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3.1351885311499776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4.2</v>
      </c>
      <c r="DO65" s="13">
        <f>IF('Données projet'!$A$166&gt;35,DO64+DN65-DW64,IF(A65&lt;'Données projet'!$A$166,$DL$205^A65,IF(A65='Données projet'!$A$166,'Données projet'!$B$166,DO64+DN65-DW64)))</f>
        <v>241.39999999999986</v>
      </c>
      <c r="DP65" s="18">
        <f>DO65*VLOOKUP('Données projet'!$B$14,Paramètres!$A$1:$I$89,3,0)*VLOOKUP('Données projet'!$B$14,Paramètres!$A$1:$I$89,5,0)</f>
        <v>192.05783999999991</v>
      </c>
      <c r="DQ65" s="14">
        <f t="shared" si="43"/>
        <v>47.994626423840657</v>
      </c>
      <c r="DR65" s="22">
        <f t="shared" si="16"/>
        <v>418.0913790215223</v>
      </c>
      <c r="DS65" s="62">
        <f t="shared" si="17"/>
        <v>711.42471235485561</v>
      </c>
      <c r="DT65" s="62">
        <f ca="1">AVERAGE(OFFSET($DS$3,0,0,'Données projet'!$E$14+1,1))-AVERAGE(OFFSET($H$3,0,0,'Données projet'!$E$14+1,1))</f>
        <v>298.89893065707554</v>
      </c>
      <c r="DU65" s="62">
        <f t="shared" si="44"/>
        <v>294.28794439094878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8.8000000000000007</v>
      </c>
      <c r="EJ65" s="13">
        <f>IF('Données projet'!$A$192&gt;35,EJ64+EI65-ER64,IF(A65&lt;'Données projet'!$A$192,$EG$205^A65,IF(A65='Données projet'!$A$192,'Données projet'!$B$192,EJ64+EI65-ER64)))</f>
        <v>262.59999999999997</v>
      </c>
      <c r="EK65" s="18">
        <f>EJ65*VLOOKUP('Données projet'!$B$15,Paramètres!$A$1:$I$89,3,0)*VLOOKUP('Données projet'!$B$15,Paramètres!$A$1:$I$89,5,0)</f>
        <v>237.60047999999995</v>
      </c>
      <c r="EL65" s="14">
        <f t="shared" si="45"/>
        <v>57.922960533442058</v>
      </c>
      <c r="EM65" s="22">
        <f t="shared" si="19"/>
        <v>514.70332559574479</v>
      </c>
      <c r="EN65" s="62">
        <f t="shared" si="20"/>
        <v>808.03665892907816</v>
      </c>
      <c r="EO65" s="62">
        <f ca="1">AVERAGE(OFFSET($EN$3,0,0,'Données projet'!$E$15+1,1))-AVERAGE(OFFSET($H$3,0,0,'Données projet'!$E$15+1,1))</f>
        <v>439.06700232017681</v>
      </c>
      <c r="EP65" s="62">
        <f t="shared" si="46"/>
        <v>278.21741231699929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3.7598744513810631</v>
      </c>
      <c r="EX65" s="23">
        <f>EXP(-LN(2)/2)*EX64+(1-EXP(-LN(2)/2))/(LN(2)/2)*ER65*EU65*VLOOKUP('Données projet'!$B$15,Paramètres!$A$1:$I$89,3,0)*0.475*44/12</f>
        <v>2.2750510627071621E-4</v>
      </c>
      <c r="EY65" s="24">
        <f t="shared" si="21"/>
        <v>3.7601019564873339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8.8000000000000007</v>
      </c>
      <c r="FE65" s="13">
        <f>IF('Données projet'!$A$218&gt;35,FE64+FD65-FM64,IF(A65&lt;'Données projet'!$A$218,$FB$205^A65,IF(A65='Données projet'!$A$218,'Données projet'!$B$218,FE64+FD65-FM64)))</f>
        <v>262.59999999999997</v>
      </c>
      <c r="FF65" s="18">
        <f>FE65*VLOOKUP('Données projet'!$B$16,Paramètres!$A$1:$I$89,3,0)*VLOOKUP('Données projet'!$B$16,Paramètres!$A$1:$I$89,5,0)</f>
        <v>253.98671999999999</v>
      </c>
      <c r="FG65" s="14">
        <f t="shared" si="47"/>
        <v>61.438849277739124</v>
      </c>
      <c r="FH65" s="22">
        <f t="shared" si="22"/>
        <v>549.3661998253956</v>
      </c>
      <c r="FI65" s="62">
        <f t="shared" si="23"/>
        <v>842.69953315872885</v>
      </c>
      <c r="FJ65" s="62">
        <f ca="1">AVERAGE(OFFSET($FI$3,0,0,'Données projet'!$E$16+1,1))-AVERAGE(OFFSET($H$3,0,0,'Données projet'!$E$16+1,1))</f>
        <v>466.4945858005575</v>
      </c>
      <c r="FK65" s="62">
        <f t="shared" si="48"/>
        <v>294.45557293177131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4.6143133298954657E-4</v>
      </c>
      <c r="FT65" s="24">
        <f t="shared" si="24"/>
        <v>4.6143133298954657E-4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8.8000000000000007</v>
      </c>
      <c r="FZ65" s="13">
        <f>IF('Données projet'!$A$244&gt;35,FZ64+FY65-GH64,IF(A65&lt;'Données projet'!$A$244,$FW$205^A65,IF(A65='Données projet'!$A$244,'Données projet'!$B$244,FZ64+FY65-GH64)))</f>
        <v>262.59999999999997</v>
      </c>
      <c r="GA65" s="18">
        <f>FZ65*VLOOKUP('Données projet'!$B$17,Paramètres!$A$1:$I$89,3,0)*VLOOKUP('Données projet'!$B$17,Paramètres!$A$1:$I$89,5,0)</f>
        <v>249.89015999999998</v>
      </c>
      <c r="GB65" s="14">
        <f t="shared" si="49"/>
        <v>60.562419667970957</v>
      </c>
      <c r="GC65" s="22">
        <f t="shared" si="25"/>
        <v>540.70490958838275</v>
      </c>
      <c r="GD65" s="62">
        <f t="shared" si="26"/>
        <v>834.03824292171612</v>
      </c>
      <c r="GE65" s="62">
        <f ca="1">AVERAGE(OFFSET($GD$3,0,0,'Données projet'!$E$17+1,1))-AVERAGE(OFFSET($H$3,0,0,'Données projet'!$E$17+1,1))</f>
        <v>459.64120566196812</v>
      </c>
      <c r="GF65" s="62">
        <f t="shared" si="50"/>
        <v>290.39826583283588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2.8421709430404007E-14</v>
      </c>
      <c r="O66" s="14">
        <f>N66*VLOOKUP('Données projet'!$B$9,Paramètres!$A$1:$I$89,3,0)*VLOOKUP('Données projet'!$B$9,Paramètres!$A$1:$I$89,5,0)</f>
        <v>1.5518253349000589E-14</v>
      </c>
      <c r="P66" s="14">
        <f t="shared" si="33"/>
        <v>2.8958815659671149E-13</v>
      </c>
      <c r="Q66" s="22">
        <f t="shared" si="53"/>
        <v>5.3139366398878183E-13</v>
      </c>
      <c r="R66" s="62">
        <f t="shared" si="0"/>
        <v>293.33333333333383</v>
      </c>
      <c r="S66" s="62">
        <f ca="1">AVERAGE(OFFSET($R$3,0,0,'Données projet'!$E$9+1,1))-AVERAGE(OFFSET($H$3,0,0,'Données projet'!$E$9+1,1))</f>
        <v>170.27677128684815</v>
      </c>
      <c r="T66" s="62">
        <f t="shared" si="34"/>
        <v>243.47439640666289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3.3074088964855153</v>
      </c>
      <c r="AB66" s="23">
        <f>EXP(-LN(2)/2)*AB65+(1-EXP(-LN(2)/2))/(LN(2)/2)*V66*Y66*VLOOKUP('Données projet'!$B$9,Paramètres!$A$1:$I$89,3,0)*0.475*44/12</f>
        <v>8.2145362603295338E-5</v>
      </c>
      <c r="AC66" s="24">
        <f t="shared" si="3"/>
        <v>3.3074910418481185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213.6</v>
      </c>
      <c r="AJ66" s="14">
        <f>AI66*VLOOKUP('Données projet'!$B$10,Paramètres!$A$1:$I$89,3,0)*VLOOKUP('Données projet'!$B$10,Paramètres!$A$1:$I$89,5,0)</f>
        <v>186.60096000000001</v>
      </c>
      <c r="AK66" s="14">
        <f t="shared" si="35"/>
        <v>46.787685683664144</v>
      </c>
      <c r="AL66" s="22">
        <f t="shared" si="4"/>
        <v>406.48522456571504</v>
      </c>
      <c r="AM66" s="62">
        <f t="shared" si="5"/>
        <v>699.8185578990483</v>
      </c>
      <c r="AN66" s="62">
        <f ca="1">AVERAGE(OFFSET($AM$3,0,0,'Données projet'!$E$10+1,1))-AVERAGE(OFFSET($H$3,0,0,'Données projet'!$E$10+1,1))</f>
        <v>327.826081588335</v>
      </c>
      <c r="AO66" s="62">
        <f t="shared" si="36"/>
        <v>348.84706693879735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6.3461861634251937</v>
      </c>
      <c r="AW66" s="23">
        <f>EXP(-LN(2)/2)*AW65+(1-EXP(-LN(2)/2))/(LN(2)/2)*AQ66*AT66*VLOOKUP('Données projet'!$B$10,Paramètres!$A$1:$I$89,3,0)*0.475*44/12</f>
        <v>1.607085592953411E-4</v>
      </c>
      <c r="AX66" s="23">
        <f t="shared" si="6"/>
        <v>6.3463468719844887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</v>
      </c>
      <c r="BD66" s="13">
        <f>IF('Données projet'!$A$88&gt;35,BD65+BC66-BL65,IF(A66&lt;'Données projet'!$A$88,$BA$205^A66,IF(A66='Données projet'!$A$88,'Données projet'!$B$88,BD65+BC66-BL65)))</f>
        <v>343.99999999999972</v>
      </c>
      <c r="BE66" s="14">
        <f>BD66*VLOOKUP('Données projet'!$B$11,Paramètres!$A$1:$I$89,3,0)*VLOOKUP('Données projet'!$B$11,Paramètres!$A$1:$I$89,5,0)</f>
        <v>252.2207999999998</v>
      </c>
      <c r="BF66" s="14">
        <f t="shared" si="37"/>
        <v>61.061246695931573</v>
      </c>
      <c r="BG66" s="22">
        <f t="shared" si="7"/>
        <v>545.63289799541383</v>
      </c>
      <c r="BH66" s="62">
        <f t="shared" si="8"/>
        <v>838.9662313287472</v>
      </c>
      <c r="BI66" s="62">
        <f ca="1">AVERAGE(OFFSET($BH$3,0,0,'Données projet'!$E$11+1,1))-AVERAGE(OFFSET($H$3,0,0,'Données projet'!$E$11+1,1))</f>
        <v>376.5422416541544</v>
      </c>
      <c r="BJ66" s="62">
        <f t="shared" si="38"/>
        <v>365.76175372075869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12.858717267140552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12.858717267140552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405.09126081846171</v>
      </c>
      <c r="CE66" s="62">
        <f t="shared" si="40"/>
        <v>534.22295841722166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5.1242955059127375</v>
      </c>
      <c r="CL66" s="23">
        <f>EXP(-LN(2)/25)*CL65+(1-EXP(-LN(2)/25))/(LN(2)/25)*Calculateur!CG66*Calculateur!CI66*VLOOKUP('Données projet'!$B$12,Paramètres!$A$1:$I$89,3,0)*0.475*44/12</f>
        <v>5.6156465129588264</v>
      </c>
      <c r="CM66" s="23">
        <f>EXP(-LN(2)/2)*CM65+(1-EXP(-LN(2)/2))/(LN(2)/2)*CG66*CJ66*VLOOKUP('Données projet'!$B$12,Paramètres!$A$1:$I$89,3,0)*0.475*44/12</f>
        <v>1.7151915143371153E-5</v>
      </c>
      <c r="CN66" s="24">
        <f t="shared" si="12"/>
        <v>10.739959170786706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projet'!$B$13,Paramètres!$A$1:$I$89,3,0)*VLOOKUP('Données projet'!$B$13,Paramètres!$A$1:$I$89,5,0)</f>
        <v>0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244.82163392718377</v>
      </c>
      <c r="CZ66" s="62">
        <f t="shared" si="42"/>
        <v>342.30266518164211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3.073709396330309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3.073709396330309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4.2</v>
      </c>
      <c r="DO66" s="13">
        <f>IF('Données projet'!$A$166&gt;35,DO65+DN66-DW65,IF(A66&lt;'Données projet'!$A$166,$DL$205^A66,IF(A66='Données projet'!$A$166,'Données projet'!$B$166,DO65+DN66-DW65)))</f>
        <v>245.59999999999985</v>
      </c>
      <c r="DP66" s="18">
        <f>DO66*VLOOKUP('Données projet'!$B$14,Paramètres!$A$1:$I$89,3,0)*VLOOKUP('Données projet'!$B$14,Paramètres!$A$1:$I$89,5,0)</f>
        <v>195.39935999999989</v>
      </c>
      <c r="DQ66" s="14">
        <f t="shared" si="43"/>
        <v>48.731720948569951</v>
      </c>
      <c r="DR66" s="22">
        <f t="shared" si="16"/>
        <v>425.19496598542577</v>
      </c>
      <c r="DS66" s="62">
        <f t="shared" si="17"/>
        <v>718.52829931875908</v>
      </c>
      <c r="DT66" s="62">
        <f ca="1">AVERAGE(OFFSET($DS$3,0,0,'Données projet'!$E$14+1,1))-AVERAGE(OFFSET($H$3,0,0,'Données projet'!$E$14+1,1))</f>
        <v>298.89893065707554</v>
      </c>
      <c r="DU66" s="62">
        <f t="shared" si="44"/>
        <v>294.28794439094878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8.8000000000000007</v>
      </c>
      <c r="EJ66" s="13">
        <f>IF('Données projet'!$A$192&gt;35,EJ65+EI66-ER65,IF(A66&lt;'Données projet'!$A$192,$EG$205^A66,IF(A66='Données projet'!$A$192,'Données projet'!$B$192,EJ65+EI66-ER65)))</f>
        <v>271.39999999999998</v>
      </c>
      <c r="EK66" s="18">
        <f>EJ66*VLOOKUP('Données projet'!$B$15,Paramètres!$A$1:$I$89,3,0)*VLOOKUP('Données projet'!$B$15,Paramètres!$A$1:$I$89,5,0)</f>
        <v>245.56271999999998</v>
      </c>
      <c r="EL66" s="14">
        <f t="shared" si="45"/>
        <v>59.634776048276898</v>
      </c>
      <c r="EM66" s="22">
        <f t="shared" si="19"/>
        <v>531.55230561741564</v>
      </c>
      <c r="EN66" s="62">
        <f t="shared" si="20"/>
        <v>824.8856389507489</v>
      </c>
      <c r="EO66" s="62">
        <f ca="1">AVERAGE(OFFSET($EN$3,0,0,'Données projet'!$E$15+1,1))-AVERAGE(OFFSET($H$3,0,0,'Données projet'!$E$15+1,1))</f>
        <v>439.06700232017681</v>
      </c>
      <c r="EP66" s="62">
        <f t="shared" si="46"/>
        <v>278.21741231699929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3.657060486784844</v>
      </c>
      <c r="EX66" s="23">
        <f>EXP(-LN(2)/2)*EX65+(1-EXP(-LN(2)/2))/(LN(2)/2)*ER66*EU66*VLOOKUP('Données projet'!$B$15,Paramètres!$A$1:$I$89,3,0)*0.475*44/12</f>
        <v>1.6087040339858957E-4</v>
      </c>
      <c r="EY66" s="24">
        <f t="shared" si="21"/>
        <v>3.6572213571882424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8.8000000000000007</v>
      </c>
      <c r="FE66" s="13">
        <f>IF('Données projet'!$A$218&gt;35,FE65+FD66-FM65,IF(A66&lt;'Données projet'!$A$218,$FB$205^A66,IF(A66='Données projet'!$A$218,'Données projet'!$B$218,FE65+FD66-FM65)))</f>
        <v>271.39999999999998</v>
      </c>
      <c r="FF66" s="18">
        <f>FE66*VLOOKUP('Données projet'!$B$16,Paramètres!$A$1:$I$89,3,0)*VLOOKUP('Données projet'!$B$16,Paramètres!$A$1:$I$89,5,0)</f>
        <v>262.49807999999996</v>
      </c>
      <c r="FG66" s="14">
        <f t="shared" si="47"/>
        <v>63.254570961138086</v>
      </c>
      <c r="FH66" s="22">
        <f t="shared" si="22"/>
        <v>567.35253375731543</v>
      </c>
      <c r="FI66" s="62">
        <f t="shared" si="23"/>
        <v>860.6858670906488</v>
      </c>
      <c r="FJ66" s="62">
        <f ca="1">AVERAGE(OFFSET($FI$3,0,0,'Données projet'!$E$16+1,1))-AVERAGE(OFFSET($H$3,0,0,'Données projet'!$E$16+1,1))</f>
        <v>466.4945858005575</v>
      </c>
      <c r="FK66" s="62">
        <f t="shared" si="48"/>
        <v>294.45557293177131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3.262812246088563E-4</v>
      </c>
      <c r="FT66" s="24">
        <f t="shared" si="24"/>
        <v>3.262812246088563E-4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8.8000000000000007</v>
      </c>
      <c r="FZ66" s="13">
        <f>IF('Données projet'!$A$244&gt;35,FZ65+FY66-GH65,IF(A66&lt;'Données projet'!$A$244,$FW$205^A66,IF(A66='Données projet'!$A$244,'Données projet'!$B$244,FZ65+FY66-GH65)))</f>
        <v>271.39999999999998</v>
      </c>
      <c r="GA66" s="18">
        <f>FZ66*VLOOKUP('Données projet'!$B$17,Paramètres!$A$1:$I$89,3,0)*VLOOKUP('Données projet'!$B$17,Paramètres!$A$1:$I$89,5,0)</f>
        <v>258.26423999999997</v>
      </c>
      <c r="GB66" s="14">
        <f t="shared" si="49"/>
        <v>62.352239950788103</v>
      </c>
      <c r="GC66" s="22">
        <f t="shared" si="25"/>
        <v>558.40703591428917</v>
      </c>
      <c r="GD66" s="62">
        <f t="shared" si="26"/>
        <v>851.74036924762254</v>
      </c>
      <c r="GE66" s="62">
        <f ca="1">AVERAGE(OFFSET($GD$3,0,0,'Données projet'!$E$17+1,1))-AVERAGE(OFFSET($H$3,0,0,'Données projet'!$E$17+1,1))</f>
        <v>459.64120566196812</v>
      </c>
      <c r="GF66" s="62">
        <f t="shared" si="50"/>
        <v>290.39826583283588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2.8421709430404007E-14</v>
      </c>
      <c r="O67" s="14">
        <f>N67*VLOOKUP('Données projet'!$B$9,Paramètres!$A$1:$I$89,3,0)*VLOOKUP('Données projet'!$B$9,Paramètres!$A$1:$I$89,5,0)</f>
        <v>1.5518253349000589E-14</v>
      </c>
      <c r="P67" s="14">
        <f t="shared" si="33"/>
        <v>2.8958815659671149E-13</v>
      </c>
      <c r="Q67" s="22">
        <f t="shared" ref="Q67:Q98" si="54">(O67+P67)*0.475*44/12</f>
        <v>5.3139366398878183E-13</v>
      </c>
      <c r="R67" s="62">
        <f t="shared" ref="R67:R130" si="55">Q67+(I67+J67)*44/12</f>
        <v>293.33333333333383</v>
      </c>
      <c r="S67" s="62">
        <f ca="1">AVERAGE(OFFSET($R$3,0,0,'Données projet'!$E$9+1,1))-AVERAGE(OFFSET($H$3,0,0,'Données projet'!$E$9+1,1))</f>
        <v>170.27677128684815</v>
      </c>
      <c r="T67" s="62">
        <f t="shared" si="34"/>
        <v>243.47439640666289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3.2169676262820444</v>
      </c>
      <c r="AB67" s="23">
        <f>EXP(-LN(2)/2)*AB66+(1-EXP(-LN(2)/2))/(LN(2)/2)*V67*Y67*VLOOKUP('Données projet'!$B$9,Paramètres!$A$1:$I$89,3,0)*0.475*44/12</f>
        <v>5.8085542939817966E-5</v>
      </c>
      <c r="AC67" s="24">
        <f t="shared" si="3"/>
        <v>3.2170257118249843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218.79999999999998</v>
      </c>
      <c r="AJ67" s="14">
        <f>AI67*VLOOKUP('Données projet'!$B$10,Paramètres!$A$1:$I$89,3,0)*VLOOKUP('Données projet'!$B$10,Paramètres!$A$1:$I$89,5,0)</f>
        <v>191.14368000000002</v>
      </c>
      <c r="AK67" s="14">
        <f t="shared" si="35"/>
        <v>47.792715878069586</v>
      </c>
      <c r="AL67" s="22">
        <f t="shared" si="4"/>
        <v>416.14755615430454</v>
      </c>
      <c r="AM67" s="62">
        <f t="shared" si="5"/>
        <v>709.4808894876378</v>
      </c>
      <c r="AN67" s="62">
        <f ca="1">AVERAGE(OFFSET($AM$3,0,0,'Données projet'!$E$10+1,1))-AVERAGE(OFFSET($H$3,0,0,'Données projet'!$E$10+1,1))</f>
        <v>327.826081588335</v>
      </c>
      <c r="AO67" s="62">
        <f t="shared" si="36"/>
        <v>348.84706693879735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6.1726493690549056</v>
      </c>
      <c r="AW67" s="23">
        <f>EXP(-LN(2)/2)*AW66+(1-EXP(-LN(2)/2))/(LN(2)/2)*AQ67*AT67*VLOOKUP('Données projet'!$B$10,Paramètres!$A$1:$I$89,3,0)*0.475*44/12</f>
        <v>1.1363811207245606E-4</v>
      </c>
      <c r="AX67" s="23">
        <f t="shared" si="6"/>
        <v>6.1727630071669779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</v>
      </c>
      <c r="BD67" s="13">
        <f>IF('Données projet'!$A$88&gt;35,BD66+BC67-BL66,IF(A67&lt;'Données projet'!$A$88,$BA$205^A67,IF(A67='Données projet'!$A$88,'Données projet'!$B$88,BD66+BC67-BL66)))</f>
        <v>349.99999999999972</v>
      </c>
      <c r="BE67" s="14">
        <f>BD67*VLOOKUP('Données projet'!$B$11,Paramètres!$A$1:$I$89,3,0)*VLOOKUP('Données projet'!$B$11,Paramètres!$A$1:$I$89,5,0)</f>
        <v>256.61999999999978</v>
      </c>
      <c r="BF67" s="14">
        <f t="shared" si="37"/>
        <v>62.001350774926514</v>
      </c>
      <c r="BG67" s="22">
        <f t="shared" si="7"/>
        <v>554.9321859329965</v>
      </c>
      <c r="BH67" s="62">
        <f t="shared" si="8"/>
        <v>848.26551926632987</v>
      </c>
      <c r="BI67" s="62">
        <f ca="1">AVERAGE(OFFSET($BH$3,0,0,'Données projet'!$E$11+1,1))-AVERAGE(OFFSET($H$3,0,0,'Données projet'!$E$11+1,1))</f>
        <v>376.5422416541544</v>
      </c>
      <c r="BJ67" s="62">
        <f t="shared" si="38"/>
        <v>365.76175372075869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12.606565664575022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12.606565664575022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405.09126081846171</v>
      </c>
      <c r="CE67" s="62">
        <f t="shared" si="40"/>
        <v>534.22295841722166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5.0238111965534289</v>
      </c>
      <c r="CL67" s="23">
        <f>EXP(-LN(2)/25)*CL66+(1-EXP(-LN(2)/25))/(LN(2)/25)*Calculateur!CG67*Calculateur!CI67*VLOOKUP('Données projet'!$B$12,Paramètres!$A$1:$I$89,3,0)*0.475*44/12</f>
        <v>5.462086363747952</v>
      </c>
      <c r="CM67" s="23">
        <f>EXP(-LN(2)/2)*CM66+(1-EXP(-LN(2)/2))/(LN(2)/2)*CG67*CJ67*VLOOKUP('Données projet'!$B$12,Paramètres!$A$1:$I$89,3,0)*0.475*44/12</f>
        <v>1.2128235508213977E-5</v>
      </c>
      <c r="CN67" s="24">
        <f t="shared" si="12"/>
        <v>10.485909688536889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projet'!$B$13,Paramètres!$A$1:$I$89,3,0)*VLOOKUP('Données projet'!$B$13,Paramètres!$A$1:$I$89,5,0)</f>
        <v>0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244.82163392718377</v>
      </c>
      <c r="CZ67" s="62">
        <f t="shared" si="42"/>
        <v>342.30266518164211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3.0134358298458843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3.0134358298458843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4.2</v>
      </c>
      <c r="DO67" s="13">
        <f>IF('Données projet'!$A$166&gt;35,DO66+DN67-DW66,IF(A67&lt;'Données projet'!$A$166,$DL$205^A67,IF(A67='Données projet'!$A$166,'Données projet'!$B$166,DO66+DN67-DW66)))</f>
        <v>249.79999999999984</v>
      </c>
      <c r="DP67" s="18">
        <f>DO67*VLOOKUP('Données projet'!$B$14,Paramètres!$A$1:$I$89,3,0)*VLOOKUP('Données projet'!$B$14,Paramètres!$A$1:$I$89,5,0)</f>
        <v>198.74087999999989</v>
      </c>
      <c r="DQ67" s="14">
        <f t="shared" si="43"/>
        <v>49.467349630825595</v>
      </c>
      <c r="DR67" s="22">
        <f t="shared" si="16"/>
        <v>432.29599994035442</v>
      </c>
      <c r="DS67" s="62">
        <f t="shared" si="17"/>
        <v>725.62933327368773</v>
      </c>
      <c r="DT67" s="62">
        <f ca="1">AVERAGE(OFFSET($DS$3,0,0,'Données projet'!$E$14+1,1))-AVERAGE(OFFSET($H$3,0,0,'Données projet'!$E$14+1,1))</f>
        <v>298.89893065707554</v>
      </c>
      <c r="DU67" s="62">
        <f t="shared" si="44"/>
        <v>294.28794439094878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8.8000000000000007</v>
      </c>
      <c r="EJ67" s="13">
        <f>IF('Données projet'!$A$192&gt;35,EJ66+EI67-ER66,IF(A67&lt;'Données projet'!$A$192,$EG$205^A67,IF(A67='Données projet'!$A$192,'Données projet'!$B$192,EJ66+EI67-ER66)))</f>
        <v>280.2</v>
      </c>
      <c r="EK67" s="18">
        <f>EJ67*VLOOKUP('Données projet'!$B$15,Paramètres!$A$1:$I$89,3,0)*VLOOKUP('Données projet'!$B$15,Paramètres!$A$1:$I$89,5,0)</f>
        <v>253.52495999999999</v>
      </c>
      <c r="EL67" s="14">
        <f t="shared" si="45"/>
        <v>61.340141798422209</v>
      </c>
      <c r="EM67" s="22">
        <f t="shared" si="19"/>
        <v>548.39005229891859</v>
      </c>
      <c r="EN67" s="62">
        <f t="shared" si="20"/>
        <v>841.72338563225185</v>
      </c>
      <c r="EO67" s="62">
        <f ca="1">AVERAGE(OFFSET($EN$3,0,0,'Données projet'!$E$15+1,1))-AVERAGE(OFFSET($H$3,0,0,'Données projet'!$E$15+1,1))</f>
        <v>439.06700232017681</v>
      </c>
      <c r="EP67" s="62">
        <f t="shared" si="46"/>
        <v>278.21741231699929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3.5570579754572598</v>
      </c>
      <c r="EX67" s="23">
        <f>EXP(-LN(2)/2)*EX66+(1-EXP(-LN(2)/2))/(LN(2)/2)*ER67*EU67*VLOOKUP('Données projet'!$B$15,Paramètres!$A$1:$I$89,3,0)*0.475*44/12</f>
        <v>1.1375255313535811E-4</v>
      </c>
      <c r="EY67" s="24">
        <f t="shared" si="21"/>
        <v>3.5571717280103949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8.8000000000000007</v>
      </c>
      <c r="FE67" s="13">
        <f>IF('Données projet'!$A$218&gt;35,FE66+FD67-FM66,IF(A67&lt;'Données projet'!$A$218,$FB$205^A67,IF(A67='Données projet'!$A$218,'Données projet'!$B$218,FE66+FD67-FM66)))</f>
        <v>280.2</v>
      </c>
      <c r="FF67" s="18">
        <f>FE67*VLOOKUP('Données projet'!$B$16,Paramètres!$A$1:$I$89,3,0)*VLOOKUP('Données projet'!$B$16,Paramètres!$A$1:$I$89,5,0)</f>
        <v>271.00943999999998</v>
      </c>
      <c r="FG67" s="14">
        <f t="shared" si="47"/>
        <v>65.063451383023647</v>
      </c>
      <c r="FH67" s="22">
        <f t="shared" si="22"/>
        <v>585.32695249209939</v>
      </c>
      <c r="FI67" s="62">
        <f t="shared" si="23"/>
        <v>878.66028582543277</v>
      </c>
      <c r="FJ67" s="62">
        <f ca="1">AVERAGE(OFFSET($FI$3,0,0,'Données projet'!$E$16+1,1))-AVERAGE(OFFSET($H$3,0,0,'Données projet'!$E$16+1,1))</f>
        <v>466.4945858005575</v>
      </c>
      <c r="FK67" s="62">
        <f t="shared" si="48"/>
        <v>294.45557293177131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2.3071566649477334E-4</v>
      </c>
      <c r="FT67" s="24">
        <f t="shared" si="24"/>
        <v>2.3071566649477334E-4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8.8000000000000007</v>
      </c>
      <c r="FZ67" s="13">
        <f>IF('Données projet'!$A$244&gt;35,FZ66+FY67-GH66,IF(A67&lt;'Données projet'!$A$244,$FW$205^A67,IF(A67='Données projet'!$A$244,'Données projet'!$B$244,FZ66+FY67-GH66)))</f>
        <v>280.2</v>
      </c>
      <c r="GA67" s="18">
        <f>FZ67*VLOOKUP('Données projet'!$B$17,Paramètres!$A$1:$I$89,3,0)*VLOOKUP('Données projet'!$B$17,Paramètres!$A$1:$I$89,5,0)</f>
        <v>266.63832000000002</v>
      </c>
      <c r="GB67" s="14">
        <f t="shared" si="49"/>
        <v>64.135316563180027</v>
      </c>
      <c r="GC67" s="22">
        <f t="shared" si="25"/>
        <v>576.09741701420523</v>
      </c>
      <c r="GD67" s="62">
        <f t="shared" si="26"/>
        <v>869.43075034753861</v>
      </c>
      <c r="GE67" s="62">
        <f ca="1">AVERAGE(OFFSET($GD$3,0,0,'Données projet'!$E$17+1,1))-AVERAGE(OFFSET($H$3,0,0,'Données projet'!$E$17+1,1))</f>
        <v>459.64120566196812</v>
      </c>
      <c r="GF67" s="62">
        <f t="shared" si="50"/>
        <v>290.39826583283588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2.8421709430404007E-14</v>
      </c>
      <c r="O68" s="14">
        <f>N68*VLOOKUP('Données projet'!$B$9,Paramètres!$A$1:$I$89,3,0)*VLOOKUP('Données projet'!$B$9,Paramètres!$A$1:$I$89,5,0)</f>
        <v>1.5518253349000589E-14</v>
      </c>
      <c r="P68" s="14">
        <f t="shared" si="33"/>
        <v>2.8958815659671149E-13</v>
      </c>
      <c r="Q68" s="22">
        <f t="shared" si="54"/>
        <v>5.3139366398878183E-13</v>
      </c>
      <c r="R68" s="62">
        <f t="shared" si="55"/>
        <v>293.33333333333383</v>
      </c>
      <c r="S68" s="62">
        <f ca="1">AVERAGE(OFFSET($R$3,0,0,'Données projet'!$E$9+1,1))-AVERAGE(OFFSET($H$3,0,0,'Données projet'!$E$9+1,1))</f>
        <v>170.27677128684815</v>
      </c>
      <c r="T68" s="62">
        <f t="shared" si="34"/>
        <v>243.47439640666289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3.1289994773683869</v>
      </c>
      <c r="AB68" s="23">
        <f>EXP(-LN(2)/2)*AB67+(1-EXP(-LN(2)/2))/(LN(2)/2)*V68*Y68*VLOOKUP('Données projet'!$B$9,Paramètres!$A$1:$I$89,3,0)*0.475*44/12</f>
        <v>4.1072681301647676E-5</v>
      </c>
      <c r="AC68" s="24">
        <f t="shared" ref="AC68:AC131" si="57">SUM(Z68:AB68)</f>
        <v>3.1290405500496887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224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223.99999999999997</v>
      </c>
      <c r="AJ68" s="14">
        <f>AI68*VLOOKUP('Données projet'!$B$10,Paramètres!$A$1:$I$89,3,0)*VLOOKUP('Données projet'!$B$10,Paramètres!$A$1:$I$89,5,0)</f>
        <v>195.68639999999999</v>
      </c>
      <c r="AK68" s="14">
        <f t="shared" si="35"/>
        <v>48.794969360985156</v>
      </c>
      <c r="AL68" s="22">
        <f t="shared" ref="AL68:AL131" si="58">(AJ68+AK68)*0.475*44/12</f>
        <v>425.80505163704908</v>
      </c>
      <c r="AM68" s="62">
        <f t="shared" ref="AM68:AM131" si="59">AL68+(AD68+AE68)*44/12</f>
        <v>719.13838497038239</v>
      </c>
      <c r="AN68" s="62">
        <f ca="1">AVERAGE(OFFSET($AM$3,0,0,'Données projet'!$E$10+1,1))-AVERAGE(OFFSET($H$3,0,0,'Données projet'!$E$10+1,1))</f>
        <v>327.826081588335</v>
      </c>
      <c r="AO68" s="62">
        <f t="shared" si="36"/>
        <v>348.84706693879735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6.0038579474525768</v>
      </c>
      <c r="AW68" s="23">
        <f>EXP(-LN(2)/2)*AW67+(1-EXP(-LN(2)/2))/(LN(2)/2)*AQ68*AT68*VLOOKUP('Données projet'!$B$10,Paramètres!$A$1:$I$89,3,0)*0.475*44/12</f>
        <v>8.0354279647670563E-5</v>
      </c>
      <c r="AX68" s="23">
        <f t="shared" ref="AX68:AX131" si="60">SUM(AU68:AW68)</f>
        <v>6.0039383017322248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356</v>
      </c>
      <c r="BB68" s="13">
        <f>VLOOKUP(A68,'Données projet'!$A$87:$I$107,9,0)</f>
        <v>6</v>
      </c>
      <c r="BC68" s="13">
        <f t="array" ref="BC68">INDEX(BB:BB,MIN(IF(ISNUMBER(BB68:BB264),ROW(BB68:BB264),"")))</f>
        <v>6</v>
      </c>
      <c r="BD68" s="13">
        <f>IF('Données projet'!$A$88&gt;35,BD67+BC68-BL67,IF(A68&lt;'Données projet'!$A$88,$BA$205^A68,IF(A68='Données projet'!$A$88,'Données projet'!$B$88,BD67+BC68-BL67)))</f>
        <v>355.99999999999972</v>
      </c>
      <c r="BE68" s="14">
        <f>BD68*VLOOKUP('Données projet'!$B$11,Paramètres!$A$1:$I$89,3,0)*VLOOKUP('Données projet'!$B$11,Paramètres!$A$1:$I$89,5,0)</f>
        <v>261.01919999999978</v>
      </c>
      <c r="BF68" s="14">
        <f t="shared" si="37"/>
        <v>62.939580716713571</v>
      </c>
      <c r="BG68" s="22">
        <f t="shared" ref="BG68:BG131" si="61">(BE68+BF68)*0.475*44/12</f>
        <v>564.22820974827573</v>
      </c>
      <c r="BH68" s="62">
        <f t="shared" ref="BH68:BH131" si="62">BG68+(AY68+AZ68)*44/12</f>
        <v>857.56154308160899</v>
      </c>
      <c r="BI68" s="62">
        <f ca="1">AVERAGE(OFFSET($BH$3,0,0,'Données projet'!$E$11+1,1))-AVERAGE(OFFSET($H$3,0,0,'Données projet'!$E$11+1,1))</f>
        <v>376.5422416541544</v>
      </c>
      <c r="BJ68" s="62">
        <f t="shared" si="38"/>
        <v>365.76175372075869</v>
      </c>
      <c r="BK68" s="16">
        <f>IF(ISNA(VLOOKUP(A68,'Données projet'!$A$87:$I$107,3,0)),0,VLOOKUP(A68,'Données projet'!$A$87:$I$107,3,0))</f>
        <v>12</v>
      </c>
      <c r="BL68" s="16">
        <f>IF(ISNA(VLOOKUP(A68,'Données projet'!$A$87:$I$107,4,0)),0,VLOOKUP(A68,'Données projet'!$A$87:$I$107,4,0))</f>
        <v>16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12.359358601138512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12.359358601138512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405.09126081846171</v>
      </c>
      <c r="CE68" s="62">
        <f t="shared" si="40"/>
        <v>534.22295841722166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4.9252973232112796</v>
      </c>
      <c r="CL68" s="23">
        <f>EXP(-LN(2)/25)*CL67+(1-EXP(-LN(2)/25))/(LN(2)/25)*Calculateur!CG68*Calculateur!CI68*VLOOKUP('Données projet'!$B$12,Paramètres!$A$1:$I$89,3,0)*0.475*44/12</f>
        <v>5.3127253248926261</v>
      </c>
      <c r="CM68" s="23">
        <f>EXP(-LN(2)/2)*CM67+(1-EXP(-LN(2)/2))/(LN(2)/2)*CG68*CJ68*VLOOKUP('Données projet'!$B$12,Paramètres!$A$1:$I$89,3,0)*0.475*44/12</f>
        <v>8.5759575716855767E-6</v>
      </c>
      <c r="CN68" s="24">
        <f t="shared" ref="CN68:CN131" si="66">SUM(CK68:CM68)</f>
        <v>10.238031224061478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projet'!$B$13,Paramètres!$A$1:$I$89,3,0)*VLOOKUP('Données projet'!$B$13,Paramètres!$A$1:$I$89,5,0)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244.82163392718377</v>
      </c>
      <c r="CZ68" s="62">
        <f t="shared" si="42"/>
        <v>342.30266518164211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2.9543441912369737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2.9543441912369737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254</v>
      </c>
      <c r="DM68" s="13">
        <f>VLOOKUP(A68,'Données projet'!$A$165:$I$185,9,0)</f>
        <v>4.2</v>
      </c>
      <c r="DN68" s="13">
        <f t="array" ref="DN68">INDEX(DM:DM,MIN(IF(ISNUMBER(DM68:DM264),ROW(DM68:DM264),"")))</f>
        <v>4.2</v>
      </c>
      <c r="DO68" s="13">
        <f>IF('Données projet'!$A$166&gt;35,DO67+DN68-DW67,IF(A68&lt;'Données projet'!$A$166,$DL$205^A68,IF(A68='Données projet'!$A$166,'Données projet'!$B$166,DO67+DN68-DW67)))</f>
        <v>253.99999999999983</v>
      </c>
      <c r="DP68" s="18">
        <f>DO68*VLOOKUP('Données projet'!$B$14,Paramètres!$A$1:$I$89,3,0)*VLOOKUP('Données projet'!$B$14,Paramètres!$A$1:$I$89,5,0)</f>
        <v>202.08239999999986</v>
      </c>
      <c r="DQ68" s="14">
        <f t="shared" si="43"/>
        <v>50.201539960960616</v>
      </c>
      <c r="DR68" s="22">
        <f t="shared" ref="DR68:DR131" si="70">(DP68+DQ68)*0.475*44/12</f>
        <v>439.39452876533943</v>
      </c>
      <c r="DS68" s="62">
        <f t="shared" ref="DS68:DS131" si="71">DR68+(DJ68+DK68)*44/12</f>
        <v>732.72786209867274</v>
      </c>
      <c r="DT68" s="62">
        <f ca="1">AVERAGE(OFFSET($DS$3,0,0,'Données projet'!$E$14+1,1))-AVERAGE(OFFSET($H$3,0,0,'Données projet'!$E$14+1,1))</f>
        <v>298.89893065707554</v>
      </c>
      <c r="DU68" s="62">
        <f t="shared" si="44"/>
        <v>294.28794439094878</v>
      </c>
      <c r="DV68" s="16">
        <f>IF(ISNA(VLOOKUP(A68,'Données projet'!$A$165:$I$185,3,0)),0,VLOOKUP(A68,'Données projet'!$A$165:$I$185,3,0))</f>
        <v>11</v>
      </c>
      <c r="DW68" s="16">
        <f>IF(ISNA(VLOOKUP(A68,'Données projet'!$A$165:$I$185,4,0)),0,VLOOKUP(A68,'Données projet'!$A$165:$I$185,4,0))</f>
        <v>11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289</v>
      </c>
      <c r="EH68" s="13">
        <f>VLOOKUP(A68,'Données projet'!$A$191:$I$211,9,0)</f>
        <v>8.8000000000000007</v>
      </c>
      <c r="EI68" s="13">
        <f t="array" ref="EI68">INDEX(EH:EH,MIN(IF(ISNUMBER(EH68:EH264),ROW(EH68:EH264),"")))</f>
        <v>8.8000000000000007</v>
      </c>
      <c r="EJ68" s="13">
        <f>IF('Données projet'!$A$192&gt;35,EJ67+EI68-ER67,IF(A68&lt;'Données projet'!$A$192,$EG$205^A68,IF(A68='Données projet'!$A$192,'Données projet'!$B$192,EJ67+EI68-ER67)))</f>
        <v>289</v>
      </c>
      <c r="EK68" s="18">
        <f>EJ68*VLOOKUP('Données projet'!$B$15,Paramètres!$A$1:$I$89,3,0)*VLOOKUP('Données projet'!$B$15,Paramètres!$A$1:$I$89,5,0)</f>
        <v>261.48719999999997</v>
      </c>
      <c r="EL68" s="14">
        <f t="shared" si="45"/>
        <v>63.039283586802391</v>
      </c>
      <c r="EM68" s="22">
        <f t="shared" ref="EM68:EM131" si="73">(EK68+EL68)*0.475*44/12</f>
        <v>565.21695891368086</v>
      </c>
      <c r="EN68" s="62">
        <f t="shared" ref="EN68:EN131" si="74">EM68+(EE68+EF68)*44/12</f>
        <v>858.55029224701411</v>
      </c>
      <c r="EO68" s="62">
        <f ca="1">AVERAGE(OFFSET($EN$3,0,0,'Données projet'!$E$15+1,1))-AVERAGE(OFFSET($H$3,0,0,'Données projet'!$E$15+1,1))</f>
        <v>439.06700232017681</v>
      </c>
      <c r="EP68" s="62">
        <f t="shared" si="46"/>
        <v>278.21741231699929</v>
      </c>
      <c r="EQ68" s="16">
        <f>IF(ISNA(VLOOKUP(A68,'Données projet'!$A$191:$I$211,3,0)),0,VLOOKUP(A68,'Données projet'!$A$191:$I$211,3,0))</f>
        <v>10</v>
      </c>
      <c r="ER68" s="16">
        <f>IF(ISNA(VLOOKUP(A68,'Données projet'!$A$191:$I$211,4,0)),0,VLOOKUP(A68,'Données projet'!$A$191:$I$211,4,0))</f>
        <v>28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3.4597900380608317</v>
      </c>
      <c r="EX68" s="23">
        <f>EXP(-LN(2)/2)*EX67+(1-EXP(-LN(2)/2))/(LN(2)/2)*ER68*EU68*VLOOKUP('Données projet'!$B$15,Paramètres!$A$1:$I$89,3,0)*0.475*44/12</f>
        <v>8.0435201699294783E-5</v>
      </c>
      <c r="EY68" s="24">
        <f t="shared" ref="EY68:EY131" si="75">SUM(EV68:EX68)</f>
        <v>3.4598704732625309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289</v>
      </c>
      <c r="FC68" s="13">
        <f>VLOOKUP(A68,'Données projet'!$A$217:$I$237,9,0)</f>
        <v>8.8000000000000007</v>
      </c>
      <c r="FD68" s="13">
        <f t="array" ref="FD68">INDEX(FC:FC,MIN(IF(ISNUMBER(FC68:FC264),ROW(FC68:FC264),"")))</f>
        <v>8.8000000000000007</v>
      </c>
      <c r="FE68" s="13">
        <f>IF('Données projet'!$A$218&gt;35,FE67+FD68-FM67,IF(A68&lt;'Données projet'!$A$218,$FB$205^A68,IF(A68='Données projet'!$A$218,'Données projet'!$B$218,FE67+FD68-FM67)))</f>
        <v>289</v>
      </c>
      <c r="FF68" s="18">
        <f>FE68*VLOOKUP('Données projet'!$B$16,Paramètres!$A$1:$I$89,3,0)*VLOOKUP('Données projet'!$B$16,Paramètres!$A$1:$I$89,5,0)</f>
        <v>279.52080000000001</v>
      </c>
      <c r="FG68" s="14">
        <f t="shared" si="47"/>
        <v>66.865730052421583</v>
      </c>
      <c r="FH68" s="22">
        <f t="shared" ref="FH68:FH131" si="76">(FF68+FG68)*0.475*44/12</f>
        <v>603.28987317463418</v>
      </c>
      <c r="FI68" s="62">
        <f t="shared" ref="FI68:FI131" si="77">FH68+(EZ68+FA68)*44/12</f>
        <v>896.62320650796755</v>
      </c>
      <c r="FJ68" s="62">
        <f ca="1">AVERAGE(OFFSET($FI$3,0,0,'Données projet'!$E$16+1,1))-AVERAGE(OFFSET($H$3,0,0,'Données projet'!$E$16+1,1))</f>
        <v>466.4945858005575</v>
      </c>
      <c r="FK68" s="62">
        <f t="shared" si="48"/>
        <v>294.45557293177131</v>
      </c>
      <c r="FL68" s="16">
        <f>IF(ISNA(VLOOKUP(A68,'Données projet'!$A$217:$I$237,3,0)),0,VLOOKUP(A68,'Données projet'!$A$217:$I$237,3,0))</f>
        <v>10</v>
      </c>
      <c r="FM68" s="16">
        <f>IF(ISNA(VLOOKUP(A68,'Données projet'!$A$217:$I$237,4,0)),0,VLOOKUP(A68,'Données projet'!$A$217:$I$237,4,0))</f>
        <v>28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1.6314061230442818E-4</v>
      </c>
      <c r="FT68" s="24">
        <f t="shared" ref="FT68:FT131" si="78">SUM(FQ68:FS68)</f>
        <v>1.6314061230442818E-4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289</v>
      </c>
      <c r="FX68" s="13">
        <f>VLOOKUP(A68,'Données projet'!$A$243:$I$263,9,0)</f>
        <v>8.8000000000000007</v>
      </c>
      <c r="FY68" s="13">
        <f t="array" ref="FY68">INDEX(FX:FX,MIN(IF(ISNUMBER(FX68:FX264),ROW(FX68:FX264),"")))</f>
        <v>8.8000000000000007</v>
      </c>
      <c r="FZ68" s="13">
        <f>IF('Données projet'!$A$244&gt;35,FZ67+FY68-GH67,IF(A68&lt;'Données projet'!$A$244,$FW$205^A68,IF(A68='Données projet'!$A$244,'Données projet'!$B$244,FZ67+FY68-GH67)))</f>
        <v>289</v>
      </c>
      <c r="GA68" s="18">
        <f>FZ68*VLOOKUP('Données projet'!$B$17,Paramètres!$A$1:$I$89,3,0)*VLOOKUP('Données projet'!$B$17,Paramètres!$A$1:$I$89,5,0)</f>
        <v>275.01240000000001</v>
      </c>
      <c r="GB68" s="14">
        <f t="shared" si="49"/>
        <v>65.911885597559035</v>
      </c>
      <c r="GC68" s="22">
        <f t="shared" ref="GC68:GC131" si="79">(GA68+GB68)*0.475*44/12</f>
        <v>593.77646408241537</v>
      </c>
      <c r="GD68" s="62">
        <f t="shared" ref="GD68:GD131" si="80">GC68+(FU68+FV68)*44/12</f>
        <v>887.10979741574874</v>
      </c>
      <c r="GE68" s="62">
        <f ca="1">AVERAGE(OFFSET($GD$3,0,0,'Données projet'!$E$17+1,1))-AVERAGE(OFFSET($H$3,0,0,'Données projet'!$E$17+1,1))</f>
        <v>459.64120566196812</v>
      </c>
      <c r="GF68" s="62">
        <f t="shared" si="50"/>
        <v>290.39826583283588</v>
      </c>
      <c r="GG68" s="16">
        <f>IF(ISNA(VLOOKUP(A68,'Données projet'!$A$243:$I$263,3,0)),0,VLOOKUP(A68,'Données projet'!$A$243:$I$263,3,0))</f>
        <v>10</v>
      </c>
      <c r="GH68" s="16">
        <f>IF(ISNA(VLOOKUP(A68,'Données projet'!$A$243:$I$263,4,0)),0,VLOOKUP(A68,'Données projet'!$A$243:$I$263,4,0))</f>
        <v>28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2.8421709430404007E-14</v>
      </c>
      <c r="O69" s="14">
        <f>N69*VLOOKUP('Données projet'!$B$9,Paramètres!$A$1:$I$89,3,0)*VLOOKUP('Données projet'!$B$9,Paramètres!$A$1:$I$89,5,0)</f>
        <v>1.5518253349000589E-14</v>
      </c>
      <c r="P69" s="14">
        <f t="shared" ref="P69:P132" si="87">EXP(-1.0587+0.8836*LN(O69)+0.284)</f>
        <v>2.8958815659671149E-13</v>
      </c>
      <c r="Q69" s="22">
        <f t="shared" si="54"/>
        <v>5.3139366398878183E-13</v>
      </c>
      <c r="R69" s="62">
        <f t="shared" si="55"/>
        <v>293.33333333333383</v>
      </c>
      <c r="S69" s="62">
        <f ca="1">AVERAGE(OFFSET($R$3,0,0,'Données projet'!$E$9+1,1))-AVERAGE(OFFSET($H$3,0,0,'Données projet'!$E$9+1,1))</f>
        <v>170.27677128684815</v>
      </c>
      <c r="T69" s="62">
        <f t="shared" ref="T69:T132" si="88">$T$3</f>
        <v>243.47439640666289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3.0434368221128172</v>
      </c>
      <c r="AB69" s="23">
        <f>EXP(-LN(2)/2)*AB68+(1-EXP(-LN(2)/2))/(LN(2)/2)*V69*Y69*VLOOKUP('Données projet'!$B$9,Paramètres!$A$1:$I$89,3,0)*0.475*44/12</f>
        <v>2.9042771469908986E-5</v>
      </c>
      <c r="AC69" s="24">
        <f t="shared" si="57"/>
        <v>3.0434658648842872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4.5999999999999996</v>
      </c>
      <c r="AI69" s="14">
        <f>IF('Données projet'!$A$62&gt;35,AI68+AH69-AQ68,IF(A69&lt;'Données projet'!$A$62,$AF$205^A69,IF(A69='Données projet'!$A$62,'Données projet'!$B$62,AI68+AH69-AQ68)))</f>
        <v>208.59999999999997</v>
      </c>
      <c r="AJ69" s="14">
        <f>AI69*VLOOKUP('Données projet'!$B$10,Paramètres!$A$1:$I$89,3,0)*VLOOKUP('Données projet'!$B$10,Paramètres!$A$1:$I$89,5,0)</f>
        <v>182.23295999999999</v>
      </c>
      <c r="AK69" s="14">
        <f t="shared" ref="AK69:AK132" si="89">EXP(-1.0587+0.8836*LN(AJ69)+0.284)</f>
        <v>45.818621592366291</v>
      </c>
      <c r="AL69" s="22">
        <f t="shared" si="58"/>
        <v>397.18983794003793</v>
      </c>
      <c r="AM69" s="62">
        <f t="shared" si="59"/>
        <v>690.52317127337119</v>
      </c>
      <c r="AN69" s="62">
        <f ca="1">AVERAGE(OFFSET($AM$3,0,0,'Données projet'!$E$10+1,1))-AVERAGE(OFFSET($H$3,0,0,'Données projet'!$E$10+1,1))</f>
        <v>327.826081588335</v>
      </c>
      <c r="AO69" s="62">
        <f t="shared" ref="AO69:AO132" si="90">$AO$3</f>
        <v>348.84706693879735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5.8396821361503184</v>
      </c>
      <c r="AW69" s="23">
        <f>EXP(-LN(2)/2)*AW68+(1-EXP(-LN(2)/2))/(LN(2)/2)*AQ69*AT69*VLOOKUP('Données projet'!$B$10,Paramètres!$A$1:$I$89,3,0)*0.475*44/12</f>
        <v>5.6819056036228039E-5</v>
      </c>
      <c r="AX69" s="23">
        <f t="shared" si="60"/>
        <v>5.8397389552063546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345.1999999999997</v>
      </c>
      <c r="BE69" s="14">
        <f>BD69*VLOOKUP('Données projet'!$B$11,Paramètres!$A$1:$I$89,3,0)*VLOOKUP('Données projet'!$B$11,Paramètres!$A$1:$I$89,5,0)</f>
        <v>253.1006399999998</v>
      </c>
      <c r="BF69" s="14">
        <f t="shared" ref="BF69:BF132" si="91">EXP(-1.0587+0.8836*LN(BE69)+0.284)</f>
        <v>61.249419177028884</v>
      </c>
      <c r="BG69" s="22">
        <f t="shared" si="61"/>
        <v>547.4930197333249</v>
      </c>
      <c r="BH69" s="62">
        <f t="shared" si="62"/>
        <v>840.82635306665816</v>
      </c>
      <c r="BI69" s="62">
        <f ca="1">AVERAGE(OFFSET($BH$3,0,0,'Données projet'!$E$11+1,1))-AVERAGE(OFFSET($H$3,0,0,'Données projet'!$E$11+1,1))</f>
        <v>376.5422416541544</v>
      </c>
      <c r="BJ69" s="62">
        <f t="shared" ref="BJ69:BJ132" si="92">$BJ$3</f>
        <v>365.76175372075869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12.11699911743457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12.11699911743457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405.09126081846171</v>
      </c>
      <c r="CE69" s="62">
        <f t="shared" ref="CE69:CE132" si="94">$CE$3</f>
        <v>534.22295841722166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4.8287152468378398</v>
      </c>
      <c r="CL69" s="23">
        <f>EXP(-LN(2)/25)*CL68+(1-EXP(-LN(2)/25))/(LN(2)/25)*Calculateur!CG69*Calculateur!CI69*VLOOKUP('Données projet'!$B$12,Paramètres!$A$1:$I$89,3,0)*0.475*44/12</f>
        <v>5.1674485714993548</v>
      </c>
      <c r="CM69" s="23">
        <f>EXP(-LN(2)/2)*CM68+(1-EXP(-LN(2)/2))/(LN(2)/2)*CG69*CJ69*VLOOKUP('Données projet'!$B$12,Paramètres!$A$1:$I$89,3,0)*0.475*44/12</f>
        <v>6.0641177541069886E-6</v>
      </c>
      <c r="CN69" s="24">
        <f t="shared" si="66"/>
        <v>9.9961698824549483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projet'!$B$13,Paramètres!$A$1:$I$89,3,0)*VLOOKUP('Données projet'!$B$13,Paramètres!$A$1:$I$89,5,0)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244.82163392718377</v>
      </c>
      <c r="CZ69" s="62">
        <f t="shared" ref="CZ69:CZ132" si="96">$CZ$3</f>
        <v>342.30266518164211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2.8964113036188435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2.8964113036188435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3.8</v>
      </c>
      <c r="DO69" s="13">
        <f>IF('Données projet'!$A$166&gt;35,DO68+DN69-DW68,IF(A69&lt;'Données projet'!$A$166,$DL$205^A69,IF(A69='Données projet'!$A$166,'Données projet'!$B$166,DO68+DN69-DW68)))</f>
        <v>246.79999999999984</v>
      </c>
      <c r="DP69" s="18">
        <f>DO69*VLOOKUP('Données projet'!$B$14,Paramètres!$A$1:$I$89,3,0)*VLOOKUP('Données projet'!$B$14,Paramètres!$A$1:$I$89,5,0)</f>
        <v>196.3540799999999</v>
      </c>
      <c r="DQ69" s="14">
        <f t="shared" ref="DQ69:DQ132" si="97">EXP(-1.0587+0.8836*LN(DP69)+0.284)</f>
        <v>48.942048927099528</v>
      </c>
      <c r="DR69" s="22">
        <f t="shared" si="70"/>
        <v>427.22409121469815</v>
      </c>
      <c r="DS69" s="62">
        <f t="shared" si="71"/>
        <v>720.55742454803146</v>
      </c>
      <c r="DT69" s="62">
        <f ca="1">AVERAGE(OFFSET($DS$3,0,0,'Données projet'!$E$14+1,1))-AVERAGE(OFFSET($H$3,0,0,'Données projet'!$E$14+1,1))</f>
        <v>298.89893065707554</v>
      </c>
      <c r="DU69" s="62">
        <f t="shared" ref="DU69:DU132" si="98">$DU$3</f>
        <v>294.28794439094878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8.1999999999999993</v>
      </c>
      <c r="EJ69" s="13">
        <f>IF('Données projet'!$A$192&gt;35,EJ68+EI69-ER68,IF(A69&lt;'Données projet'!$A$192,$EG$205^A69,IF(A69='Données projet'!$A$192,'Données projet'!$B$192,EJ68+EI69-ER68)))</f>
        <v>269.2</v>
      </c>
      <c r="EK69" s="18">
        <f>EJ69*VLOOKUP('Données projet'!$B$15,Paramètres!$A$1:$I$89,3,0)*VLOOKUP('Données projet'!$B$15,Paramètres!$A$1:$I$89,5,0)</f>
        <v>243.57216</v>
      </c>
      <c r="EL69" s="14">
        <f t="shared" ref="EL69:EL132" si="99">EXP(-1.0587+0.8836*LN(EK69)+0.284)</f>
        <v>59.207435995642292</v>
      </c>
      <c r="EM69" s="22">
        <f t="shared" si="73"/>
        <v>527.34112969241028</v>
      </c>
      <c r="EN69" s="62">
        <f t="shared" si="74"/>
        <v>820.67446302574353</v>
      </c>
      <c r="EO69" s="62">
        <f ca="1">AVERAGE(OFFSET($EN$3,0,0,'Données projet'!$E$15+1,1))-AVERAGE(OFFSET($H$3,0,0,'Données projet'!$E$15+1,1))</f>
        <v>439.06700232017681</v>
      </c>
      <c r="EP69" s="62">
        <f t="shared" ref="EP69:EP132" si="100">$EP$3</f>
        <v>278.21741231699929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3.3651818975276075</v>
      </c>
      <c r="EX69" s="23">
        <f>EXP(-LN(2)/2)*EX68+(1-EXP(-LN(2)/2))/(LN(2)/2)*ER69*EU69*VLOOKUP('Données projet'!$B$15,Paramètres!$A$1:$I$89,3,0)*0.475*44/12</f>
        <v>5.6876276567679053E-5</v>
      </c>
      <c r="EY69" s="24">
        <f t="shared" si="75"/>
        <v>3.3652387738041751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8.1999999999999993</v>
      </c>
      <c r="FE69" s="13">
        <f>IF('Données projet'!$A$218&gt;35,FE68+FD69-FM68,IF(A69&lt;'Données projet'!$A$218,$FB$205^A69,IF(A69='Données projet'!$A$218,'Données projet'!$B$218,FE68+FD69-FM68)))</f>
        <v>269.2</v>
      </c>
      <c r="FF69" s="18">
        <f>FE69*VLOOKUP('Données projet'!$B$16,Paramètres!$A$1:$I$89,3,0)*VLOOKUP('Données projet'!$B$16,Paramètres!$A$1:$I$89,5,0)</f>
        <v>260.37024000000002</v>
      </c>
      <c r="FG69" s="14">
        <f t="shared" ref="FG69:FG132" si="101">EXP(-1.0587+0.8836*LN(FF69)+0.284)</f>
        <v>62.801291625234725</v>
      </c>
      <c r="FH69" s="22">
        <f t="shared" si="76"/>
        <v>562.85708424728386</v>
      </c>
      <c r="FI69" s="62">
        <f t="shared" si="77"/>
        <v>856.19041758061712</v>
      </c>
      <c r="FJ69" s="62">
        <f ca="1">AVERAGE(OFFSET($FI$3,0,0,'Données projet'!$E$16+1,1))-AVERAGE(OFFSET($H$3,0,0,'Données projet'!$E$16+1,1))</f>
        <v>466.4945858005575</v>
      </c>
      <c r="FK69" s="62">
        <f t="shared" ref="FK69:FK132" si="102">$FK$3</f>
        <v>294.45557293177131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1.1535783324738668E-4</v>
      </c>
      <c r="FT69" s="24">
        <f t="shared" si="78"/>
        <v>1.1535783324738668E-4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8.1999999999999993</v>
      </c>
      <c r="FZ69" s="13">
        <f>IF('Données projet'!$A$244&gt;35,FZ68+FY69-GH68,IF(A69&lt;'Données projet'!$A$244,$FW$205^A69,IF(A69='Données projet'!$A$244,'Données projet'!$B$244,FZ68+FY69-GH68)))</f>
        <v>269.2</v>
      </c>
      <c r="GA69" s="18">
        <f>FZ69*VLOOKUP('Données projet'!$B$17,Paramètres!$A$1:$I$89,3,0)*VLOOKUP('Données projet'!$B$17,Paramètres!$A$1:$I$89,5,0)</f>
        <v>256.17072000000002</v>
      </c>
      <c r="GB69" s="14">
        <f t="shared" ref="GB69:GB132" si="103">EXP(-1.0587+0.8836*LN(GA69)+0.284)</f>
        <v>61.905426677256543</v>
      </c>
      <c r="GC69" s="22">
        <f t="shared" si="79"/>
        <v>553.98262212955512</v>
      </c>
      <c r="GD69" s="62">
        <f t="shared" si="80"/>
        <v>847.3159554628885</v>
      </c>
      <c r="GE69" s="62">
        <f ca="1">AVERAGE(OFFSET($GD$3,0,0,'Données projet'!$E$17+1,1))-AVERAGE(OFFSET($H$3,0,0,'Données projet'!$E$17+1,1))</f>
        <v>459.64120566196812</v>
      </c>
      <c r="GF69" s="62">
        <f t="shared" ref="GF69:GF132" si="104">$GF$3</f>
        <v>290.39826583283588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2.8421709430404007E-14</v>
      </c>
      <c r="O70" s="14">
        <f>N70*VLOOKUP('Données projet'!$B$9,Paramètres!$A$1:$I$89,3,0)*VLOOKUP('Données projet'!$B$9,Paramètres!$A$1:$I$89,5,0)</f>
        <v>1.5518253349000589E-14</v>
      </c>
      <c r="P70" s="14">
        <f t="shared" si="87"/>
        <v>2.8958815659671149E-13</v>
      </c>
      <c r="Q70" s="22">
        <f t="shared" si="54"/>
        <v>5.3139366398878183E-13</v>
      </c>
      <c r="R70" s="62">
        <f t="shared" si="55"/>
        <v>293.33333333333383</v>
      </c>
      <c r="S70" s="62">
        <f ca="1">AVERAGE(OFFSET($R$3,0,0,'Données projet'!$E$9+1,1))-AVERAGE(OFFSET($H$3,0,0,'Données projet'!$E$9+1,1))</f>
        <v>170.27677128684815</v>
      </c>
      <c r="T70" s="62">
        <f t="shared" si="88"/>
        <v>243.47439640666289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2.9602138821647555</v>
      </c>
      <c r="AB70" s="23">
        <f>EXP(-LN(2)/2)*AB69+(1-EXP(-LN(2)/2))/(LN(2)/2)*V70*Y70*VLOOKUP('Données projet'!$B$9,Paramètres!$A$1:$I$89,3,0)*0.475*44/12</f>
        <v>2.0536340650823841E-5</v>
      </c>
      <c r="AC70" s="24">
        <f t="shared" si="57"/>
        <v>2.9602344185054061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4.5999999999999996</v>
      </c>
      <c r="AI70" s="14">
        <f>IF('Données projet'!$A$62&gt;35,AI69+AH70-AQ69,IF(A70&lt;'Données projet'!$A$62,$AF$205^A70,IF(A70='Données projet'!$A$62,'Données projet'!$B$62,AI69+AH70-AQ69)))</f>
        <v>213.19999999999996</v>
      </c>
      <c r="AJ70" s="14">
        <f>AI70*VLOOKUP('Données projet'!$B$10,Paramètres!$A$1:$I$89,3,0)*VLOOKUP('Données projet'!$B$10,Paramètres!$A$1:$I$89,5,0)</f>
        <v>186.25152</v>
      </c>
      <c r="AK70" s="14">
        <f t="shared" si="89"/>
        <v>46.71025851515671</v>
      </c>
      <c r="AL70" s="22">
        <f t="shared" si="58"/>
        <v>405.74176424723129</v>
      </c>
      <c r="AM70" s="62">
        <f t="shared" si="59"/>
        <v>699.0750975805646</v>
      </c>
      <c r="AN70" s="62">
        <f ca="1">AVERAGE(OFFSET($AM$3,0,0,'Données projet'!$E$10+1,1))-AVERAGE(OFFSET($H$3,0,0,'Données projet'!$E$10+1,1))</f>
        <v>327.826081588335</v>
      </c>
      <c r="AO70" s="62">
        <f t="shared" si="90"/>
        <v>348.84706693879735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5.6799957210417515</v>
      </c>
      <c r="AW70" s="23">
        <f>EXP(-LN(2)/2)*AW69+(1-EXP(-LN(2)/2))/(LN(2)/2)*AQ70*AT70*VLOOKUP('Données projet'!$B$10,Paramètres!$A$1:$I$89,3,0)*0.475*44/12</f>
        <v>4.0177139823835282E-5</v>
      </c>
      <c r="AX70" s="23">
        <f t="shared" si="60"/>
        <v>5.6800358981815755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350.39999999999969</v>
      </c>
      <c r="BE70" s="14">
        <f>BD70*VLOOKUP('Données projet'!$B$11,Paramètres!$A$1:$I$89,3,0)*VLOOKUP('Données projet'!$B$11,Paramètres!$A$1:$I$89,5,0)</f>
        <v>256.91327999999976</v>
      </c>
      <c r="BF70" s="14">
        <f t="shared" si="91"/>
        <v>62.063957347667916</v>
      </c>
      <c r="BG70" s="22">
        <f t="shared" si="61"/>
        <v>555.55202171385451</v>
      </c>
      <c r="BH70" s="62">
        <f t="shared" si="62"/>
        <v>848.88535504718789</v>
      </c>
      <c r="BI70" s="62">
        <f ca="1">AVERAGE(OFFSET($BH$3,0,0,'Données projet'!$E$11+1,1))-AVERAGE(OFFSET($H$3,0,0,'Données projet'!$E$11+1,1))</f>
        <v>376.5422416541544</v>
      </c>
      <c r="BJ70" s="62">
        <f t="shared" si="92"/>
        <v>365.76175372075869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11.879392155381375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11.879392155381375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405.09126081846171</v>
      </c>
      <c r="CE70" s="62">
        <f t="shared" si="94"/>
        <v>534.22295841722166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4.7340270860728335</v>
      </c>
      <c r="CL70" s="23">
        <f>EXP(-LN(2)/25)*CL69+(1-EXP(-LN(2)/25))/(LN(2)/25)*Calculateur!CG70*Calculateur!CI70*VLOOKUP('Données projet'!$B$12,Paramètres!$A$1:$I$89,3,0)*0.475*44/12</f>
        <v>5.0261444185673945</v>
      </c>
      <c r="CM70" s="23">
        <f>EXP(-LN(2)/2)*CM69+(1-EXP(-LN(2)/2))/(LN(2)/2)*CG70*CJ70*VLOOKUP('Données projet'!$B$12,Paramètres!$A$1:$I$89,3,0)*0.475*44/12</f>
        <v>4.2879787858427883E-6</v>
      </c>
      <c r="CN70" s="24">
        <f t="shared" si="66"/>
        <v>9.7601757926190142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projet'!$B$13,Paramètres!$A$1:$I$89,3,0)*VLOOKUP('Données projet'!$B$13,Paramètres!$A$1:$I$89,5,0)</f>
        <v>0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244.82163392718377</v>
      </c>
      <c r="CZ70" s="62">
        <f t="shared" si="96"/>
        <v>342.30266518164211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2.8396144445913323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2.8396144445913323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3.8</v>
      </c>
      <c r="DO70" s="13">
        <f>IF('Données projet'!$A$166&gt;35,DO69+DN70-DW69,IF(A70&lt;'Données projet'!$A$166,$DL$205^A70,IF(A70='Données projet'!$A$166,'Données projet'!$B$166,DO69+DN70-DW69)))</f>
        <v>250.59999999999985</v>
      </c>
      <c r="DP70" s="18">
        <f>DO70*VLOOKUP('Données projet'!$B$14,Paramètres!$A$1:$I$89,3,0)*VLOOKUP('Données projet'!$B$14,Paramètres!$A$1:$I$89,5,0)</f>
        <v>199.3773599999999</v>
      </c>
      <c r="DQ70" s="14">
        <f t="shared" si="97"/>
        <v>49.607305476717762</v>
      </c>
      <c r="DR70" s="22">
        <f t="shared" si="70"/>
        <v>433.64829237194994</v>
      </c>
      <c r="DS70" s="62">
        <f t="shared" si="71"/>
        <v>726.98162570528325</v>
      </c>
      <c r="DT70" s="62">
        <f ca="1">AVERAGE(OFFSET($DS$3,0,0,'Données projet'!$E$14+1,1))-AVERAGE(OFFSET($H$3,0,0,'Données projet'!$E$14+1,1))</f>
        <v>298.89893065707554</v>
      </c>
      <c r="DU70" s="62">
        <f t="shared" si="98"/>
        <v>294.28794439094878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8.1999999999999993</v>
      </c>
      <c r="EJ70" s="13">
        <f>IF('Données projet'!$A$192&gt;35,EJ69+EI70-ER69,IF(A70&lt;'Données projet'!$A$192,$EG$205^A70,IF(A70='Données projet'!$A$192,'Données projet'!$B$192,EJ69+EI70-ER69)))</f>
        <v>277.39999999999998</v>
      </c>
      <c r="EK70" s="18">
        <f>EJ70*VLOOKUP('Données projet'!$B$15,Paramètres!$A$1:$I$89,3,0)*VLOOKUP('Données projet'!$B$15,Paramètres!$A$1:$I$89,5,0)</f>
        <v>250.99151999999995</v>
      </c>
      <c r="EL70" s="14">
        <f t="shared" si="99"/>
        <v>60.798211000769406</v>
      </c>
      <c r="EM70" s="22">
        <f t="shared" si="73"/>
        <v>543.03378149300659</v>
      </c>
      <c r="EN70" s="62">
        <f t="shared" si="74"/>
        <v>836.36711482633996</v>
      </c>
      <c r="EO70" s="62">
        <f ca="1">AVERAGE(OFFSET($EN$3,0,0,'Données projet'!$E$15+1,1))-AVERAGE(OFFSET($H$3,0,0,'Données projet'!$E$15+1,1))</f>
        <v>439.06700232017681</v>
      </c>
      <c r="EP70" s="62">
        <f t="shared" si="100"/>
        <v>278.21741231699929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3.2731608215724903</v>
      </c>
      <c r="EX70" s="23">
        <f>EXP(-LN(2)/2)*EX69+(1-EXP(-LN(2)/2))/(LN(2)/2)*ER70*EU70*VLOOKUP('Données projet'!$B$15,Paramètres!$A$1:$I$89,3,0)*0.475*44/12</f>
        <v>4.0217600849647392E-5</v>
      </c>
      <c r="EY70" s="24">
        <f t="shared" si="75"/>
        <v>3.2732010391733399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8.1999999999999993</v>
      </c>
      <c r="FE70" s="13">
        <f>IF('Données projet'!$A$218&gt;35,FE69+FD70-FM69,IF(A70&lt;'Données projet'!$A$218,$FB$205^A70,IF(A70='Données projet'!$A$218,'Données projet'!$B$218,FE69+FD70-FM69)))</f>
        <v>277.39999999999998</v>
      </c>
      <c r="FF70" s="18">
        <f>FE70*VLOOKUP('Données projet'!$B$16,Paramètres!$A$1:$I$89,3,0)*VLOOKUP('Données projet'!$B$16,Paramètres!$A$1:$I$89,5,0)</f>
        <v>268.30127999999996</v>
      </c>
      <c r="FG70" s="14">
        <f t="shared" si="101"/>
        <v>64.488625713042012</v>
      </c>
      <c r="FH70" s="22">
        <f t="shared" si="76"/>
        <v>579.60908578354815</v>
      </c>
      <c r="FI70" s="62">
        <f t="shared" si="77"/>
        <v>872.94241911688141</v>
      </c>
      <c r="FJ70" s="62">
        <f ca="1">AVERAGE(OFFSET($FI$3,0,0,'Données projet'!$E$16+1,1))-AVERAGE(OFFSET($H$3,0,0,'Données projet'!$E$16+1,1))</f>
        <v>466.4945858005575</v>
      </c>
      <c r="FK70" s="62">
        <f t="shared" si="102"/>
        <v>294.45557293177131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8.1570306152214101E-5</v>
      </c>
      <c r="FT70" s="24">
        <f t="shared" si="78"/>
        <v>8.1570306152214101E-5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8.1999999999999993</v>
      </c>
      <c r="FZ70" s="13">
        <f>IF('Données projet'!$A$244&gt;35,FZ69+FY70-GH69,IF(A70&lt;'Données projet'!$A$244,$FW$205^A70,IF(A70='Données projet'!$A$244,'Données projet'!$B$244,FZ69+FY70-GH69)))</f>
        <v>277.39999999999998</v>
      </c>
      <c r="GA70" s="18">
        <f>FZ70*VLOOKUP('Données projet'!$B$17,Paramètres!$A$1:$I$89,3,0)*VLOOKUP('Données projet'!$B$17,Paramètres!$A$1:$I$89,5,0)</f>
        <v>263.97383999999994</v>
      </c>
      <c r="GB70" s="14">
        <f t="shared" si="103"/>
        <v>63.56869082277958</v>
      </c>
      <c r="GC70" s="22">
        <f t="shared" si="79"/>
        <v>570.46990784967431</v>
      </c>
      <c r="GD70" s="62">
        <f t="shared" si="80"/>
        <v>863.80324118300769</v>
      </c>
      <c r="GE70" s="62">
        <f ca="1">AVERAGE(OFFSET($GD$3,0,0,'Données projet'!$E$17+1,1))-AVERAGE(OFFSET($H$3,0,0,'Données projet'!$E$17+1,1))</f>
        <v>459.64120566196812</v>
      </c>
      <c r="GF70" s="62">
        <f t="shared" si="104"/>
        <v>290.39826583283588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2.8421709430404007E-14</v>
      </c>
      <c r="O71" s="14">
        <f>N71*VLOOKUP('Données projet'!$B$9,Paramètres!$A$1:$I$89,3,0)*VLOOKUP('Données projet'!$B$9,Paramètres!$A$1:$I$89,5,0)</f>
        <v>1.5518253349000589E-14</v>
      </c>
      <c r="P71" s="14">
        <f t="shared" si="87"/>
        <v>2.8958815659671149E-13</v>
      </c>
      <c r="Q71" s="22">
        <f t="shared" si="54"/>
        <v>5.3139366398878183E-13</v>
      </c>
      <c r="R71" s="62">
        <f t="shared" si="55"/>
        <v>293.33333333333383</v>
      </c>
      <c r="S71" s="62">
        <f ca="1">AVERAGE(OFFSET($R$3,0,0,'Données projet'!$E$9+1,1))-AVERAGE(OFFSET($H$3,0,0,'Données projet'!$E$9+1,1))</f>
        <v>170.27677128684815</v>
      </c>
      <c r="T71" s="62">
        <f t="shared" si="88"/>
        <v>243.47439640666289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2.8792666778860778</v>
      </c>
      <c r="AB71" s="23">
        <f>EXP(-LN(2)/2)*AB70+(1-EXP(-LN(2)/2))/(LN(2)/2)*V71*Y71*VLOOKUP('Données projet'!$B$9,Paramètres!$A$1:$I$89,3,0)*0.475*44/12</f>
        <v>1.4521385734954497E-5</v>
      </c>
      <c r="AC71" s="24">
        <f t="shared" si="57"/>
        <v>2.8792811992718126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4.5999999999999996</v>
      </c>
      <c r="AI71" s="14">
        <f>IF('Données projet'!$A$62&gt;35,AI70+AH71-AQ70,IF(A71&lt;'Données projet'!$A$62,$AF$205^A71,IF(A71='Données projet'!$A$62,'Données projet'!$B$62,AI70+AH71-AQ70)))</f>
        <v>217.79999999999995</v>
      </c>
      <c r="AJ71" s="14">
        <f>AI71*VLOOKUP('Données projet'!$B$10,Paramètres!$A$1:$I$89,3,0)*VLOOKUP('Données projet'!$B$10,Paramètres!$A$1:$I$89,5,0)</f>
        <v>190.27007999999998</v>
      </c>
      <c r="AK71" s="14">
        <f t="shared" si="89"/>
        <v>47.599658767320413</v>
      </c>
      <c r="AL71" s="22">
        <f t="shared" si="58"/>
        <v>414.28979501974965</v>
      </c>
      <c r="AM71" s="62">
        <f t="shared" si="59"/>
        <v>707.62312835308296</v>
      </c>
      <c r="AN71" s="62">
        <f ca="1">AVERAGE(OFFSET($AM$3,0,0,'Données projet'!$E$10+1,1))-AVERAGE(OFFSET($H$3,0,0,'Données projet'!$E$10+1,1))</f>
        <v>327.826081588335</v>
      </c>
      <c r="AO71" s="62">
        <f t="shared" si="90"/>
        <v>348.84706693879735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5.5246759393518721</v>
      </c>
      <c r="AW71" s="23">
        <f>EXP(-LN(2)/2)*AW70+(1-EXP(-LN(2)/2))/(LN(2)/2)*AQ71*AT71*VLOOKUP('Données projet'!$B$10,Paramètres!$A$1:$I$89,3,0)*0.475*44/12</f>
        <v>2.8409528018114019E-5</v>
      </c>
      <c r="AX71" s="23">
        <f t="shared" si="60"/>
        <v>5.5247043488798901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355.59999999999968</v>
      </c>
      <c r="BE71" s="14">
        <f>BD71*VLOOKUP('Données projet'!$B$11,Paramètres!$A$1:$I$89,3,0)*VLOOKUP('Données projet'!$B$11,Paramètres!$A$1:$I$89,5,0)</f>
        <v>260.72591999999975</v>
      </c>
      <c r="BF71" s="14">
        <f t="shared" si="91"/>
        <v>62.877089647292053</v>
      </c>
      <c r="BG71" s="22">
        <f t="shared" si="61"/>
        <v>563.60857513569988</v>
      </c>
      <c r="BH71" s="62">
        <f t="shared" si="62"/>
        <v>856.94190846903325</v>
      </c>
      <c r="BI71" s="62">
        <f ca="1">AVERAGE(OFFSET($BH$3,0,0,'Données projet'!$E$11+1,1))-AVERAGE(OFFSET($H$3,0,0,'Données projet'!$E$11+1,1))</f>
        <v>376.5422416541544</v>
      </c>
      <c r="BJ71" s="62">
        <f t="shared" si="92"/>
        <v>365.76175372075869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11.646444520928107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11.646444520928107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405.09126081846171</v>
      </c>
      <c r="CE71" s="62">
        <f t="shared" si="94"/>
        <v>534.22295841722166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4.6411957023863533</v>
      </c>
      <c r="CL71" s="23">
        <f>EXP(-LN(2)/25)*CL70+(1-EXP(-LN(2)/25))/(LN(2)/25)*Calculateur!CG71*Calculateur!CI71*VLOOKUP('Données projet'!$B$12,Paramètres!$A$1:$I$89,3,0)*0.475*44/12</f>
        <v>4.8887042351282215</v>
      </c>
      <c r="CM71" s="23">
        <f>EXP(-LN(2)/2)*CM70+(1-EXP(-LN(2)/2))/(LN(2)/2)*CG71*CJ71*VLOOKUP('Données projet'!$B$12,Paramètres!$A$1:$I$89,3,0)*0.475*44/12</f>
        <v>3.0320588770534943E-6</v>
      </c>
      <c r="CN71" s="24">
        <f t="shared" si="66"/>
        <v>9.5299029695734525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projet'!$B$13,Paramètres!$A$1:$I$89,3,0)*VLOOKUP('Données projet'!$B$13,Paramètres!$A$1:$I$89,5,0)</f>
        <v>0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244.82163392718377</v>
      </c>
      <c r="CZ71" s="62">
        <f t="shared" si="96"/>
        <v>342.30266518164211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2.7839313373266874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2.7839313373266874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3.8</v>
      </c>
      <c r="DO71" s="13">
        <f>IF('Données projet'!$A$166&gt;35,DO70+DN71-DW70,IF(A71&lt;'Données projet'!$A$166,$DL$205^A71,IF(A71='Données projet'!$A$166,'Données projet'!$B$166,DO70+DN71-DW70)))</f>
        <v>254.39999999999986</v>
      </c>
      <c r="DP71" s="18">
        <f>DO71*VLOOKUP('Données projet'!$B$14,Paramètres!$A$1:$I$89,3,0)*VLOOKUP('Données projet'!$B$14,Paramètres!$A$1:$I$89,5,0)</f>
        <v>202.40063999999992</v>
      </c>
      <c r="DQ71" s="14">
        <f t="shared" si="97"/>
        <v>50.271388807440687</v>
      </c>
      <c r="DR71" s="22">
        <f t="shared" si="70"/>
        <v>440.070450172959</v>
      </c>
      <c r="DS71" s="62">
        <f t="shared" si="71"/>
        <v>733.40378350629226</v>
      </c>
      <c r="DT71" s="62">
        <f ca="1">AVERAGE(OFFSET($DS$3,0,0,'Données projet'!$E$14+1,1))-AVERAGE(OFFSET($H$3,0,0,'Données projet'!$E$14+1,1))</f>
        <v>298.89893065707554</v>
      </c>
      <c r="DU71" s="62">
        <f t="shared" si="98"/>
        <v>294.28794439094878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8.1999999999999993</v>
      </c>
      <c r="EJ71" s="13">
        <f>IF('Données projet'!$A$192&gt;35,EJ70+EI71-ER70,IF(A71&lt;'Données projet'!$A$192,$EG$205^A71,IF(A71='Données projet'!$A$192,'Données projet'!$B$192,EJ70+EI71-ER70)))</f>
        <v>285.59999999999997</v>
      </c>
      <c r="EK71" s="18">
        <f>EJ71*VLOOKUP('Données projet'!$B$15,Paramètres!$A$1:$I$89,3,0)*VLOOKUP('Données projet'!$B$15,Paramètres!$A$1:$I$89,5,0)</f>
        <v>258.41087999999996</v>
      </c>
      <c r="EL71" s="14">
        <f t="shared" si="99"/>
        <v>62.383521020316756</v>
      </c>
      <c r="EM71" s="22">
        <f t="shared" si="73"/>
        <v>558.71691511038489</v>
      </c>
      <c r="EN71" s="62">
        <f t="shared" si="74"/>
        <v>852.05024844371815</v>
      </c>
      <c r="EO71" s="62">
        <f ca="1">AVERAGE(OFFSET($EN$3,0,0,'Données projet'!$E$15+1,1))-AVERAGE(OFFSET($H$3,0,0,'Données projet'!$E$15+1,1))</f>
        <v>439.06700232017681</v>
      </c>
      <c r="EP71" s="62">
        <f t="shared" si="100"/>
        <v>278.21741231699929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3.1836560667785441</v>
      </c>
      <c r="EX71" s="23">
        <f>EXP(-LN(2)/2)*EX70+(1-EXP(-LN(2)/2))/(LN(2)/2)*ER71*EU71*VLOOKUP('Données projet'!$B$15,Paramètres!$A$1:$I$89,3,0)*0.475*44/12</f>
        <v>2.8438138283839526E-5</v>
      </c>
      <c r="EY71" s="24">
        <f t="shared" si="75"/>
        <v>3.1836845049168279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8.1999999999999993</v>
      </c>
      <c r="FE71" s="13">
        <f>IF('Données projet'!$A$218&gt;35,FE70+FD71-FM70,IF(A71&lt;'Données projet'!$A$218,$FB$205^A71,IF(A71='Données projet'!$A$218,'Données projet'!$B$218,FE70+FD71-FM70)))</f>
        <v>285.59999999999997</v>
      </c>
      <c r="FF71" s="18">
        <f>FE71*VLOOKUP('Données projet'!$B$16,Paramètres!$A$1:$I$89,3,0)*VLOOKUP('Données projet'!$B$16,Paramètres!$A$1:$I$89,5,0)</f>
        <v>276.23231999999996</v>
      </c>
      <c r="FG71" s="14">
        <f t="shared" si="101"/>
        <v>66.170163093943458</v>
      </c>
      <c r="FH71" s="22">
        <f t="shared" si="76"/>
        <v>596.35099138861813</v>
      </c>
      <c r="FI71" s="62">
        <f t="shared" si="77"/>
        <v>889.6843247219515</v>
      </c>
      <c r="FJ71" s="62">
        <f ca="1">AVERAGE(OFFSET($FI$3,0,0,'Données projet'!$E$16+1,1))-AVERAGE(OFFSET($H$3,0,0,'Données projet'!$E$16+1,1))</f>
        <v>466.4945858005575</v>
      </c>
      <c r="FK71" s="62">
        <f t="shared" si="102"/>
        <v>294.45557293177131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5.7678916623693349E-5</v>
      </c>
      <c r="FT71" s="24">
        <f t="shared" si="78"/>
        <v>5.7678916623693349E-5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8.1999999999999993</v>
      </c>
      <c r="FZ71" s="13">
        <f>IF('Données projet'!$A$244&gt;35,FZ70+FY71-GH70,IF(A71&lt;'Données projet'!$A$244,$FW$205^A71,IF(A71='Données projet'!$A$244,'Données projet'!$B$244,FZ70+FY71-GH70)))</f>
        <v>285.59999999999997</v>
      </c>
      <c r="GA71" s="18">
        <f>FZ71*VLOOKUP('Données projet'!$B$17,Paramètres!$A$1:$I$89,3,0)*VLOOKUP('Données projet'!$B$17,Paramètres!$A$1:$I$89,5,0)</f>
        <v>271.77695999999997</v>
      </c>
      <c r="GB71" s="14">
        <f t="shared" si="103"/>
        <v>65.226240951838292</v>
      </c>
      <c r="GC71" s="22">
        <f t="shared" si="79"/>
        <v>586.94724165778496</v>
      </c>
      <c r="GD71" s="62">
        <f t="shared" si="80"/>
        <v>880.28057499111833</v>
      </c>
      <c r="GE71" s="62">
        <f ca="1">AVERAGE(OFFSET($GD$3,0,0,'Données projet'!$E$17+1,1))-AVERAGE(OFFSET($H$3,0,0,'Données projet'!$E$17+1,1))</f>
        <v>459.64120566196812</v>
      </c>
      <c r="GF71" s="62">
        <f t="shared" si="104"/>
        <v>290.39826583283588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2.8421709430404007E-14</v>
      </c>
      <c r="O72" s="14">
        <f>N72*VLOOKUP('Données projet'!$B$9,Paramètres!$A$1:$I$89,3,0)*VLOOKUP('Données projet'!$B$9,Paramètres!$A$1:$I$89,5,0)</f>
        <v>1.5518253349000589E-14</v>
      </c>
      <c r="P72" s="14">
        <f t="shared" si="87"/>
        <v>2.8958815659671149E-13</v>
      </c>
      <c r="Q72" s="22">
        <f t="shared" si="54"/>
        <v>5.3139366398878183E-13</v>
      </c>
      <c r="R72" s="62">
        <f t="shared" si="55"/>
        <v>293.33333333333383</v>
      </c>
      <c r="S72" s="62">
        <f ca="1">AVERAGE(OFFSET($R$3,0,0,'Données projet'!$E$9+1,1))-AVERAGE(OFFSET($H$3,0,0,'Données projet'!$E$9+1,1))</f>
        <v>170.27677128684815</v>
      </c>
      <c r="T72" s="62">
        <f t="shared" si="88"/>
        <v>243.47439640666289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2.8005329791652289</v>
      </c>
      <c r="AB72" s="23">
        <f>EXP(-LN(2)/2)*AB71+(1-EXP(-LN(2)/2))/(LN(2)/2)*V72*Y72*VLOOKUP('Données projet'!$B$9,Paramètres!$A$1:$I$89,3,0)*0.475*44/12</f>
        <v>1.0268170325411922E-5</v>
      </c>
      <c r="AC72" s="24">
        <f t="shared" si="57"/>
        <v>2.8005432473355545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4.5999999999999996</v>
      </c>
      <c r="AI72" s="14">
        <f>IF('Données projet'!$A$62&gt;35,AI71+AH72-AQ71,IF(A72&lt;'Données projet'!$A$62,$AF$205^A72,IF(A72='Données projet'!$A$62,'Données projet'!$B$62,AI71+AH72-AQ71)))</f>
        <v>222.39999999999995</v>
      </c>
      <c r="AJ72" s="14">
        <f>AI72*VLOOKUP('Données projet'!$B$10,Paramètres!$A$1:$I$89,3,0)*VLOOKUP('Données projet'!$B$10,Paramètres!$A$1:$I$89,5,0)</f>
        <v>194.28863999999999</v>
      </c>
      <c r="AK72" s="14">
        <f t="shared" si="89"/>
        <v>48.486875029770822</v>
      </c>
      <c r="AL72" s="22">
        <f t="shared" si="58"/>
        <v>422.83402201018413</v>
      </c>
      <c r="AM72" s="62">
        <f t="shared" si="59"/>
        <v>716.16735534351744</v>
      </c>
      <c r="AN72" s="62">
        <f ca="1">AVERAGE(OFFSET($AM$3,0,0,'Données projet'!$E$10+1,1))-AVERAGE(OFFSET($H$3,0,0,'Données projet'!$E$10+1,1))</f>
        <v>327.826081588335</v>
      </c>
      <c r="AO72" s="62">
        <f t="shared" si="90"/>
        <v>348.84706693879735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5.3736033852602141</v>
      </c>
      <c r="AW72" s="23">
        <f>EXP(-LN(2)/2)*AW71+(1-EXP(-LN(2)/2))/(LN(2)/2)*AQ72*AT72*VLOOKUP('Données projet'!$B$10,Paramètres!$A$1:$I$89,3,0)*0.475*44/12</f>
        <v>2.0088569911917641E-5</v>
      </c>
      <c r="AX72" s="23">
        <f t="shared" si="60"/>
        <v>5.3736234738301256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360.79999999999967</v>
      </c>
      <c r="BE72" s="14">
        <f>BD72*VLOOKUP('Données projet'!$B$11,Paramètres!$A$1:$I$89,3,0)*VLOOKUP('Données projet'!$B$11,Paramètres!$A$1:$I$89,5,0)</f>
        <v>264.53855999999973</v>
      </c>
      <c r="BF72" s="14">
        <f t="shared" si="91"/>
        <v>63.688839009304033</v>
      </c>
      <c r="BG72" s="22">
        <f t="shared" si="61"/>
        <v>571.66271994120405</v>
      </c>
      <c r="BH72" s="62">
        <f t="shared" si="62"/>
        <v>864.99605327453742</v>
      </c>
      <c r="BI72" s="62">
        <f ca="1">AVERAGE(OFFSET($BH$3,0,0,'Données projet'!$E$11+1,1))-AVERAGE(OFFSET($H$3,0,0,'Données projet'!$E$11+1,1))</f>
        <v>376.5422416541544</v>
      </c>
      <c r="BJ72" s="62">
        <f t="shared" si="92"/>
        <v>365.76175372075869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11.418064847502439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11.418064847502439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405.09126081846171</v>
      </c>
      <c r="CE72" s="62">
        <f t="shared" si="94"/>
        <v>534.22295841722166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4.550184685512412</v>
      </c>
      <c r="CL72" s="23">
        <f>EXP(-LN(2)/25)*CL71+(1-EXP(-LN(2)/25))/(LN(2)/25)*Calculateur!CG72*Calculateur!CI72*VLOOKUP('Données projet'!$B$12,Paramètres!$A$1:$I$89,3,0)*0.475*44/12</f>
        <v>4.7550223607328581</v>
      </c>
      <c r="CM72" s="23">
        <f>EXP(-LN(2)/2)*CM71+(1-EXP(-LN(2)/2))/(LN(2)/2)*CG72*CJ72*VLOOKUP('Données projet'!$B$12,Paramètres!$A$1:$I$89,3,0)*0.475*44/12</f>
        <v>2.1439893929213942E-6</v>
      </c>
      <c r="CN72" s="24">
        <f t="shared" si="66"/>
        <v>9.3052091902346632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projet'!$B$13,Paramètres!$A$1:$I$89,3,0)*VLOOKUP('Données projet'!$B$13,Paramètres!$A$1:$I$89,5,0)</f>
        <v>0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244.82163392718377</v>
      </c>
      <c r="CZ72" s="62">
        <f t="shared" si="96"/>
        <v>342.30266518164211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2.7293401418321603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2.7293401418321603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3.8</v>
      </c>
      <c r="DO72" s="13">
        <f>IF('Données projet'!$A$166&gt;35,DO71+DN72-DW71,IF(A72&lt;'Données projet'!$A$166,$DL$205^A72,IF(A72='Données projet'!$A$166,'Données projet'!$B$166,DO71+DN72-DW71)))</f>
        <v>258.19999999999987</v>
      </c>
      <c r="DP72" s="18">
        <f>DO72*VLOOKUP('Données projet'!$B$14,Paramètres!$A$1:$I$89,3,0)*VLOOKUP('Données projet'!$B$14,Paramètres!$A$1:$I$89,5,0)</f>
        <v>205.4239199999999</v>
      </c>
      <c r="DQ72" s="14">
        <f t="shared" si="97"/>
        <v>50.934318468081216</v>
      </c>
      <c r="DR72" s="22">
        <f t="shared" si="70"/>
        <v>446.49059866524129</v>
      </c>
      <c r="DS72" s="62">
        <f t="shared" si="71"/>
        <v>739.82393199857461</v>
      </c>
      <c r="DT72" s="62">
        <f ca="1">AVERAGE(OFFSET($DS$3,0,0,'Données projet'!$E$14+1,1))-AVERAGE(OFFSET($H$3,0,0,'Données projet'!$E$14+1,1))</f>
        <v>298.89893065707554</v>
      </c>
      <c r="DU72" s="62">
        <f t="shared" si="98"/>
        <v>294.28794439094878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8.1999999999999993</v>
      </c>
      <c r="EJ72" s="13">
        <f>IF('Données projet'!$A$192&gt;35,EJ71+EI72-ER71,IF(A72&lt;'Données projet'!$A$192,$EG$205^A72,IF(A72='Données projet'!$A$192,'Données projet'!$B$192,EJ71+EI72-ER71)))</f>
        <v>293.79999999999995</v>
      </c>
      <c r="EK72" s="18">
        <f>EJ72*VLOOKUP('Données projet'!$B$15,Paramètres!$A$1:$I$89,3,0)*VLOOKUP('Données projet'!$B$15,Paramètres!$A$1:$I$89,5,0)</f>
        <v>265.83023999999995</v>
      </c>
      <c r="EL72" s="14">
        <f t="shared" si="99"/>
        <v>63.963540982526439</v>
      </c>
      <c r="EM72" s="22">
        <f t="shared" si="73"/>
        <v>574.39083521123348</v>
      </c>
      <c r="EN72" s="62">
        <f t="shared" si="74"/>
        <v>867.72416854456674</v>
      </c>
      <c r="EO72" s="62">
        <f ca="1">AVERAGE(OFFSET($EN$3,0,0,'Données projet'!$E$15+1,1))-AVERAGE(OFFSET($H$3,0,0,'Données projet'!$E$15+1,1))</f>
        <v>439.06700232017681</v>
      </c>
      <c r="EP72" s="62">
        <f t="shared" si="100"/>
        <v>278.21741231699929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3.0965988242112887</v>
      </c>
      <c r="EX72" s="23">
        <f>EXP(-LN(2)/2)*EX71+(1-EXP(-LN(2)/2))/(LN(2)/2)*ER72*EU72*VLOOKUP('Données projet'!$B$15,Paramètres!$A$1:$I$89,3,0)*0.475*44/12</f>
        <v>2.0108800424823696E-5</v>
      </c>
      <c r="EY72" s="24">
        <f t="shared" si="75"/>
        <v>3.0966189330117135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8.1999999999999993</v>
      </c>
      <c r="FE72" s="13">
        <f>IF('Données projet'!$A$218&gt;35,FE71+FD72-FM71,IF(A72&lt;'Données projet'!$A$218,$FB$205^A72,IF(A72='Données projet'!$A$218,'Données projet'!$B$218,FE71+FD72-FM71)))</f>
        <v>293.79999999999995</v>
      </c>
      <c r="FF72" s="18">
        <f>FE72*VLOOKUP('Données projet'!$B$16,Paramètres!$A$1:$I$89,3,0)*VLOOKUP('Données projet'!$B$16,Paramètres!$A$1:$I$89,5,0)</f>
        <v>284.16335999999995</v>
      </c>
      <c r="FG72" s="14">
        <f t="shared" si="101"/>
        <v>67.846089314219739</v>
      </c>
      <c r="FH72" s="22">
        <f t="shared" si="76"/>
        <v>613.08312422226595</v>
      </c>
      <c r="FI72" s="62">
        <f t="shared" si="77"/>
        <v>906.41645755559921</v>
      </c>
      <c r="FJ72" s="62">
        <f ca="1">AVERAGE(OFFSET($FI$3,0,0,'Données projet'!$E$16+1,1))-AVERAGE(OFFSET($H$3,0,0,'Données projet'!$E$16+1,1))</f>
        <v>466.4945858005575</v>
      </c>
      <c r="FK72" s="62">
        <f t="shared" si="102"/>
        <v>294.45557293177131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4.0785153076107057E-5</v>
      </c>
      <c r="FT72" s="24">
        <f t="shared" si="78"/>
        <v>4.0785153076107057E-5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8.1999999999999993</v>
      </c>
      <c r="FZ72" s="13">
        <f>IF('Données projet'!$A$244&gt;35,FZ71+FY72-GH71,IF(A72&lt;'Données projet'!$A$244,$FW$205^A72,IF(A72='Données projet'!$A$244,'Données projet'!$B$244,FZ71+FY72-GH71)))</f>
        <v>293.79999999999995</v>
      </c>
      <c r="GA72" s="18">
        <f>FZ72*VLOOKUP('Données projet'!$B$17,Paramètres!$A$1:$I$89,3,0)*VLOOKUP('Données projet'!$B$17,Paramètres!$A$1:$I$89,5,0)</f>
        <v>279.58007999999995</v>
      </c>
      <c r="GB72" s="14">
        <f t="shared" si="103"/>
        <v>66.878259963882243</v>
      </c>
      <c r="GC72" s="22">
        <f t="shared" si="79"/>
        <v>603.41494210376152</v>
      </c>
      <c r="GD72" s="62">
        <f t="shared" si="80"/>
        <v>896.74827543709489</v>
      </c>
      <c r="GE72" s="62">
        <f ca="1">AVERAGE(OFFSET($GD$3,0,0,'Données projet'!$E$17+1,1))-AVERAGE(OFFSET($H$3,0,0,'Données projet'!$E$17+1,1))</f>
        <v>459.64120566196812</v>
      </c>
      <c r="GF72" s="62">
        <f t="shared" si="104"/>
        <v>290.39826583283588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2.8421709430404007E-14</v>
      </c>
      <c r="O73" s="14">
        <f>N73*VLOOKUP('Données projet'!$B$9,Paramètres!$A$1:$I$89,3,0)*VLOOKUP('Données projet'!$B$9,Paramètres!$A$1:$I$89,5,0)</f>
        <v>1.5518253349000589E-14</v>
      </c>
      <c r="P73" s="14">
        <f t="shared" si="87"/>
        <v>2.8958815659671149E-13</v>
      </c>
      <c r="Q73" s="22">
        <f t="shared" si="54"/>
        <v>5.3139366398878183E-13</v>
      </c>
      <c r="R73" s="62">
        <f t="shared" si="55"/>
        <v>293.33333333333383</v>
      </c>
      <c r="S73" s="62">
        <f ca="1">AVERAGE(OFFSET($R$3,0,0,'Données projet'!$E$9+1,1))-AVERAGE(OFFSET($H$3,0,0,'Données projet'!$E$9+1,1))</f>
        <v>170.27677128684815</v>
      </c>
      <c r="T73" s="62">
        <f t="shared" si="88"/>
        <v>243.47439640666289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2.7239522575763271</v>
      </c>
      <c r="AB73" s="23">
        <f>EXP(-LN(2)/2)*AB72+(1-EXP(-LN(2)/2))/(LN(2)/2)*V73*Y73*VLOOKUP('Données projet'!$B$9,Paramètres!$A$1:$I$89,3,0)*0.475*44/12</f>
        <v>7.2606928674772491E-6</v>
      </c>
      <c r="AC73" s="24">
        <f t="shared" si="57"/>
        <v>2.7239595182691945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227</v>
      </c>
      <c r="AG73" s="13">
        <f>VLOOKUP(A73,'Données projet'!$A$61:$I$81,9,0)</f>
        <v>4.5999999999999996</v>
      </c>
      <c r="AH73" s="13">
        <f t="array" ref="AH73">INDEX(AG:AG,MIN(IF(ISNUMBER(AG73:AG269),ROW(AG73:AG269),"")))</f>
        <v>4.5999999999999996</v>
      </c>
      <c r="AI73" s="14">
        <f>IF('Données projet'!$A$62&gt;35,AI72+AH73-AQ72,IF(A73&lt;'Données projet'!$A$62,$AF$205^A73,IF(A73='Données projet'!$A$62,'Données projet'!$B$62,AI72+AH73-AQ72)))</f>
        <v>226.99999999999994</v>
      </c>
      <c r="AJ73" s="14">
        <f>AI73*VLOOKUP('Données projet'!$B$10,Paramètres!$A$1:$I$89,3,0)*VLOOKUP('Données projet'!$B$10,Paramètres!$A$1:$I$89,5,0)</f>
        <v>198.30719999999997</v>
      </c>
      <c r="AK73" s="14">
        <f t="shared" si="89"/>
        <v>49.371957679623371</v>
      </c>
      <c r="AL73" s="22">
        <f t="shared" si="58"/>
        <v>431.37453295867726</v>
      </c>
      <c r="AM73" s="62">
        <f t="shared" si="59"/>
        <v>724.70786629201052</v>
      </c>
      <c r="AN73" s="62">
        <f ca="1">AVERAGE(OFFSET($AM$3,0,0,'Données projet'!$E$10+1,1))-AVERAGE(OFFSET($H$3,0,0,'Données projet'!$E$10+1,1))</f>
        <v>327.826081588335</v>
      </c>
      <c r="AO73" s="62">
        <f t="shared" si="90"/>
        <v>348.84706693879735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5.2266619181047531</v>
      </c>
      <c r="AW73" s="23">
        <f>EXP(-LN(2)/2)*AW72+(1-EXP(-LN(2)/2))/(LN(2)/2)*AQ73*AT73*VLOOKUP('Données projet'!$B$10,Paramètres!$A$1:$I$89,3,0)*0.475*44/12</f>
        <v>1.420476400905701E-5</v>
      </c>
      <c r="AX73" s="23">
        <f t="shared" si="60"/>
        <v>5.2266761228687626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366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365.99999999999966</v>
      </c>
      <c r="BE73" s="14">
        <f>BD73*VLOOKUP('Données projet'!$B$11,Paramètres!$A$1:$I$89,3,0)*VLOOKUP('Données projet'!$B$11,Paramètres!$A$1:$I$89,5,0)</f>
        <v>268.35119999999978</v>
      </c>
      <c r="BF73" s="14">
        <f t="shared" si="91"/>
        <v>64.499227668096069</v>
      </c>
      <c r="BG73" s="22">
        <f t="shared" si="61"/>
        <v>579.71449485526693</v>
      </c>
      <c r="BH73" s="62">
        <f t="shared" si="62"/>
        <v>873.04782818860031</v>
      </c>
      <c r="BI73" s="62">
        <f ca="1">AVERAGE(OFFSET($BH$3,0,0,'Données projet'!$E$11+1,1))-AVERAGE(OFFSET($H$3,0,0,'Données projet'!$E$11+1,1))</f>
        <v>376.5422416541544</v>
      </c>
      <c r="BJ73" s="62">
        <f t="shared" si="92"/>
        <v>365.76175372075869</v>
      </c>
      <c r="BK73" s="16">
        <f>IF(ISNA(VLOOKUP(A73,'Données projet'!$A$87:$I$107,3,0)),0,VLOOKUP(A73,'Données projet'!$A$87:$I$107,3,0))</f>
        <v>13</v>
      </c>
      <c r="BL73" s="16">
        <f>IF(ISNA(VLOOKUP(A73,'Données projet'!$A$87:$I$107,4,0)),0,VLOOKUP(A73,'Données projet'!$A$87:$I$107,4,0))</f>
        <v>15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11.194163560174802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11.194163560174802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405.09126081846171</v>
      </c>
      <c r="CE73" s="62">
        <f t="shared" si="94"/>
        <v>534.22295841722166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4.4609583391681298</v>
      </c>
      <c r="CL73" s="23">
        <f>EXP(-LN(2)/25)*CL72+(1-EXP(-LN(2)/25))/(LN(2)/25)*Calculateur!CG73*Calculateur!CI73*VLOOKUP('Données projet'!$B$12,Paramètres!$A$1:$I$89,3,0)*0.475*44/12</f>
        <v>4.6249960242228596</v>
      </c>
      <c r="CM73" s="23">
        <f>EXP(-LN(2)/2)*CM72+(1-EXP(-LN(2)/2))/(LN(2)/2)*CG73*CJ73*VLOOKUP('Données projet'!$B$12,Paramètres!$A$1:$I$89,3,0)*0.475*44/12</f>
        <v>1.5160294385267472E-6</v>
      </c>
      <c r="CN73" s="24">
        <f t="shared" si="66"/>
        <v>9.0859558794204283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projet'!$B$13,Paramètres!$A$1:$I$89,3,0)*VLOOKUP('Données projet'!$B$13,Paramètres!$A$1:$I$89,5,0)</f>
        <v>0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244.82163392718377</v>
      </c>
      <c r="CZ73" s="62">
        <f t="shared" si="96"/>
        <v>342.30266518164211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2.6758194463839393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2.6758194463839393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262</v>
      </c>
      <c r="DM73" s="13">
        <f>VLOOKUP(A73,'Données projet'!$A$165:$I$185,9,0)</f>
        <v>3.8</v>
      </c>
      <c r="DN73" s="13">
        <f t="array" ref="DN73">INDEX(DM:DM,MIN(IF(ISNUMBER(DM73:DM269),ROW(DM73:DM269),"")))</f>
        <v>3.8</v>
      </c>
      <c r="DO73" s="13">
        <f>IF('Données projet'!$A$166&gt;35,DO72+DN73-DW72,IF(A73&lt;'Données projet'!$A$166,$DL$205^A73,IF(A73='Données projet'!$A$166,'Données projet'!$B$166,DO72+DN73-DW72)))</f>
        <v>261.99999999999989</v>
      </c>
      <c r="DP73" s="18">
        <f>DO73*VLOOKUP('Données projet'!$B$14,Paramètres!$A$1:$I$89,3,0)*VLOOKUP('Données projet'!$B$14,Paramètres!$A$1:$I$89,5,0)</f>
        <v>208.44719999999992</v>
      </c>
      <c r="DQ73" s="14">
        <f t="shared" si="97"/>
        <v>51.596113399008644</v>
      </c>
      <c r="DR73" s="22">
        <f t="shared" si="70"/>
        <v>452.90877083660661</v>
      </c>
      <c r="DS73" s="62">
        <f t="shared" si="71"/>
        <v>746.24210416993992</v>
      </c>
      <c r="DT73" s="62">
        <f ca="1">AVERAGE(OFFSET($DS$3,0,0,'Données projet'!$E$14+1,1))-AVERAGE(OFFSET($H$3,0,0,'Données projet'!$E$14+1,1))</f>
        <v>298.89893065707554</v>
      </c>
      <c r="DU73" s="62">
        <f t="shared" si="98"/>
        <v>294.28794439094878</v>
      </c>
      <c r="DV73" s="16">
        <f>IF(ISNA(VLOOKUP(A73,'Données projet'!$A$165:$I$185,3,0)),0,VLOOKUP(A73,'Données projet'!$A$165:$I$185,3,0))</f>
        <v>12</v>
      </c>
      <c r="DW73" s="16">
        <f>IF(ISNA(VLOOKUP(A73,'Données projet'!$A$165:$I$185,4,0)),0,VLOOKUP(A73,'Données projet'!$A$165:$I$185,4,0))</f>
        <v>10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302</v>
      </c>
      <c r="EH73" s="13">
        <f>VLOOKUP(A73,'Données projet'!$A$191:$I$211,9,0)</f>
        <v>8.1999999999999993</v>
      </c>
      <c r="EI73" s="13">
        <f t="array" ref="EI73">INDEX(EH:EH,MIN(IF(ISNUMBER(EH73:EH269),ROW(EH73:EH269),"")))</f>
        <v>8.1999999999999993</v>
      </c>
      <c r="EJ73" s="13">
        <f>IF('Données projet'!$A$192&gt;35,EJ72+EI73-ER72,IF(A73&lt;'Données projet'!$A$192,$EG$205^A73,IF(A73='Données projet'!$A$192,'Données projet'!$B$192,EJ72+EI73-ER72)))</f>
        <v>301.99999999999994</v>
      </c>
      <c r="EK73" s="18">
        <f>EJ73*VLOOKUP('Données projet'!$B$15,Paramètres!$A$1:$I$89,3,0)*VLOOKUP('Données projet'!$B$15,Paramètres!$A$1:$I$89,5,0)</f>
        <v>273.24959999999999</v>
      </c>
      <c r="EL73" s="14">
        <f t="shared" si="99"/>
        <v>65.538435495514321</v>
      </c>
      <c r="EM73" s="22">
        <f t="shared" si="73"/>
        <v>590.05582848802067</v>
      </c>
      <c r="EN73" s="62">
        <f t="shared" si="74"/>
        <v>883.38916182135404</v>
      </c>
      <c r="EO73" s="62">
        <f ca="1">AVERAGE(OFFSET($EN$3,0,0,'Données projet'!$E$15+1,1))-AVERAGE(OFFSET($H$3,0,0,'Données projet'!$E$15+1,1))</f>
        <v>439.06700232017681</v>
      </c>
      <c r="EP73" s="62">
        <f t="shared" si="100"/>
        <v>278.21741231699929</v>
      </c>
      <c r="EQ73" s="16">
        <f>IF(ISNA(VLOOKUP(A73,'Données projet'!$A$191:$I$211,3,0)),0,VLOOKUP(A73,'Données projet'!$A$191:$I$211,3,0))</f>
        <v>11</v>
      </c>
      <c r="ER73" s="16">
        <f>IF(ISNA(VLOOKUP(A73,'Données projet'!$A$191:$I$211,4,0)),0,VLOOKUP(A73,'Données projet'!$A$191:$I$211,4,0))</f>
        <v>28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3.0119221665201761</v>
      </c>
      <c r="EX73" s="23">
        <f>EXP(-LN(2)/2)*EX72+(1-EXP(-LN(2)/2))/(LN(2)/2)*ER73*EU73*VLOOKUP('Données projet'!$B$15,Paramètres!$A$1:$I$89,3,0)*0.475*44/12</f>
        <v>1.4219069141919763E-5</v>
      </c>
      <c r="EY73" s="24">
        <f t="shared" si="75"/>
        <v>3.0119363855893182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302</v>
      </c>
      <c r="FC73" s="13">
        <f>VLOOKUP(A73,'Données projet'!$A$217:$I$237,9,0)</f>
        <v>8.1999999999999993</v>
      </c>
      <c r="FD73" s="13">
        <f t="array" ref="FD73">INDEX(FC:FC,MIN(IF(ISNUMBER(FC73:FC269),ROW(FC73:FC269),"")))</f>
        <v>8.1999999999999993</v>
      </c>
      <c r="FE73" s="13">
        <f>IF('Données projet'!$A$218&gt;35,FE72+FD73-FM72,IF(A73&lt;'Données projet'!$A$218,$FB$205^A73,IF(A73='Données projet'!$A$218,'Données projet'!$B$218,FE72+FD73-FM72)))</f>
        <v>301.99999999999994</v>
      </c>
      <c r="FF73" s="18">
        <f>FE73*VLOOKUP('Données projet'!$B$16,Paramètres!$A$1:$I$89,3,0)*VLOOKUP('Données projet'!$B$16,Paramètres!$A$1:$I$89,5,0)</f>
        <v>292.09439999999995</v>
      </c>
      <c r="FG73" s="14">
        <f t="shared" si="101"/>
        <v>69.516578973599849</v>
      </c>
      <c r="FH73" s="22">
        <f t="shared" si="76"/>
        <v>629.80578837901965</v>
      </c>
      <c r="FI73" s="62">
        <f t="shared" si="77"/>
        <v>923.13912171235302</v>
      </c>
      <c r="FJ73" s="62">
        <f ca="1">AVERAGE(OFFSET($FI$3,0,0,'Données projet'!$E$16+1,1))-AVERAGE(OFFSET($H$3,0,0,'Données projet'!$E$16+1,1))</f>
        <v>466.4945858005575</v>
      </c>
      <c r="FK73" s="62">
        <f t="shared" si="102"/>
        <v>294.45557293177131</v>
      </c>
      <c r="FL73" s="16">
        <f>IF(ISNA(VLOOKUP(A73,'Données projet'!$A$217:$I$237,3,0)),0,VLOOKUP(A73,'Données projet'!$A$217:$I$237,3,0))</f>
        <v>11</v>
      </c>
      <c r="FM73" s="16">
        <f>IF(ISNA(VLOOKUP(A73,'Données projet'!$A$217:$I$237,4,0)),0,VLOOKUP(A73,'Données projet'!$A$217:$I$237,4,0))</f>
        <v>28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2.8839458311846681E-5</v>
      </c>
      <c r="FT73" s="24">
        <f t="shared" si="78"/>
        <v>2.8839458311846681E-5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302</v>
      </c>
      <c r="FX73" s="13">
        <f>VLOOKUP(A73,'Données projet'!$A$243:$I$263,9,0)</f>
        <v>8.1999999999999993</v>
      </c>
      <c r="FY73" s="13">
        <f t="array" ref="FY73">INDEX(FX:FX,MIN(IF(ISNUMBER(FX73:FX269),ROW(FX73:FX269),"")))</f>
        <v>8.1999999999999993</v>
      </c>
      <c r="FZ73" s="13">
        <f>IF('Données projet'!$A$244&gt;35,FZ72+FY73-GH72,IF(A73&lt;'Données projet'!$A$244,$FW$205^A73,IF(A73='Données projet'!$A$244,'Données projet'!$B$244,FZ72+FY73-GH72)))</f>
        <v>301.99999999999994</v>
      </c>
      <c r="GA73" s="18">
        <f>FZ73*VLOOKUP('Données projet'!$B$17,Paramètres!$A$1:$I$89,3,0)*VLOOKUP('Données projet'!$B$17,Paramètres!$A$1:$I$89,5,0)</f>
        <v>287.38319999999999</v>
      </c>
      <c r="GB73" s="14">
        <f t="shared" si="103"/>
        <v>68.524919967962759</v>
      </c>
      <c r="GC73" s="22">
        <f t="shared" si="79"/>
        <v>619.87330894420177</v>
      </c>
      <c r="GD73" s="62">
        <f t="shared" si="80"/>
        <v>913.20664227753514</v>
      </c>
      <c r="GE73" s="62">
        <f ca="1">AVERAGE(OFFSET($GD$3,0,0,'Données projet'!$E$17+1,1))-AVERAGE(OFFSET($H$3,0,0,'Données projet'!$E$17+1,1))</f>
        <v>459.64120566196812</v>
      </c>
      <c r="GF73" s="62">
        <f t="shared" si="104"/>
        <v>290.39826583283588</v>
      </c>
      <c r="GG73" s="16">
        <f>IF(ISNA(VLOOKUP(A73,'Données projet'!$A$243:$I$263,3,0)),0,VLOOKUP(A73,'Données projet'!$A$243:$I$263,3,0))</f>
        <v>11</v>
      </c>
      <c r="GH73" s="16">
        <f>IF(ISNA(VLOOKUP(A73,'Données projet'!$A$243:$I$263,4,0)),0,VLOOKUP(A73,'Données projet'!$A$243:$I$263,4,0))</f>
        <v>28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2.8421709430404007E-14</v>
      </c>
      <c r="O74" s="14">
        <f>N74*VLOOKUP('Données projet'!$B$9,Paramètres!$A$1:$I$89,3,0)*VLOOKUP('Données projet'!$B$9,Paramètres!$A$1:$I$89,5,0)</f>
        <v>1.5518253349000589E-14</v>
      </c>
      <c r="P74" s="14">
        <f t="shared" si="87"/>
        <v>2.8958815659671149E-13</v>
      </c>
      <c r="Q74" s="22">
        <f t="shared" si="54"/>
        <v>5.3139366398878183E-13</v>
      </c>
      <c r="R74" s="62">
        <f t="shared" si="55"/>
        <v>293.33333333333383</v>
      </c>
      <c r="S74" s="62">
        <f ca="1">AVERAGE(OFFSET($R$3,0,0,'Données projet'!$E$9+1,1))-AVERAGE(OFFSET($H$3,0,0,'Données projet'!$E$9+1,1))</f>
        <v>170.27677128684815</v>
      </c>
      <c r="T74" s="62">
        <f t="shared" si="88"/>
        <v>243.47439640666289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2.6494656398464791</v>
      </c>
      <c r="AB74" s="23">
        <f>EXP(-LN(2)/2)*AB73+(1-EXP(-LN(2)/2))/(LN(2)/2)*V74*Y74*VLOOKUP('Données projet'!$B$9,Paramètres!$A$1:$I$89,3,0)*0.475*44/12</f>
        <v>5.134085162705962E-6</v>
      </c>
      <c r="AC74" s="24">
        <f t="shared" si="57"/>
        <v>2.6494707739316419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</v>
      </c>
      <c r="AI74" s="14">
        <f>IF('Données projet'!$A$62&gt;35,AI73+AH74-AQ73,IF(A74&lt;'Données projet'!$A$62,$AF$205^A74,IF(A74='Données projet'!$A$62,'Données projet'!$B$62,AI73+AH74-AQ73)))</f>
        <v>213.99999999999994</v>
      </c>
      <c r="AJ74" s="14">
        <f>AI74*VLOOKUP('Données projet'!$B$10,Paramètres!$A$1:$I$89,3,0)*VLOOKUP('Données projet'!$B$10,Paramètres!$A$1:$I$89,5,0)</f>
        <v>186.95039999999997</v>
      </c>
      <c r="AK74" s="14">
        <f t="shared" si="89"/>
        <v>46.865095976617653</v>
      </c>
      <c r="AL74" s="22">
        <f t="shared" si="58"/>
        <v>407.22865549260905</v>
      </c>
      <c r="AM74" s="62">
        <f t="shared" si="59"/>
        <v>700.56198882594231</v>
      </c>
      <c r="AN74" s="62">
        <f ca="1">AVERAGE(OFFSET($AM$3,0,0,'Données projet'!$E$10+1,1))-AVERAGE(OFFSET($H$3,0,0,'Données projet'!$E$10+1,1))</f>
        <v>327.826081588335</v>
      </c>
      <c r="AO74" s="62">
        <f t="shared" si="90"/>
        <v>348.84706693879735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5.0837385730959737</v>
      </c>
      <c r="AW74" s="23">
        <f>EXP(-LN(2)/2)*AW73+(1-EXP(-LN(2)/2))/(LN(2)/2)*AQ74*AT74*VLOOKUP('Données projet'!$B$10,Paramètres!$A$1:$I$89,3,0)*0.475*44/12</f>
        <v>1.004428495595882E-5</v>
      </c>
      <c r="AX74" s="23">
        <f t="shared" si="60"/>
        <v>5.0837486173809294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</v>
      </c>
      <c r="BD74" s="13">
        <f>IF('Données projet'!$A$88&gt;35,BD73+BC74-BL73,IF(A74&lt;'Données projet'!$A$88,$BA$205^A74,IF(A74='Données projet'!$A$88,'Données projet'!$B$88,BD73+BC74-BL73)))</f>
        <v>355.79999999999967</v>
      </c>
      <c r="BE74" s="14">
        <f>BD74*VLOOKUP('Données projet'!$B$11,Paramètres!$A$1:$I$89,3,0)*VLOOKUP('Données projet'!$B$11,Paramètres!$A$1:$I$89,5,0)</f>
        <v>260.87255999999974</v>
      </c>
      <c r="BF74" s="14">
        <f t="shared" si="91"/>
        <v>62.908336204200786</v>
      </c>
      <c r="BG74" s="22">
        <f t="shared" si="61"/>
        <v>563.9183942223159</v>
      </c>
      <c r="BH74" s="62">
        <f t="shared" si="62"/>
        <v>857.25172755564927</v>
      </c>
      <c r="BI74" s="62">
        <f ca="1">AVERAGE(OFFSET($BH$3,0,0,'Données projet'!$E$11+1,1))-AVERAGE(OFFSET($H$3,0,0,'Données projet'!$E$11+1,1))</f>
        <v>376.5422416541544</v>
      </c>
      <c r="BJ74" s="62">
        <f t="shared" si="92"/>
        <v>365.76175372075869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10.97465284052536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10.97465284052536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405.09126081846171</v>
      </c>
      <c r="CE74" s="62">
        <f t="shared" si="94"/>
        <v>534.22295841722166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4.3734816670529613</v>
      </c>
      <c r="CL74" s="23">
        <f>EXP(-LN(2)/25)*CL73+(1-EXP(-LN(2)/25))/(LN(2)/25)*Calculateur!CG74*Calculateur!CI74*VLOOKUP('Données projet'!$B$12,Paramètres!$A$1:$I$89,3,0)*0.475*44/12</f>
        <v>4.4985252647225149</v>
      </c>
      <c r="CM74" s="23">
        <f>EXP(-LN(2)/2)*CM73+(1-EXP(-LN(2)/2))/(LN(2)/2)*CG74*CJ74*VLOOKUP('Données projet'!$B$12,Paramètres!$A$1:$I$89,3,0)*0.475*44/12</f>
        <v>1.0719946964606971E-6</v>
      </c>
      <c r="CN74" s="24">
        <f t="shared" si="66"/>
        <v>8.8720080037701727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projet'!$B$13,Paramètres!$A$1:$I$89,3,0)*VLOOKUP('Données projet'!$B$13,Paramètres!$A$1:$I$89,5,0)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244.82163392718377</v>
      </c>
      <c r="CZ74" s="62">
        <f t="shared" si="96"/>
        <v>342.30266518164211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2.6233482591290573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2.6233482591290573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3.4</v>
      </c>
      <c r="DO74" s="13">
        <f>IF('Données projet'!$A$166&gt;35,DO73+DN74-DW73,IF(A74&lt;'Données projet'!$A$166,$DL$205^A74,IF(A74='Données projet'!$A$166,'Données projet'!$B$166,DO73+DN74-DW73)))</f>
        <v>255.39999999999986</v>
      </c>
      <c r="DP74" s="18">
        <f>DO74*VLOOKUP('Données projet'!$B$14,Paramètres!$A$1:$I$89,3,0)*VLOOKUP('Données projet'!$B$14,Paramètres!$A$1:$I$89,5,0)</f>
        <v>203.1962399999999</v>
      </c>
      <c r="DQ74" s="14">
        <f t="shared" si="97"/>
        <v>50.445955049216174</v>
      </c>
      <c r="DR74" s="22">
        <f t="shared" si="70"/>
        <v>441.76015637738465</v>
      </c>
      <c r="DS74" s="62">
        <f t="shared" si="71"/>
        <v>735.0934897107179</v>
      </c>
      <c r="DT74" s="62">
        <f ca="1">AVERAGE(OFFSET($DS$3,0,0,'Données projet'!$E$14+1,1))-AVERAGE(OFFSET($H$3,0,0,'Données projet'!$E$14+1,1))</f>
        <v>298.89893065707554</v>
      </c>
      <c r="DU74" s="62">
        <f t="shared" si="98"/>
        <v>294.28794439094878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7.6</v>
      </c>
      <c r="EJ74" s="13">
        <f>IF('Données projet'!$A$192&gt;35,EJ73+EI74-ER73,IF(A74&lt;'Données projet'!$A$192,$EG$205^A74,IF(A74='Données projet'!$A$192,'Données projet'!$B$192,EJ73+EI74-ER73)))</f>
        <v>281.59999999999997</v>
      </c>
      <c r="EK74" s="18">
        <f>EJ74*VLOOKUP('Données projet'!$B$15,Paramètres!$A$1:$I$89,3,0)*VLOOKUP('Données projet'!$B$15,Paramètres!$A$1:$I$89,5,0)</f>
        <v>254.79167999999996</v>
      </c>
      <c r="EL74" s="14">
        <f t="shared" si="99"/>
        <v>61.610870508448471</v>
      </c>
      <c r="EM74" s="22">
        <f t="shared" si="73"/>
        <v>551.067775468881</v>
      </c>
      <c r="EN74" s="62">
        <f t="shared" si="74"/>
        <v>844.40110880221437</v>
      </c>
      <c r="EO74" s="62">
        <f ca="1">AVERAGE(OFFSET($EN$3,0,0,'Données projet'!$E$15+1,1))-AVERAGE(OFFSET($H$3,0,0,'Données projet'!$E$15+1,1))</f>
        <v>439.06700232017681</v>
      </c>
      <c r="EP74" s="62">
        <f t="shared" si="100"/>
        <v>278.21741231699929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2.929560996486579</v>
      </c>
      <c r="EX74" s="23">
        <f>EXP(-LN(2)/2)*EX73+(1-EXP(-LN(2)/2))/(LN(2)/2)*ER74*EU74*VLOOKUP('Données projet'!$B$15,Paramètres!$A$1:$I$89,3,0)*0.475*44/12</f>
        <v>1.0054400212411848E-5</v>
      </c>
      <c r="EY74" s="24">
        <f t="shared" si="75"/>
        <v>2.9295710508867914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7.6</v>
      </c>
      <c r="FE74" s="13">
        <f>IF('Données projet'!$A$218&gt;35,FE73+FD74-FM73,IF(A74&lt;'Données projet'!$A$218,$FB$205^A74,IF(A74='Données projet'!$A$218,'Données projet'!$B$218,FE73+FD74-FM73)))</f>
        <v>281.59999999999997</v>
      </c>
      <c r="FF74" s="18">
        <f>FE74*VLOOKUP('Données projet'!$B$16,Paramètres!$A$1:$I$89,3,0)*VLOOKUP('Données projet'!$B$16,Paramètres!$A$1:$I$89,5,0)</f>
        <v>272.36351999999999</v>
      </c>
      <c r="FG74" s="14">
        <f t="shared" si="101"/>
        <v>65.350613162347059</v>
      </c>
      <c r="FH74" s="22">
        <f t="shared" si="76"/>
        <v>588.18544859108772</v>
      </c>
      <c r="FI74" s="62">
        <f t="shared" si="77"/>
        <v>881.51878192442109</v>
      </c>
      <c r="FJ74" s="62">
        <f ca="1">AVERAGE(OFFSET($FI$3,0,0,'Données projet'!$E$16+1,1))-AVERAGE(OFFSET($H$3,0,0,'Données projet'!$E$16+1,1))</f>
        <v>466.4945858005575</v>
      </c>
      <c r="FK74" s="62">
        <f t="shared" si="102"/>
        <v>294.45557293177131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2.0392576538053532E-5</v>
      </c>
      <c r="FT74" s="24">
        <f t="shared" si="78"/>
        <v>2.0392576538053532E-5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7.6</v>
      </c>
      <c r="FZ74" s="13">
        <f>IF('Données projet'!$A$244&gt;35,FZ73+FY74-GH73,IF(A74&lt;'Données projet'!$A$244,$FW$205^A74,IF(A74='Données projet'!$A$244,'Données projet'!$B$244,FZ73+FY74-GH73)))</f>
        <v>281.59999999999997</v>
      </c>
      <c r="GA74" s="18">
        <f>FZ74*VLOOKUP('Données projet'!$B$17,Paramètres!$A$1:$I$89,3,0)*VLOOKUP('Données projet'!$B$17,Paramètres!$A$1:$I$89,5,0)</f>
        <v>267.97055999999998</v>
      </c>
      <c r="GB74" s="14">
        <f t="shared" si="103"/>
        <v>64.418381959040033</v>
      </c>
      <c r="GC74" s="22">
        <f t="shared" si="79"/>
        <v>578.91074057866138</v>
      </c>
      <c r="GD74" s="62">
        <f t="shared" si="80"/>
        <v>872.24407391199475</v>
      </c>
      <c r="GE74" s="62">
        <f ca="1">AVERAGE(OFFSET($GD$3,0,0,'Données projet'!$E$17+1,1))-AVERAGE(OFFSET($H$3,0,0,'Données projet'!$E$17+1,1))</f>
        <v>459.64120566196812</v>
      </c>
      <c r="GF74" s="62">
        <f t="shared" si="104"/>
        <v>290.39826583283588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2.8421709430404007E-14</v>
      </c>
      <c r="O75" s="14">
        <f>N75*VLOOKUP('Données projet'!$B$9,Paramètres!$A$1:$I$89,3,0)*VLOOKUP('Données projet'!$B$9,Paramètres!$A$1:$I$89,5,0)</f>
        <v>1.5518253349000589E-14</v>
      </c>
      <c r="P75" s="14">
        <f t="shared" si="87"/>
        <v>2.8958815659671149E-13</v>
      </c>
      <c r="Q75" s="22">
        <f t="shared" si="54"/>
        <v>5.3139366398878183E-13</v>
      </c>
      <c r="R75" s="62">
        <f t="shared" si="55"/>
        <v>293.33333333333383</v>
      </c>
      <c r="S75" s="62">
        <f ca="1">AVERAGE(OFFSET($R$3,0,0,'Données projet'!$E$9+1,1))-AVERAGE(OFFSET($H$3,0,0,'Données projet'!$E$9+1,1))</f>
        <v>170.27677128684815</v>
      </c>
      <c r="T75" s="62">
        <f t="shared" si="88"/>
        <v>243.47439640666289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2.5770158625955344</v>
      </c>
      <c r="AB75" s="23">
        <f>EXP(-LN(2)/2)*AB74+(1-EXP(-LN(2)/2))/(LN(2)/2)*V75*Y75*VLOOKUP('Données projet'!$B$9,Paramètres!$A$1:$I$89,3,0)*0.475*44/12</f>
        <v>3.630346433738625E-6</v>
      </c>
      <c r="AC75" s="24">
        <f t="shared" si="57"/>
        <v>2.5770194929419681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</v>
      </c>
      <c r="AI75" s="14">
        <f>IF('Données projet'!$A$62&gt;35,AI74+AH75-AQ74,IF(A75&lt;'Données projet'!$A$62,$AF$205^A75,IF(A75='Données projet'!$A$62,'Données projet'!$B$62,AI74+AH75-AQ74)))</f>
        <v>217.99999999999994</v>
      </c>
      <c r="AJ75" s="14">
        <f>AI75*VLOOKUP('Données projet'!$B$10,Paramètres!$A$1:$I$89,3,0)*VLOOKUP('Données projet'!$B$10,Paramètres!$A$1:$I$89,5,0)</f>
        <v>190.44479999999999</v>
      </c>
      <c r="AK75" s="14">
        <f t="shared" si="89"/>
        <v>47.638278428909231</v>
      </c>
      <c r="AL75" s="22">
        <f t="shared" si="58"/>
        <v>414.66136159701688</v>
      </c>
      <c r="AM75" s="62">
        <f t="shared" si="59"/>
        <v>707.99469493035019</v>
      </c>
      <c r="AN75" s="62">
        <f ca="1">AVERAGE(OFFSET($AM$3,0,0,'Données projet'!$E$10+1,1))-AVERAGE(OFFSET($H$3,0,0,'Données projet'!$E$10+1,1))</f>
        <v>327.826081588335</v>
      </c>
      <c r="AO75" s="62">
        <f t="shared" si="90"/>
        <v>348.84706693879735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4.9447234744724717</v>
      </c>
      <c r="AW75" s="23">
        <f>EXP(-LN(2)/2)*AW74+(1-EXP(-LN(2)/2))/(LN(2)/2)*AQ75*AT75*VLOOKUP('Données projet'!$B$10,Paramètres!$A$1:$I$89,3,0)*0.475*44/12</f>
        <v>7.1023820045285048E-6</v>
      </c>
      <c r="AX75" s="23">
        <f t="shared" si="60"/>
        <v>4.944730576854476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</v>
      </c>
      <c r="BD75" s="13">
        <f>IF('Données projet'!$A$88&gt;35,BD74+BC75-BL74,IF(A75&lt;'Données projet'!$A$88,$BA$205^A75,IF(A75='Données projet'!$A$88,'Données projet'!$B$88,BD74+BC75-BL74)))</f>
        <v>360.59999999999968</v>
      </c>
      <c r="BE75" s="14">
        <f>BD75*VLOOKUP('Données projet'!$B$11,Paramètres!$A$1:$I$89,3,0)*VLOOKUP('Données projet'!$B$11,Paramètres!$A$1:$I$89,5,0)</f>
        <v>264.39191999999974</v>
      </c>
      <c r="BF75" s="14">
        <f t="shared" si="91"/>
        <v>63.657643181110089</v>
      </c>
      <c r="BG75" s="22">
        <f t="shared" si="61"/>
        <v>571.35298920709954</v>
      </c>
      <c r="BH75" s="62">
        <f t="shared" si="62"/>
        <v>864.68632254043291</v>
      </c>
      <c r="BI75" s="62">
        <f ca="1">AVERAGE(OFFSET($BH$3,0,0,'Données projet'!$E$11+1,1))-AVERAGE(OFFSET($H$3,0,0,'Données projet'!$E$11+1,1))</f>
        <v>376.5422416541544</v>
      </c>
      <c r="BJ75" s="62">
        <f t="shared" si="92"/>
        <v>365.76175372075869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10.759446592199925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10.759446592199925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405.09126081846171</v>
      </c>
      <c r="CE75" s="62">
        <f t="shared" si="94"/>
        <v>534.22295841722166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4.2877203591224697</v>
      </c>
      <c r="CL75" s="23">
        <f>EXP(-LN(2)/25)*CL74+(1-EXP(-LN(2)/25))/(LN(2)/25)*Calculateur!CG75*Calculateur!CI75*VLOOKUP('Données projet'!$B$12,Paramètres!$A$1:$I$89,3,0)*0.475*44/12</f>
        <v>4.3755128547915154</v>
      </c>
      <c r="CM75" s="23">
        <f>EXP(-LN(2)/2)*CM74+(1-EXP(-LN(2)/2))/(LN(2)/2)*CG75*CJ75*VLOOKUP('Données projet'!$B$12,Paramètres!$A$1:$I$89,3,0)*0.475*44/12</f>
        <v>7.5801471926337358E-7</v>
      </c>
      <c r="CN75" s="24">
        <f t="shared" si="66"/>
        <v>8.6632339719287046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projet'!$B$13,Paramètres!$A$1:$I$89,3,0)*VLOOKUP('Données projet'!$B$13,Paramètres!$A$1:$I$89,5,0)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244.82163392718377</v>
      </c>
      <c r="CZ75" s="62">
        <f t="shared" si="96"/>
        <v>342.30266518164211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2.5719059998519795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2.5719059998519795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3.4</v>
      </c>
      <c r="DO75" s="13">
        <f>IF('Données projet'!$A$166&gt;35,DO74+DN75-DW74,IF(A75&lt;'Données projet'!$A$166,$DL$205^A75,IF(A75='Données projet'!$A$166,'Données projet'!$B$166,DO74+DN75-DW74)))</f>
        <v>258.79999999999984</v>
      </c>
      <c r="DP75" s="18">
        <f>DO75*VLOOKUP('Données projet'!$B$14,Paramètres!$A$1:$I$89,3,0)*VLOOKUP('Données projet'!$B$14,Paramètres!$A$1:$I$89,5,0)</f>
        <v>205.90127999999987</v>
      </c>
      <c r="DQ75" s="14">
        <f t="shared" si="97"/>
        <v>51.038887365811171</v>
      </c>
      <c r="DR75" s="22">
        <f t="shared" si="70"/>
        <v>447.5041248287875</v>
      </c>
      <c r="DS75" s="62">
        <f t="shared" si="71"/>
        <v>740.83745816212081</v>
      </c>
      <c r="DT75" s="62">
        <f ca="1">AVERAGE(OFFSET($DS$3,0,0,'Données projet'!$E$14+1,1))-AVERAGE(OFFSET($H$3,0,0,'Données projet'!$E$14+1,1))</f>
        <v>298.89893065707554</v>
      </c>
      <c r="DU75" s="62">
        <f t="shared" si="98"/>
        <v>294.28794439094878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7.6</v>
      </c>
      <c r="EJ75" s="13">
        <f>IF('Données projet'!$A$192&gt;35,EJ74+EI75-ER74,IF(A75&lt;'Données projet'!$A$192,$EG$205^A75,IF(A75='Données projet'!$A$192,'Données projet'!$B$192,EJ74+EI75-ER74)))</f>
        <v>289.2</v>
      </c>
      <c r="EK75" s="18">
        <f>EJ75*VLOOKUP('Données projet'!$B$15,Paramètres!$A$1:$I$89,3,0)*VLOOKUP('Données projet'!$B$15,Paramètres!$A$1:$I$89,5,0)</f>
        <v>261.66816</v>
      </c>
      <c r="EL75" s="14">
        <f t="shared" si="99"/>
        <v>63.077829793082856</v>
      </c>
      <c r="EM75" s="22">
        <f t="shared" si="73"/>
        <v>565.5992655562859</v>
      </c>
      <c r="EN75" s="62">
        <f t="shared" si="74"/>
        <v>858.93259888961916</v>
      </c>
      <c r="EO75" s="62">
        <f ca="1">AVERAGE(OFFSET($EN$3,0,0,'Données projet'!$E$15+1,1))-AVERAGE(OFFSET($H$3,0,0,'Données projet'!$E$15+1,1))</f>
        <v>439.06700232017681</v>
      </c>
      <c r="EP75" s="62">
        <f t="shared" si="100"/>
        <v>278.21741231699929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2.8494519969787362</v>
      </c>
      <c r="EX75" s="23">
        <f>EXP(-LN(2)/2)*EX74+(1-EXP(-LN(2)/2))/(LN(2)/2)*ER75*EU75*VLOOKUP('Données projet'!$B$15,Paramètres!$A$1:$I$89,3,0)*0.475*44/12</f>
        <v>7.1095345709598816E-6</v>
      </c>
      <c r="EY75" s="24">
        <f t="shared" si="75"/>
        <v>2.849459106513307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7.6</v>
      </c>
      <c r="FE75" s="13">
        <f>IF('Données projet'!$A$218&gt;35,FE74+FD75-FM74,IF(A75&lt;'Données projet'!$A$218,$FB$205^A75,IF(A75='Données projet'!$A$218,'Données projet'!$B$218,FE74+FD75-FM74)))</f>
        <v>289.2</v>
      </c>
      <c r="FF75" s="18">
        <f>FE75*VLOOKUP('Données projet'!$B$16,Paramètres!$A$1:$I$89,3,0)*VLOOKUP('Données projet'!$B$16,Paramètres!$A$1:$I$89,5,0)</f>
        <v>279.71424000000002</v>
      </c>
      <c r="FG75" s="14">
        <f t="shared" si="101"/>
        <v>66.906615990158315</v>
      </c>
      <c r="FH75" s="22">
        <f t="shared" si="76"/>
        <v>603.69799084952581</v>
      </c>
      <c r="FI75" s="62">
        <f t="shared" si="77"/>
        <v>897.03132418285918</v>
      </c>
      <c r="FJ75" s="62">
        <f ca="1">AVERAGE(OFFSET($FI$3,0,0,'Données projet'!$E$16+1,1))-AVERAGE(OFFSET($H$3,0,0,'Données projet'!$E$16+1,1))</f>
        <v>466.4945858005575</v>
      </c>
      <c r="FK75" s="62">
        <f t="shared" si="102"/>
        <v>294.45557293177131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1.4419729155923342E-5</v>
      </c>
      <c r="FT75" s="24">
        <f t="shared" si="78"/>
        <v>1.4419729155923342E-5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7.6</v>
      </c>
      <c r="FZ75" s="13">
        <f>IF('Données projet'!$A$244&gt;35,FZ74+FY75-GH74,IF(A75&lt;'Données projet'!$A$244,$FW$205^A75,IF(A75='Données projet'!$A$244,'Données projet'!$B$244,FZ74+FY75-GH74)))</f>
        <v>289.2</v>
      </c>
      <c r="GA75" s="18">
        <f>FZ75*VLOOKUP('Données projet'!$B$17,Paramètres!$A$1:$I$89,3,0)*VLOOKUP('Données projet'!$B$17,Paramètres!$A$1:$I$89,5,0)</f>
        <v>275.20272</v>
      </c>
      <c r="GB75" s="14">
        <f t="shared" si="103"/>
        <v>65.952188294449357</v>
      </c>
      <c r="GC75" s="22">
        <f t="shared" si="79"/>
        <v>594.17813194616588</v>
      </c>
      <c r="GD75" s="62">
        <f t="shared" si="80"/>
        <v>887.51146527949913</v>
      </c>
      <c r="GE75" s="62">
        <f ca="1">AVERAGE(OFFSET($GD$3,0,0,'Données projet'!$E$17+1,1))-AVERAGE(OFFSET($H$3,0,0,'Données projet'!$E$17+1,1))</f>
        <v>459.64120566196812</v>
      </c>
      <c r="GF75" s="62">
        <f t="shared" si="104"/>
        <v>290.39826583283588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2.8421709430404007E-14</v>
      </c>
      <c r="O76" s="14">
        <f>N76*VLOOKUP('Données projet'!$B$9,Paramètres!$A$1:$I$89,3,0)*VLOOKUP('Données projet'!$B$9,Paramètres!$A$1:$I$89,5,0)</f>
        <v>1.5518253349000589E-14</v>
      </c>
      <c r="P76" s="14">
        <f t="shared" si="87"/>
        <v>2.8958815659671149E-13</v>
      </c>
      <c r="Q76" s="22">
        <f t="shared" si="54"/>
        <v>5.3139366398878183E-13</v>
      </c>
      <c r="R76" s="62">
        <f t="shared" si="55"/>
        <v>293.33333333333383</v>
      </c>
      <c r="S76" s="62">
        <f ca="1">AVERAGE(OFFSET($R$3,0,0,'Données projet'!$E$9+1,1))-AVERAGE(OFFSET($H$3,0,0,'Données projet'!$E$9+1,1))</f>
        <v>170.27677128684815</v>
      </c>
      <c r="T76" s="62">
        <f t="shared" si="88"/>
        <v>243.47439640666289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2.5065472283134853</v>
      </c>
      <c r="AB76" s="23">
        <f>EXP(-LN(2)/2)*AB75+(1-EXP(-LN(2)/2))/(LN(2)/2)*V76*Y76*VLOOKUP('Données projet'!$B$9,Paramètres!$A$1:$I$89,3,0)*0.475*44/12</f>
        <v>2.5670425813529814E-6</v>
      </c>
      <c r="AC76" s="24">
        <f t="shared" si="57"/>
        <v>2.5065497953560665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</v>
      </c>
      <c r="AI76" s="14">
        <f>IF('Données projet'!$A$62&gt;35,AI75+AH76-AQ75,IF(A76&lt;'Données projet'!$A$62,$AF$205^A76,IF(A76='Données projet'!$A$62,'Données projet'!$B$62,AI75+AH76-AQ75)))</f>
        <v>221.99999999999994</v>
      </c>
      <c r="AJ76" s="14">
        <f>AI76*VLOOKUP('Données projet'!$B$10,Paramètres!$A$1:$I$89,3,0)*VLOOKUP('Données projet'!$B$10,Paramètres!$A$1:$I$89,5,0)</f>
        <v>193.93919999999997</v>
      </c>
      <c r="AK76" s="14">
        <f t="shared" si="89"/>
        <v>48.409811198069342</v>
      </c>
      <c r="AL76" s="22">
        <f t="shared" si="58"/>
        <v>422.091194503304</v>
      </c>
      <c r="AM76" s="62">
        <f t="shared" si="59"/>
        <v>715.42452783663725</v>
      </c>
      <c r="AN76" s="62">
        <f ca="1">AVERAGE(OFFSET($AM$3,0,0,'Données projet'!$E$10+1,1))-AVERAGE(OFFSET($H$3,0,0,'Données projet'!$E$10+1,1))</f>
        <v>327.826081588335</v>
      </c>
      <c r="AO76" s="62">
        <f t="shared" si="90"/>
        <v>348.84706693879735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4.8095097510313156</v>
      </c>
      <c r="AW76" s="23">
        <f>EXP(-LN(2)/2)*AW75+(1-EXP(-LN(2)/2))/(LN(2)/2)*AQ76*AT76*VLOOKUP('Données projet'!$B$10,Paramètres!$A$1:$I$89,3,0)*0.475*44/12</f>
        <v>5.0221424779794102E-6</v>
      </c>
      <c r="AX76" s="23">
        <f t="shared" si="60"/>
        <v>4.8095147731737935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</v>
      </c>
      <c r="BD76" s="13">
        <f>IF('Données projet'!$A$88&gt;35,BD75+BC76-BL75,IF(A76&lt;'Données projet'!$A$88,$BA$205^A76,IF(A76='Données projet'!$A$88,'Données projet'!$B$88,BD75+BC76-BL75)))</f>
        <v>365.39999999999969</v>
      </c>
      <c r="BE76" s="14">
        <f>BD76*VLOOKUP('Données projet'!$B$11,Paramètres!$A$1:$I$89,3,0)*VLOOKUP('Données projet'!$B$11,Paramètres!$A$1:$I$89,5,0)</f>
        <v>267.91127999999981</v>
      </c>
      <c r="BF76" s="14">
        <f t="shared" si="91"/>
        <v>64.405790031310872</v>
      </c>
      <c r="BG76" s="22">
        <f t="shared" si="61"/>
        <v>578.78556363786606</v>
      </c>
      <c r="BH76" s="62">
        <f t="shared" si="62"/>
        <v>872.11889697119932</v>
      </c>
      <c r="BI76" s="62">
        <f ca="1">AVERAGE(OFFSET($BH$3,0,0,'Données projet'!$E$11+1,1))-AVERAGE(OFFSET($H$3,0,0,'Données projet'!$E$11+1,1))</f>
        <v>376.5422416541544</v>
      </c>
      <c r="BJ76" s="62">
        <f t="shared" si="92"/>
        <v>365.76175372075869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10.548460407141302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10.548460407141302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405.09126081846171</v>
      </c>
      <c r="CE76" s="62">
        <f t="shared" si="94"/>
        <v>534.22295841722166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4.2036407781312626</v>
      </c>
      <c r="CL76" s="23">
        <f>EXP(-LN(2)/25)*CL75+(1-EXP(-LN(2)/25))/(LN(2)/25)*Calculateur!CG76*Calculateur!CI76*VLOOKUP('Données projet'!$B$12,Paramètres!$A$1:$I$89,3,0)*0.475*44/12</f>
        <v>4.2558642256790211</v>
      </c>
      <c r="CM76" s="23">
        <f>EXP(-LN(2)/2)*CM75+(1-EXP(-LN(2)/2))/(LN(2)/2)*CG76*CJ76*VLOOKUP('Données projet'!$B$12,Paramètres!$A$1:$I$89,3,0)*0.475*44/12</f>
        <v>5.3599734823034854E-7</v>
      </c>
      <c r="CN76" s="24">
        <f t="shared" si="66"/>
        <v>8.4595055398076315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projet'!$B$13,Paramètres!$A$1:$I$89,3,0)*VLOOKUP('Données projet'!$B$13,Paramètres!$A$1:$I$89,5,0)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244.82163392718377</v>
      </c>
      <c r="CZ76" s="62">
        <f t="shared" si="96"/>
        <v>342.30266518164211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2.521472491902645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2.521472491902645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3.4</v>
      </c>
      <c r="DO76" s="13">
        <f>IF('Données projet'!$A$166&gt;35,DO75+DN76-DW75,IF(A76&lt;'Données projet'!$A$166,$DL$205^A76,IF(A76='Données projet'!$A$166,'Données projet'!$B$166,DO75+DN76-DW75)))</f>
        <v>262.19999999999982</v>
      </c>
      <c r="DP76" s="18">
        <f>DO76*VLOOKUP('Données projet'!$B$14,Paramètres!$A$1:$I$89,3,0)*VLOOKUP('Données projet'!$B$14,Paramètres!$A$1:$I$89,5,0)</f>
        <v>208.6063199999999</v>
      </c>
      <c r="DQ76" s="14">
        <f t="shared" si="97"/>
        <v>51.630913628711831</v>
      </c>
      <c r="DR76" s="22">
        <f t="shared" si="70"/>
        <v>453.24651523667291</v>
      </c>
      <c r="DS76" s="62">
        <f t="shared" si="71"/>
        <v>746.57984857000622</v>
      </c>
      <c r="DT76" s="62">
        <f ca="1">AVERAGE(OFFSET($DS$3,0,0,'Données projet'!$E$14+1,1))-AVERAGE(OFFSET($H$3,0,0,'Données projet'!$E$14+1,1))</f>
        <v>298.89893065707554</v>
      </c>
      <c r="DU76" s="62">
        <f t="shared" si="98"/>
        <v>294.28794439094878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7.6</v>
      </c>
      <c r="EJ76" s="13">
        <f>IF('Données projet'!$A$192&gt;35,EJ75+EI76-ER75,IF(A76&lt;'Données projet'!$A$192,$EG$205^A76,IF(A76='Données projet'!$A$192,'Données projet'!$B$192,EJ75+EI76-ER75)))</f>
        <v>296.8</v>
      </c>
      <c r="EK76" s="18">
        <f>EJ76*VLOOKUP('Données projet'!$B$15,Paramètres!$A$1:$I$89,3,0)*VLOOKUP('Données projet'!$B$15,Paramètres!$A$1:$I$89,5,0)</f>
        <v>268.54464000000002</v>
      </c>
      <c r="EL76" s="14">
        <f t="shared" si="99"/>
        <v>64.54030807605065</v>
      </c>
      <c r="EM76" s="22">
        <f t="shared" si="73"/>
        <v>580.12295123245474</v>
      </c>
      <c r="EN76" s="62">
        <f t="shared" si="74"/>
        <v>873.45628456578811</v>
      </c>
      <c r="EO76" s="62">
        <f ca="1">AVERAGE(OFFSET($EN$3,0,0,'Données projet'!$E$15+1,1))-AVERAGE(OFFSET($H$3,0,0,'Données projet'!$E$15+1,1))</f>
        <v>439.06700232017681</v>
      </c>
      <c r="EP76" s="62">
        <f t="shared" si="100"/>
        <v>278.21741231699929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2.7715335822751848</v>
      </c>
      <c r="EX76" s="23">
        <f>EXP(-LN(2)/2)*EX75+(1-EXP(-LN(2)/2))/(LN(2)/2)*ER76*EU76*VLOOKUP('Données projet'!$B$15,Paramètres!$A$1:$I$89,3,0)*0.475*44/12</f>
        <v>5.027200106205924E-6</v>
      </c>
      <c r="EY76" s="24">
        <f t="shared" si="75"/>
        <v>2.7715386094752912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7.6</v>
      </c>
      <c r="FE76" s="13">
        <f>IF('Données projet'!$A$218&gt;35,FE75+FD76-FM75,IF(A76&lt;'Données projet'!$A$218,$FB$205^A76,IF(A76='Données projet'!$A$218,'Données projet'!$B$218,FE75+FD76-FM75)))</f>
        <v>296.8</v>
      </c>
      <c r="FF76" s="18">
        <f>FE76*VLOOKUP('Données projet'!$B$16,Paramètres!$A$1:$I$89,3,0)*VLOOKUP('Données projet'!$B$16,Paramètres!$A$1:$I$89,5,0)</f>
        <v>287.06496000000004</v>
      </c>
      <c r="FG76" s="14">
        <f t="shared" si="101"/>
        <v>68.457865822206315</v>
      </c>
      <c r="FH76" s="22">
        <f t="shared" si="76"/>
        <v>619.20225497367608</v>
      </c>
      <c r="FI76" s="62">
        <f t="shared" si="77"/>
        <v>912.53558830700945</v>
      </c>
      <c r="FJ76" s="62">
        <f ca="1">AVERAGE(OFFSET($FI$3,0,0,'Données projet'!$E$16+1,1))-AVERAGE(OFFSET($H$3,0,0,'Données projet'!$E$16+1,1))</f>
        <v>466.4945858005575</v>
      </c>
      <c r="FK76" s="62">
        <f t="shared" si="102"/>
        <v>294.45557293177131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1.0196288269026768E-5</v>
      </c>
      <c r="FT76" s="24">
        <f t="shared" si="78"/>
        <v>1.0196288269026768E-5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7.6</v>
      </c>
      <c r="FZ76" s="13">
        <f>IF('Données projet'!$A$244&gt;35,FZ75+FY76-GH75,IF(A76&lt;'Données projet'!$A$244,$FW$205^A76,IF(A76='Données projet'!$A$244,'Données projet'!$B$244,FZ75+FY76-GH75)))</f>
        <v>296.8</v>
      </c>
      <c r="GA76" s="18">
        <f>FZ76*VLOOKUP('Données projet'!$B$17,Paramètres!$A$1:$I$89,3,0)*VLOOKUP('Données projet'!$B$17,Paramètres!$A$1:$I$89,5,0)</f>
        <v>282.43488000000002</v>
      </c>
      <c r="GB76" s="14">
        <f t="shared" si="103"/>
        <v>67.481309435922299</v>
      </c>
      <c r="GC76" s="22">
        <f t="shared" si="79"/>
        <v>609.43736326756471</v>
      </c>
      <c r="GD76" s="62">
        <f t="shared" si="80"/>
        <v>902.77069660089796</v>
      </c>
      <c r="GE76" s="62">
        <f ca="1">AVERAGE(OFFSET($GD$3,0,0,'Données projet'!$E$17+1,1))-AVERAGE(OFFSET($H$3,0,0,'Données projet'!$E$17+1,1))</f>
        <v>459.64120566196812</v>
      </c>
      <c r="GF76" s="62">
        <f t="shared" si="104"/>
        <v>290.39826583283588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2.8421709430404007E-14</v>
      </c>
      <c r="O77" s="14">
        <f>N77*VLOOKUP('Données projet'!$B$9,Paramètres!$A$1:$I$89,3,0)*VLOOKUP('Données projet'!$B$9,Paramètres!$A$1:$I$89,5,0)</f>
        <v>1.5518253349000589E-14</v>
      </c>
      <c r="P77" s="14">
        <f t="shared" si="87"/>
        <v>2.8958815659671149E-13</v>
      </c>
      <c r="Q77" s="22">
        <f t="shared" si="54"/>
        <v>5.3139366398878183E-13</v>
      </c>
      <c r="R77" s="62">
        <f t="shared" si="55"/>
        <v>293.33333333333383</v>
      </c>
      <c r="S77" s="62">
        <f ca="1">AVERAGE(OFFSET($R$3,0,0,'Données projet'!$E$9+1,1))-AVERAGE(OFFSET($H$3,0,0,'Données projet'!$E$9+1,1))</f>
        <v>170.27677128684815</v>
      </c>
      <c r="T77" s="62">
        <f t="shared" si="88"/>
        <v>243.47439640666289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2.438005562541663</v>
      </c>
      <c r="AB77" s="23">
        <f>EXP(-LN(2)/2)*AB76+(1-EXP(-LN(2)/2))/(LN(2)/2)*V77*Y77*VLOOKUP('Données projet'!$B$9,Paramètres!$A$1:$I$89,3,0)*0.475*44/12</f>
        <v>1.8151732168693129E-6</v>
      </c>
      <c r="AC77" s="24">
        <f t="shared" si="57"/>
        <v>2.4380073777148801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</v>
      </c>
      <c r="AI77" s="14">
        <f>IF('Données projet'!$A$62&gt;35,AI76+AH77-AQ76,IF(A77&lt;'Données projet'!$A$62,$AF$205^A77,IF(A77='Données projet'!$A$62,'Données projet'!$B$62,AI76+AH77-AQ76)))</f>
        <v>225.99999999999994</v>
      </c>
      <c r="AJ77" s="14">
        <f>AI77*VLOOKUP('Données projet'!$B$10,Paramètres!$A$1:$I$89,3,0)*VLOOKUP('Données projet'!$B$10,Paramètres!$A$1:$I$89,5,0)</f>
        <v>197.43359999999996</v>
      </c>
      <c r="AK77" s="14">
        <f t="shared" si="89"/>
        <v>49.179727436837609</v>
      </c>
      <c r="AL77" s="22">
        <f t="shared" si="58"/>
        <v>429.51821195249204</v>
      </c>
      <c r="AM77" s="62">
        <f t="shared" si="59"/>
        <v>722.8515452858253</v>
      </c>
      <c r="AN77" s="62">
        <f ca="1">AVERAGE(OFFSET($AM$3,0,0,'Données projet'!$E$10+1,1))-AVERAGE(OFFSET($H$3,0,0,'Données projet'!$E$10+1,1))</f>
        <v>327.826081588335</v>
      </c>
      <c r="AO77" s="62">
        <f t="shared" si="90"/>
        <v>348.84706693879735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4.6779934539682388</v>
      </c>
      <c r="AW77" s="23">
        <f>EXP(-LN(2)/2)*AW76+(1-EXP(-LN(2)/2))/(LN(2)/2)*AQ77*AT77*VLOOKUP('Données projet'!$B$10,Paramètres!$A$1:$I$89,3,0)*0.475*44/12</f>
        <v>3.5511910022642524E-6</v>
      </c>
      <c r="AX77" s="23">
        <f t="shared" si="60"/>
        <v>4.6779970051592414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</v>
      </c>
      <c r="BD77" s="13">
        <f>IF('Données projet'!$A$88&gt;35,BD76+BC77-BL76,IF(A77&lt;'Données projet'!$A$88,$BA$205^A77,IF(A77='Données projet'!$A$88,'Données projet'!$B$88,BD76+BC77-BL76)))</f>
        <v>370.1999999999997</v>
      </c>
      <c r="BE77" s="14">
        <f>BD77*VLOOKUP('Données projet'!$B$11,Paramètres!$A$1:$I$89,3,0)*VLOOKUP('Données projet'!$B$11,Paramètres!$A$1:$I$89,5,0)</f>
        <v>271.43063999999981</v>
      </c>
      <c r="BF77" s="14">
        <f t="shared" si="91"/>
        <v>65.152793756453633</v>
      </c>
      <c r="BG77" s="22">
        <f t="shared" si="61"/>
        <v>586.21614712582311</v>
      </c>
      <c r="BH77" s="62">
        <f t="shared" si="62"/>
        <v>879.54948045915648</v>
      </c>
      <c r="BI77" s="62">
        <f ca="1">AVERAGE(OFFSET($BH$3,0,0,'Données projet'!$E$11+1,1))-AVERAGE(OFFSET($H$3,0,0,'Données projet'!$E$11+1,1))</f>
        <v>376.5422416541544</v>
      </c>
      <c r="BJ77" s="62">
        <f t="shared" si="92"/>
        <v>365.76175372075869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10.341611532482812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10.341611532482812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405.09126081846171</v>
      </c>
      <c r="CE77" s="62">
        <f t="shared" si="94"/>
        <v>534.22295841722166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4.1212099464398122</v>
      </c>
      <c r="CL77" s="23">
        <f>EXP(-LN(2)/25)*CL76+(1-EXP(-LN(2)/25))/(LN(2)/25)*Calculateur!CG77*Calculateur!CI77*VLOOKUP('Données projet'!$B$12,Paramètres!$A$1:$I$89,3,0)*0.475*44/12</f>
        <v>4.1394873946216553</v>
      </c>
      <c r="CM77" s="23">
        <f>EXP(-LN(2)/2)*CM76+(1-EXP(-LN(2)/2))/(LN(2)/2)*CG77*CJ77*VLOOKUP('Données projet'!$B$12,Paramètres!$A$1:$I$89,3,0)*0.475*44/12</f>
        <v>3.7900735963168679E-7</v>
      </c>
      <c r="CN77" s="24">
        <f t="shared" si="66"/>
        <v>8.2606977200688263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projet'!$B$13,Paramètres!$A$1:$I$89,3,0)*VLOOKUP('Données projet'!$B$13,Paramètres!$A$1:$I$89,5,0)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244.82163392718377</v>
      </c>
      <c r="CZ77" s="62">
        <f t="shared" si="96"/>
        <v>342.30266518164211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2.4720279542827948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2.4720279542827948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3.4</v>
      </c>
      <c r="DO77" s="13">
        <f>IF('Données projet'!$A$166&gt;35,DO76+DN77-DW76,IF(A77&lt;'Données projet'!$A$166,$DL$205^A77,IF(A77='Données projet'!$A$166,'Données projet'!$B$166,DO76+DN77-DW76)))</f>
        <v>265.5999999999998</v>
      </c>
      <c r="DP77" s="18">
        <f>DO77*VLOOKUP('Données projet'!$B$14,Paramètres!$A$1:$I$89,3,0)*VLOOKUP('Données projet'!$B$14,Paramètres!$A$1:$I$89,5,0)</f>
        <v>211.31135999999987</v>
      </c>
      <c r="DQ77" s="14">
        <f t="shared" si="97"/>
        <v>52.222046945324379</v>
      </c>
      <c r="DR77" s="22">
        <f t="shared" si="70"/>
        <v>458.98735042977302</v>
      </c>
      <c r="DS77" s="62">
        <f t="shared" si="71"/>
        <v>752.32068376310633</v>
      </c>
      <c r="DT77" s="62">
        <f ca="1">AVERAGE(OFFSET($DS$3,0,0,'Données projet'!$E$14+1,1))-AVERAGE(OFFSET($H$3,0,0,'Données projet'!$E$14+1,1))</f>
        <v>298.89893065707554</v>
      </c>
      <c r="DU77" s="62">
        <f t="shared" si="98"/>
        <v>294.28794439094878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7.6</v>
      </c>
      <c r="EJ77" s="13">
        <f>IF('Données projet'!$A$192&gt;35,EJ76+EI77-ER76,IF(A77&lt;'Données projet'!$A$192,$EG$205^A77,IF(A77='Données projet'!$A$192,'Données projet'!$B$192,EJ76+EI77-ER76)))</f>
        <v>304.40000000000003</v>
      </c>
      <c r="EK77" s="18">
        <f>EJ77*VLOOKUP('Données projet'!$B$15,Paramètres!$A$1:$I$89,3,0)*VLOOKUP('Données projet'!$B$15,Paramètres!$A$1:$I$89,5,0)</f>
        <v>275.42112000000003</v>
      </c>
      <c r="EL77" s="14">
        <f t="shared" si="99"/>
        <v>65.998433293601067</v>
      </c>
      <c r="EM77" s="22">
        <f t="shared" si="73"/>
        <v>594.63905531968851</v>
      </c>
      <c r="EN77" s="62">
        <f t="shared" si="74"/>
        <v>887.97238865302188</v>
      </c>
      <c r="EO77" s="62">
        <f ca="1">AVERAGE(OFFSET($EN$3,0,0,'Données projet'!$E$15+1,1))-AVERAGE(OFFSET($H$3,0,0,'Données projet'!$E$15+1,1))</f>
        <v>439.06700232017681</v>
      </c>
      <c r="EP77" s="62">
        <f t="shared" si="100"/>
        <v>278.21741231699929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2.6957458507192533</v>
      </c>
      <c r="EX77" s="23">
        <f>EXP(-LN(2)/2)*EX76+(1-EXP(-LN(2)/2))/(LN(2)/2)*ER77*EU77*VLOOKUP('Données projet'!$B$15,Paramètres!$A$1:$I$89,3,0)*0.475*44/12</f>
        <v>3.5547672854799408E-6</v>
      </c>
      <c r="EY77" s="24">
        <f t="shared" si="75"/>
        <v>2.6957494054865387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7.6</v>
      </c>
      <c r="FE77" s="13">
        <f>IF('Données projet'!$A$218&gt;35,FE76+FD77-FM76,IF(A77&lt;'Données projet'!$A$218,$FB$205^A77,IF(A77='Données projet'!$A$218,'Données projet'!$B$218,FE76+FD77-FM76)))</f>
        <v>304.40000000000003</v>
      </c>
      <c r="FF77" s="18">
        <f>FE77*VLOOKUP('Données projet'!$B$16,Paramètres!$A$1:$I$89,3,0)*VLOOKUP('Données projet'!$B$16,Paramètres!$A$1:$I$89,5,0)</f>
        <v>294.41568000000001</v>
      </c>
      <c r="FG77" s="14">
        <f t="shared" si="101"/>
        <v>70.004498360393455</v>
      </c>
      <c r="FH77" s="22">
        <f t="shared" si="76"/>
        <v>634.69847731101868</v>
      </c>
      <c r="FI77" s="62">
        <f t="shared" si="77"/>
        <v>928.03181064435194</v>
      </c>
      <c r="FJ77" s="62">
        <f ca="1">AVERAGE(OFFSET($FI$3,0,0,'Données projet'!$E$16+1,1))-AVERAGE(OFFSET($H$3,0,0,'Données projet'!$E$16+1,1))</f>
        <v>466.4945858005575</v>
      </c>
      <c r="FK77" s="62">
        <f t="shared" si="102"/>
        <v>294.45557293177131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7.2098645779616729E-6</v>
      </c>
      <c r="FT77" s="24">
        <f t="shared" si="78"/>
        <v>7.2098645779616729E-6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7.6</v>
      </c>
      <c r="FZ77" s="13">
        <f>IF('Données projet'!$A$244&gt;35,FZ76+FY77-GH76,IF(A77&lt;'Données projet'!$A$244,$FW$205^A77,IF(A77='Données projet'!$A$244,'Données projet'!$B$244,FZ76+FY77-GH76)))</f>
        <v>304.40000000000003</v>
      </c>
      <c r="GA77" s="18">
        <f>FZ77*VLOOKUP('Données projet'!$B$17,Paramètres!$A$1:$I$89,3,0)*VLOOKUP('Données projet'!$B$17,Paramètres!$A$1:$I$89,5,0)</f>
        <v>289.66704000000004</v>
      </c>
      <c r="GB77" s="14">
        <f t="shared" si="103"/>
        <v>69.005879149563839</v>
      </c>
      <c r="GC77" s="22">
        <f t="shared" si="79"/>
        <v>624.68866751882376</v>
      </c>
      <c r="GD77" s="62">
        <f t="shared" si="80"/>
        <v>918.02200085215713</v>
      </c>
      <c r="GE77" s="62">
        <f ca="1">AVERAGE(OFFSET($GD$3,0,0,'Données projet'!$E$17+1,1))-AVERAGE(OFFSET($H$3,0,0,'Données projet'!$E$17+1,1))</f>
        <v>459.64120566196812</v>
      </c>
      <c r="GF77" s="62">
        <f t="shared" si="104"/>
        <v>290.39826583283588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2.8421709430404007E-14</v>
      </c>
      <c r="O78" s="14">
        <f>N78*VLOOKUP('Données projet'!$B$9,Paramètres!$A$1:$I$89,3,0)*VLOOKUP('Données projet'!$B$9,Paramètres!$A$1:$I$89,5,0)</f>
        <v>1.5518253349000589E-14</v>
      </c>
      <c r="P78" s="14">
        <f t="shared" si="87"/>
        <v>2.8958815659671149E-13</v>
      </c>
      <c r="Q78" s="22">
        <f t="shared" si="54"/>
        <v>5.3139366398878183E-13</v>
      </c>
      <c r="R78" s="62">
        <f t="shared" si="55"/>
        <v>293.33333333333383</v>
      </c>
      <c r="S78" s="62">
        <f ca="1">AVERAGE(OFFSET($R$3,0,0,'Données projet'!$E$9+1,1))-AVERAGE(OFFSET($H$3,0,0,'Données projet'!$E$9+1,1))</f>
        <v>170.27677128684815</v>
      </c>
      <c r="T78" s="62">
        <f t="shared" si="88"/>
        <v>243.47439640666289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2.3713381722248208</v>
      </c>
      <c r="AB78" s="23">
        <f>EXP(-LN(2)/2)*AB77+(1-EXP(-LN(2)/2))/(LN(2)/2)*V78*Y78*VLOOKUP('Données projet'!$B$9,Paramètres!$A$1:$I$89,3,0)*0.475*44/12</f>
        <v>1.2835212906764909E-6</v>
      </c>
      <c r="AC78" s="24">
        <f t="shared" si="57"/>
        <v>2.3713394557461114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230</v>
      </c>
      <c r="AG78" s="13">
        <f>VLOOKUP(A78,'Données projet'!$A$61:$I$81,9,0)</f>
        <v>4</v>
      </c>
      <c r="AH78" s="13">
        <f t="array" ref="AH78">INDEX(AG:AG,MIN(IF(ISNUMBER(AG78:AG274),ROW(AG78:AG274),"")))</f>
        <v>4</v>
      </c>
      <c r="AI78" s="14">
        <f>IF('Données projet'!$A$62&gt;35,AI77+AH78-AQ77,IF(A78&lt;'Données projet'!$A$62,$AF$205^A78,IF(A78='Données projet'!$A$62,'Données projet'!$B$62,AI77+AH78-AQ77)))</f>
        <v>229.99999999999994</v>
      </c>
      <c r="AJ78" s="14">
        <f>AI78*VLOOKUP('Données projet'!$B$10,Paramètres!$A$1:$I$89,3,0)*VLOOKUP('Données projet'!$B$10,Paramètres!$A$1:$I$89,5,0)</f>
        <v>200.92799999999997</v>
      </c>
      <c r="AK78" s="14">
        <f t="shared" si="89"/>
        <v>49.948059057189042</v>
      </c>
      <c r="AL78" s="22">
        <f t="shared" si="58"/>
        <v>436.94246952460418</v>
      </c>
      <c r="AM78" s="62">
        <f t="shared" si="59"/>
        <v>730.27580285793749</v>
      </c>
      <c r="AN78" s="62">
        <f ca="1">AVERAGE(OFFSET($AM$3,0,0,'Données projet'!$E$10+1,1))-AVERAGE(OFFSET($H$3,0,0,'Données projet'!$E$10+1,1))</f>
        <v>327.826081588335</v>
      </c>
      <c r="AO78" s="62">
        <f t="shared" si="90"/>
        <v>348.84706693879735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15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4.550073476964493</v>
      </c>
      <c r="AW78" s="23">
        <f>EXP(-LN(2)/2)*AW77+(1-EXP(-LN(2)/2))/(LN(2)/2)*AQ78*AT78*VLOOKUP('Données projet'!$B$10,Paramètres!$A$1:$I$89,3,0)*0.475*44/12</f>
        <v>2.5110712389897051E-6</v>
      </c>
      <c r="AX78" s="23">
        <f t="shared" si="60"/>
        <v>4.550075988035732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375</v>
      </c>
      <c r="BB78" s="13">
        <f>VLOOKUP(A78,'Données projet'!$A$87:$I$107,9,0)</f>
        <v>4.8</v>
      </c>
      <c r="BC78" s="13">
        <f t="array" ref="BC78">INDEX(BB:BB,MIN(IF(ISNUMBER(BB78:BB274),ROW(BB78:BB274),"")))</f>
        <v>4.8</v>
      </c>
      <c r="BD78" s="13">
        <f>IF('Données projet'!$A$88&gt;35,BD77+BC78-BL77,IF(A78&lt;'Données projet'!$A$88,$BA$205^A78,IF(A78='Données projet'!$A$88,'Données projet'!$B$88,BD77+BC78-BL77)))</f>
        <v>374.99999999999972</v>
      </c>
      <c r="BE78" s="14">
        <f>BD78*VLOOKUP('Données projet'!$B$11,Paramètres!$A$1:$I$89,3,0)*VLOOKUP('Données projet'!$B$11,Paramètres!$A$1:$I$89,5,0)</f>
        <v>274.94999999999976</v>
      </c>
      <c r="BF78" s="14">
        <f t="shared" si="91"/>
        <v>65.898670891956897</v>
      </c>
      <c r="BG78" s="22">
        <f t="shared" si="61"/>
        <v>593.64476847015783</v>
      </c>
      <c r="BH78" s="62">
        <f t="shared" si="62"/>
        <v>886.9781018034912</v>
      </c>
      <c r="BI78" s="62">
        <f ca="1">AVERAGE(OFFSET($BH$3,0,0,'Données projet'!$E$11+1,1))-AVERAGE(OFFSET($H$3,0,0,'Données projet'!$E$11+1,1))</f>
        <v>376.5422416541544</v>
      </c>
      <c r="BJ78" s="62">
        <f t="shared" si="92"/>
        <v>365.76175372075869</v>
      </c>
      <c r="BK78" s="16">
        <f>IF(ISNA(VLOOKUP(A78,'Données projet'!$A$87:$I$107,3,0)),0,VLOOKUP(A78,'Données projet'!$A$87:$I$107,3,0))</f>
        <v>14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10.138818838091019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10.138818838091019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405.09126081846171</v>
      </c>
      <c r="CE78" s="62">
        <f t="shared" si="94"/>
        <v>534.22295841722166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4.0403955330799883</v>
      </c>
      <c r="CL78" s="23">
        <f>EXP(-LN(2)/25)*CL77+(1-EXP(-LN(2)/25))/(LN(2)/25)*Calculateur!CG78*Calculateur!CI78*VLOOKUP('Données projet'!$B$12,Paramètres!$A$1:$I$89,3,0)*0.475*44/12</f>
        <v>4.0262928941295453</v>
      </c>
      <c r="CM78" s="23">
        <f>EXP(-LN(2)/2)*CM77+(1-EXP(-LN(2)/2))/(LN(2)/2)*CG78*CJ78*VLOOKUP('Données projet'!$B$12,Paramètres!$A$1:$I$89,3,0)*0.475*44/12</f>
        <v>2.6799867411517427E-7</v>
      </c>
      <c r="CN78" s="24">
        <f t="shared" si="66"/>
        <v>8.0666886952082084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projet'!$B$13,Paramètres!$A$1:$I$89,3,0)*VLOOKUP('Données projet'!$B$13,Paramètres!$A$1:$I$89,5,0)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244.82163392718377</v>
      </c>
      <c r="CZ78" s="62">
        <f t="shared" si="96"/>
        <v>342.30266518164211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2.4235529938874794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2.4235529938874794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269</v>
      </c>
      <c r="DM78" s="13">
        <f>VLOOKUP(A78,'Données projet'!$A$165:$I$185,9,0)</f>
        <v>3.4</v>
      </c>
      <c r="DN78" s="13">
        <f t="array" ref="DN78">INDEX(DM:DM,MIN(IF(ISNUMBER(DM78:DM274),ROW(DM78:DM274),"")))</f>
        <v>3.4</v>
      </c>
      <c r="DO78" s="13">
        <f>IF('Données projet'!$A$166&gt;35,DO77+DN78-DW77,IF(A78&lt;'Données projet'!$A$166,$DL$205^A78,IF(A78='Données projet'!$A$166,'Données projet'!$B$166,DO77+DN78-DW77)))</f>
        <v>268.99999999999977</v>
      </c>
      <c r="DP78" s="18">
        <f>DO78*VLOOKUP('Données projet'!$B$14,Paramètres!$A$1:$I$89,3,0)*VLOOKUP('Données projet'!$B$14,Paramètres!$A$1:$I$89,5,0)</f>
        <v>214.01639999999983</v>
      </c>
      <c r="DQ78" s="14">
        <f t="shared" si="97"/>
        <v>52.812300068178622</v>
      </c>
      <c r="DR78" s="22">
        <f t="shared" si="70"/>
        <v>464.72665261874414</v>
      </c>
      <c r="DS78" s="62">
        <f t="shared" si="71"/>
        <v>758.05998595207745</v>
      </c>
      <c r="DT78" s="62">
        <f ca="1">AVERAGE(OFFSET($DS$3,0,0,'Données projet'!$E$14+1,1))-AVERAGE(OFFSET($H$3,0,0,'Données projet'!$E$14+1,1))</f>
        <v>298.89893065707554</v>
      </c>
      <c r="DU78" s="62">
        <f t="shared" si="98"/>
        <v>294.28794439094878</v>
      </c>
      <c r="DV78" s="16">
        <f>IF(ISNA(VLOOKUP(A78,'Données projet'!$A$165:$I$185,3,0)),0,VLOOKUP(A78,'Données projet'!$A$165:$I$185,3,0))</f>
        <v>13</v>
      </c>
      <c r="DW78" s="16">
        <f>IF(ISNA(VLOOKUP(A78,'Données projet'!$A$165:$I$185,4,0)),0,VLOOKUP(A78,'Données projet'!$A$165:$I$185,4,0))</f>
        <v>9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312</v>
      </c>
      <c r="EH78" s="13">
        <f>VLOOKUP(A78,'Données projet'!$A$191:$I$211,9,0)</f>
        <v>7.6</v>
      </c>
      <c r="EI78" s="13">
        <f t="array" ref="EI78">INDEX(EH:EH,MIN(IF(ISNUMBER(EH78:EH274),ROW(EH78:EH274),"")))</f>
        <v>7.6</v>
      </c>
      <c r="EJ78" s="13">
        <f>IF('Données projet'!$A$192&gt;35,EJ77+EI78-ER77,IF(A78&lt;'Données projet'!$A$192,$EG$205^A78,IF(A78='Données projet'!$A$192,'Données projet'!$B$192,EJ77+EI78-ER77)))</f>
        <v>312.00000000000006</v>
      </c>
      <c r="EK78" s="18">
        <f>EJ78*VLOOKUP('Données projet'!$B$15,Paramètres!$A$1:$I$89,3,0)*VLOOKUP('Données projet'!$B$15,Paramètres!$A$1:$I$89,5,0)</f>
        <v>282.29760000000005</v>
      </c>
      <c r="EL78" s="14">
        <f t="shared" si="99"/>
        <v>67.452326629470178</v>
      </c>
      <c r="EM78" s="22">
        <f t="shared" si="73"/>
        <v>609.14778887966054</v>
      </c>
      <c r="EN78" s="62">
        <f t="shared" si="74"/>
        <v>902.4811222129938</v>
      </c>
      <c r="EO78" s="62">
        <f ca="1">AVERAGE(OFFSET($EN$3,0,0,'Données projet'!$E$15+1,1))-AVERAGE(OFFSET($H$3,0,0,'Données projet'!$E$15+1,1))</f>
        <v>439.06700232017681</v>
      </c>
      <c r="EP78" s="62">
        <f t="shared" si="100"/>
        <v>278.21741231699929</v>
      </c>
      <c r="EQ78" s="16">
        <f>IF(ISNA(VLOOKUP(A78,'Données projet'!$A$191:$I$211,3,0)),0,VLOOKUP(A78,'Données projet'!$A$191:$I$211,3,0))</f>
        <v>12</v>
      </c>
      <c r="ER78" s="16">
        <f>IF(ISNA(VLOOKUP(A78,'Données projet'!$A$191:$I$211,4,0)),0,VLOOKUP(A78,'Données projet'!$A$191:$I$211,4,0))</f>
        <v>28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2.6220305386682221</v>
      </c>
      <c r="EX78" s="23">
        <f>EXP(-LN(2)/2)*EX77+(1-EXP(-LN(2)/2))/(LN(2)/2)*ER78*EU78*VLOOKUP('Données projet'!$B$15,Paramètres!$A$1:$I$89,3,0)*0.475*44/12</f>
        <v>2.513600053102962E-6</v>
      </c>
      <c r="EY78" s="24">
        <f t="shared" si="75"/>
        <v>2.6220330522682751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312</v>
      </c>
      <c r="FC78" s="13">
        <f>VLOOKUP(A78,'Données projet'!$A$217:$I$237,9,0)</f>
        <v>7.6</v>
      </c>
      <c r="FD78" s="13">
        <f t="array" ref="FD78">INDEX(FC:FC,MIN(IF(ISNUMBER(FC78:FC274),ROW(FC78:FC274),"")))</f>
        <v>7.6</v>
      </c>
      <c r="FE78" s="13">
        <f>IF('Données projet'!$A$218&gt;35,FE77+FD78-FM77,IF(A78&lt;'Données projet'!$A$218,$FB$205^A78,IF(A78='Données projet'!$A$218,'Données projet'!$B$218,FE77+FD78-FM77)))</f>
        <v>312.00000000000006</v>
      </c>
      <c r="FF78" s="18">
        <f>FE78*VLOOKUP('Données projet'!$B$16,Paramètres!$A$1:$I$89,3,0)*VLOOKUP('Données projet'!$B$16,Paramètres!$A$1:$I$89,5,0)</f>
        <v>301.76640000000003</v>
      </c>
      <c r="FG78" s="14">
        <f t="shared" si="101"/>
        <v>71.546642144235364</v>
      </c>
      <c r="FH78" s="22">
        <f t="shared" si="76"/>
        <v>650.18688173454336</v>
      </c>
      <c r="FI78" s="62">
        <f t="shared" si="77"/>
        <v>943.52021506787673</v>
      </c>
      <c r="FJ78" s="62">
        <f ca="1">AVERAGE(OFFSET($FI$3,0,0,'Données projet'!$E$16+1,1))-AVERAGE(OFFSET($H$3,0,0,'Données projet'!$E$16+1,1))</f>
        <v>466.4945858005575</v>
      </c>
      <c r="FK78" s="62">
        <f t="shared" si="102"/>
        <v>294.45557293177131</v>
      </c>
      <c r="FL78" s="16">
        <f>IF(ISNA(VLOOKUP(A78,'Données projet'!$A$217:$I$237,3,0)),0,VLOOKUP(A78,'Données projet'!$A$217:$I$237,3,0))</f>
        <v>12</v>
      </c>
      <c r="FM78" s="16">
        <f>IF(ISNA(VLOOKUP(A78,'Données projet'!$A$217:$I$237,4,0)),0,VLOOKUP(A78,'Données projet'!$A$217:$I$237,4,0))</f>
        <v>28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5.0981441345133847E-6</v>
      </c>
      <c r="FT78" s="24">
        <f t="shared" si="78"/>
        <v>5.0981441345133847E-6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312</v>
      </c>
      <c r="FX78" s="13">
        <f>VLOOKUP(A78,'Données projet'!$A$243:$I$263,9,0)</f>
        <v>7.6</v>
      </c>
      <c r="FY78" s="13">
        <f t="array" ref="FY78">INDEX(FX:FX,MIN(IF(ISNUMBER(FX78:FX274),ROW(FX78:FX274),"")))</f>
        <v>7.6</v>
      </c>
      <c r="FZ78" s="13">
        <f>IF('Données projet'!$A$244&gt;35,FZ77+FY78-GH77,IF(A78&lt;'Données projet'!$A$244,$FW$205^A78,IF(A78='Données projet'!$A$244,'Données projet'!$B$244,FZ77+FY78-GH77)))</f>
        <v>312.00000000000006</v>
      </c>
      <c r="GA78" s="18">
        <f>FZ78*VLOOKUP('Données projet'!$B$17,Paramètres!$A$1:$I$89,3,0)*VLOOKUP('Données projet'!$B$17,Paramètres!$A$1:$I$89,5,0)</f>
        <v>296.89920000000006</v>
      </c>
      <c r="GB78" s="14">
        <f t="shared" si="103"/>
        <v>70.526024141264159</v>
      </c>
      <c r="GC78" s="22">
        <f t="shared" si="79"/>
        <v>639.93226537936846</v>
      </c>
      <c r="GD78" s="62">
        <f t="shared" si="80"/>
        <v>933.26559871270183</v>
      </c>
      <c r="GE78" s="62">
        <f ca="1">AVERAGE(OFFSET($GD$3,0,0,'Données projet'!$E$17+1,1))-AVERAGE(OFFSET($H$3,0,0,'Données projet'!$E$17+1,1))</f>
        <v>459.64120566196812</v>
      </c>
      <c r="GF78" s="62">
        <f t="shared" si="104"/>
        <v>290.39826583283588</v>
      </c>
      <c r="GG78" s="16">
        <f>IF(ISNA(VLOOKUP(A78,'Données projet'!$A$243:$I$263,3,0)),0,VLOOKUP(A78,'Données projet'!$A$243:$I$263,3,0))</f>
        <v>12</v>
      </c>
      <c r="GH78" s="16">
        <f>IF(ISNA(VLOOKUP(A78,'Données projet'!$A$243:$I$263,4,0)),0,VLOOKUP(A78,'Données projet'!$A$243:$I$263,4,0))</f>
        <v>28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2.8421709430404007E-14</v>
      </c>
      <c r="O79" s="14">
        <f>N79*VLOOKUP('Données projet'!$B$9,Paramètres!$A$1:$I$89,3,0)*VLOOKUP('Données projet'!$B$9,Paramètres!$A$1:$I$89,5,0)</f>
        <v>1.5518253349000589E-14</v>
      </c>
      <c r="P79" s="14">
        <f t="shared" si="87"/>
        <v>2.8958815659671149E-13</v>
      </c>
      <c r="Q79" s="22">
        <f t="shared" si="54"/>
        <v>5.3139366398878183E-13</v>
      </c>
      <c r="R79" s="62">
        <f t="shared" si="55"/>
        <v>293.33333333333383</v>
      </c>
      <c r="S79" s="62">
        <f ca="1">AVERAGE(OFFSET($R$3,0,0,'Données projet'!$E$9+1,1))-AVERAGE(OFFSET($H$3,0,0,'Données projet'!$E$9+1,1))</f>
        <v>170.27677128684815</v>
      </c>
      <c r="T79" s="62">
        <f t="shared" si="88"/>
        <v>243.47439640666289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2.3064938052020785</v>
      </c>
      <c r="AB79" s="23">
        <f>EXP(-LN(2)/2)*AB78+(1-EXP(-LN(2)/2))/(LN(2)/2)*V79*Y79*VLOOKUP('Données projet'!$B$9,Paramètres!$A$1:$I$89,3,0)*0.475*44/12</f>
        <v>9.0758660843465657E-7</v>
      </c>
      <c r="AC79" s="24">
        <f t="shared" si="57"/>
        <v>2.306494712788687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218.59999999999994</v>
      </c>
      <c r="AJ79" s="14">
        <f>AI79*VLOOKUP('Données projet'!$B$10,Paramètres!$A$1:$I$89,3,0)*VLOOKUP('Données projet'!$B$10,Paramètres!$A$1:$I$89,5,0)</f>
        <v>190.96895999999998</v>
      </c>
      <c r="AK79" s="14">
        <f t="shared" si="89"/>
        <v>47.754112686935557</v>
      </c>
      <c r="AL79" s="22">
        <f t="shared" si="58"/>
        <v>415.77601826307938</v>
      </c>
      <c r="AM79" s="62">
        <f t="shared" si="59"/>
        <v>709.10935159641269</v>
      </c>
      <c r="AN79" s="62">
        <f ca="1">AVERAGE(OFFSET($AM$3,0,0,'Données projet'!$E$10+1,1))-AVERAGE(OFFSET($H$3,0,0,'Données projet'!$E$10+1,1))</f>
        <v>327.826081588335</v>
      </c>
      <c r="AO79" s="62">
        <f t="shared" si="90"/>
        <v>348.84706693879735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4.425651478458934</v>
      </c>
      <c r="AW79" s="23">
        <f>EXP(-LN(2)/2)*AW78+(1-EXP(-LN(2)/2))/(LN(2)/2)*AQ79*AT79*VLOOKUP('Données projet'!$B$10,Paramètres!$A$1:$I$89,3,0)*0.475*44/12</f>
        <v>1.7755955011321262E-6</v>
      </c>
      <c r="AX79" s="23">
        <f t="shared" si="60"/>
        <v>4.4256532540544349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4.2</v>
      </c>
      <c r="BD79" s="13">
        <f>IF('Données projet'!$A$88&gt;35,BD78+BC79-BL78,IF(A79&lt;'Données projet'!$A$88,$BA$205^A79,IF(A79='Données projet'!$A$88,'Données projet'!$B$88,BD78+BC79-BL78)))</f>
        <v>365.1999999999997</v>
      </c>
      <c r="BE79" s="14">
        <f>BD79*VLOOKUP('Données projet'!$B$11,Paramètres!$A$1:$I$89,3,0)*VLOOKUP('Données projet'!$B$11,Paramètres!$A$1:$I$89,5,0)</f>
        <v>267.76463999999982</v>
      </c>
      <c r="BF79" s="14">
        <f t="shared" si="91"/>
        <v>64.374640184948362</v>
      </c>
      <c r="BG79" s="22">
        <f t="shared" si="61"/>
        <v>578.47591298878478</v>
      </c>
      <c r="BH79" s="62">
        <f t="shared" si="62"/>
        <v>871.80924632211804</v>
      </c>
      <c r="BI79" s="62">
        <f ca="1">AVERAGE(OFFSET($BH$3,0,0,'Données projet'!$E$11+1,1))-AVERAGE(OFFSET($H$3,0,0,'Données projet'!$E$11+1,1))</f>
        <v>376.5422416541544</v>
      </c>
      <c r="BJ79" s="62">
        <f t="shared" si="92"/>
        <v>365.76175372075869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9.9400027847449195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9.9400027847449195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405.09126081846171</v>
      </c>
      <c r="CE79" s="62">
        <f t="shared" si="94"/>
        <v>534.22295841722166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3.9611658410742256</v>
      </c>
      <c r="CL79" s="23">
        <f>EXP(-LN(2)/25)*CL78+(1-EXP(-LN(2)/25))/(LN(2)/25)*Calculateur!CG79*Calculateur!CI79*VLOOKUP('Données projet'!$B$12,Paramètres!$A$1:$I$89,3,0)*0.475*44/12</f>
        <v>3.9161937032060319</v>
      </c>
      <c r="CM79" s="23">
        <f>EXP(-LN(2)/2)*CM78+(1-EXP(-LN(2)/2))/(LN(2)/2)*CG79*CJ79*VLOOKUP('Données projet'!$B$12,Paramètres!$A$1:$I$89,3,0)*0.475*44/12</f>
        <v>1.895036798158434E-7</v>
      </c>
      <c r="CN79" s="24">
        <f t="shared" si="66"/>
        <v>7.8773597337839369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projet'!$B$13,Paramètres!$A$1:$I$89,3,0)*VLOOKUP('Données projet'!$B$13,Paramètres!$A$1:$I$89,5,0)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244.82163392718377</v>
      </c>
      <c r="CZ79" s="62">
        <f t="shared" si="96"/>
        <v>342.30266518164211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2.3760285978987099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2.3760285978987099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</v>
      </c>
      <c r="DO79" s="13">
        <f>IF('Données projet'!$A$166&gt;35,DO78+DN79-DW78,IF(A79&lt;'Données projet'!$A$166,$DL$205^A79,IF(A79='Données projet'!$A$166,'Données projet'!$B$166,DO78+DN79-DW78)))</f>
        <v>262.99999999999977</v>
      </c>
      <c r="DP79" s="18">
        <f>DO79*VLOOKUP('Données projet'!$B$14,Paramètres!$A$1:$I$89,3,0)*VLOOKUP('Données projet'!$B$14,Paramètres!$A$1:$I$89,5,0)</f>
        <v>209.24279999999982</v>
      </c>
      <c r="DQ79" s="14">
        <f t="shared" si="97"/>
        <v>51.770083677016764</v>
      </c>
      <c r="DR79" s="22">
        <f t="shared" si="70"/>
        <v>454.59743907080389</v>
      </c>
      <c r="DS79" s="62">
        <f t="shared" si="71"/>
        <v>747.9307724041372</v>
      </c>
      <c r="DT79" s="62">
        <f ca="1">AVERAGE(OFFSET($DS$3,0,0,'Données projet'!$E$14+1,1))-AVERAGE(OFFSET($H$3,0,0,'Données projet'!$E$14+1,1))</f>
        <v>298.89893065707554</v>
      </c>
      <c r="DU79" s="62">
        <f t="shared" si="98"/>
        <v>294.28794439094878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7.2</v>
      </c>
      <c r="EJ79" s="13">
        <f>IF('Données projet'!$A$192&gt;35,EJ78+EI79-ER78,IF(A79&lt;'Données projet'!$A$192,$EG$205^A79,IF(A79='Données projet'!$A$192,'Données projet'!$B$192,EJ78+EI79-ER78)))</f>
        <v>291.20000000000005</v>
      </c>
      <c r="EK79" s="18">
        <f>EJ79*VLOOKUP('Données projet'!$B$15,Paramètres!$A$1:$I$89,3,0)*VLOOKUP('Données projet'!$B$15,Paramètres!$A$1:$I$89,5,0)</f>
        <v>263.47776000000005</v>
      </c>
      <c r="EL79" s="14">
        <f t="shared" si="99"/>
        <v>63.46312159763346</v>
      </c>
      <c r="EM79" s="22">
        <f t="shared" si="73"/>
        <v>569.42203544921165</v>
      </c>
      <c r="EN79" s="62">
        <f t="shared" si="74"/>
        <v>862.75536878254502</v>
      </c>
      <c r="EO79" s="62">
        <f ca="1">AVERAGE(OFFSET($EN$3,0,0,'Données projet'!$E$15+1,1))-AVERAGE(OFFSET($H$3,0,0,'Données projet'!$E$15+1,1))</f>
        <v>439.06700232017681</v>
      </c>
      <c r="EP79" s="62">
        <f t="shared" si="100"/>
        <v>278.21741231699929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2.5503309757017463</v>
      </c>
      <c r="EX79" s="23">
        <f>EXP(-LN(2)/2)*EX78+(1-EXP(-LN(2)/2))/(LN(2)/2)*ER79*EU79*VLOOKUP('Données projet'!$B$15,Paramètres!$A$1:$I$89,3,0)*0.475*44/12</f>
        <v>1.7773836427399704E-6</v>
      </c>
      <c r="EY79" s="24">
        <f t="shared" si="75"/>
        <v>2.5503327530853892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7.2</v>
      </c>
      <c r="FE79" s="13">
        <f>IF('Données projet'!$A$218&gt;35,FE78+FD79-FM78,IF(A79&lt;'Données projet'!$A$218,$FB$205^A79,IF(A79='Données projet'!$A$218,'Données projet'!$B$218,FE78+FD79-FM78)))</f>
        <v>291.20000000000005</v>
      </c>
      <c r="FF79" s="18">
        <f>FE79*VLOOKUP('Données projet'!$B$16,Paramètres!$A$1:$I$89,3,0)*VLOOKUP('Données projet'!$B$16,Paramètres!$A$1:$I$89,5,0)</f>
        <v>281.64864000000006</v>
      </c>
      <c r="FG79" s="14">
        <f t="shared" si="101"/>
        <v>67.315294774697747</v>
      </c>
      <c r="FH79" s="22">
        <f t="shared" si="76"/>
        <v>607.77885306593191</v>
      </c>
      <c r="FI79" s="62">
        <f t="shared" si="77"/>
        <v>901.11218639926528</v>
      </c>
      <c r="FJ79" s="62">
        <f ca="1">AVERAGE(OFFSET($FI$3,0,0,'Données projet'!$E$16+1,1))-AVERAGE(OFFSET($H$3,0,0,'Données projet'!$E$16+1,1))</f>
        <v>466.4945858005575</v>
      </c>
      <c r="FK79" s="62">
        <f t="shared" si="102"/>
        <v>294.45557293177131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3.6049322889808369E-6</v>
      </c>
      <c r="FT79" s="24">
        <f t="shared" si="78"/>
        <v>3.6049322889808369E-6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7.2</v>
      </c>
      <c r="FZ79" s="13">
        <f>IF('Données projet'!$A$244&gt;35,FZ78+FY79-GH78,IF(A79&lt;'Données projet'!$A$244,$FW$205^A79,IF(A79='Données projet'!$A$244,'Données projet'!$B$244,FZ78+FY79-GH78)))</f>
        <v>291.20000000000005</v>
      </c>
      <c r="GA79" s="18">
        <f>FZ79*VLOOKUP('Données projet'!$B$17,Paramètres!$A$1:$I$89,3,0)*VLOOKUP('Données projet'!$B$17,Paramètres!$A$1:$I$89,5,0)</f>
        <v>277.10592000000008</v>
      </c>
      <c r="GB79" s="14">
        <f t="shared" si="103"/>
        <v>66.355037246694323</v>
      </c>
      <c r="GC79" s="22">
        <f t="shared" si="79"/>
        <v>598.19450053799278</v>
      </c>
      <c r="GD79" s="62">
        <f t="shared" si="80"/>
        <v>891.52783387132604</v>
      </c>
      <c r="GE79" s="62">
        <f ca="1">AVERAGE(OFFSET($GD$3,0,0,'Données projet'!$E$17+1,1))-AVERAGE(OFFSET($H$3,0,0,'Données projet'!$E$17+1,1))</f>
        <v>459.64120566196812</v>
      </c>
      <c r="GF79" s="62">
        <f t="shared" si="104"/>
        <v>290.39826583283588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2.8421709430404007E-14</v>
      </c>
      <c r="O80" s="14">
        <f>N80*VLOOKUP('Données projet'!$B$9,Paramètres!$A$1:$I$89,3,0)*VLOOKUP('Données projet'!$B$9,Paramètres!$A$1:$I$89,5,0)</f>
        <v>1.5518253349000589E-14</v>
      </c>
      <c r="P80" s="14">
        <f t="shared" si="87"/>
        <v>2.8958815659671149E-13</v>
      </c>
      <c r="Q80" s="22">
        <f t="shared" si="54"/>
        <v>5.3139366398878183E-13</v>
      </c>
      <c r="R80" s="62">
        <f t="shared" si="55"/>
        <v>293.33333333333383</v>
      </c>
      <c r="S80" s="62">
        <f ca="1">AVERAGE(OFFSET($R$3,0,0,'Données projet'!$E$9+1,1))-AVERAGE(OFFSET($H$3,0,0,'Données projet'!$E$9+1,1))</f>
        <v>170.27677128684815</v>
      </c>
      <c r="T80" s="62">
        <f t="shared" si="88"/>
        <v>243.47439640666289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2.2434226108055899</v>
      </c>
      <c r="AB80" s="23">
        <f>EXP(-LN(2)/2)*AB79+(1-EXP(-LN(2)/2))/(LN(2)/2)*V80*Y80*VLOOKUP('Données projet'!$B$9,Paramètres!$A$1:$I$89,3,0)*0.475*44/12</f>
        <v>6.4176064533824557E-7</v>
      </c>
      <c r="AC80" s="24">
        <f t="shared" si="57"/>
        <v>2.2434232525662354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222.19999999999993</v>
      </c>
      <c r="AJ80" s="14">
        <f>AI80*VLOOKUP('Données projet'!$B$10,Paramètres!$A$1:$I$89,3,0)*VLOOKUP('Données projet'!$B$10,Paramètres!$A$1:$I$89,5,0)</f>
        <v>194.11391999999998</v>
      </c>
      <c r="AK80" s="14">
        <f t="shared" si="89"/>
        <v>48.44834513242396</v>
      </c>
      <c r="AL80" s="22">
        <f t="shared" si="58"/>
        <v>422.46261177230502</v>
      </c>
      <c r="AM80" s="62">
        <f t="shared" si="59"/>
        <v>715.79594510563834</v>
      </c>
      <c r="AN80" s="62">
        <f ca="1">AVERAGE(OFFSET($AM$3,0,0,'Données projet'!$E$10+1,1))-AVERAGE(OFFSET($H$3,0,0,'Données projet'!$E$10+1,1))</f>
        <v>327.826081588335</v>
      </c>
      <c r="AO80" s="62">
        <f t="shared" si="90"/>
        <v>348.84706693879735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4.3046318060455784</v>
      </c>
      <c r="AW80" s="23">
        <f>EXP(-LN(2)/2)*AW79+(1-EXP(-LN(2)/2))/(LN(2)/2)*AQ80*AT80*VLOOKUP('Données projet'!$B$10,Paramètres!$A$1:$I$89,3,0)*0.475*44/12</f>
        <v>1.2555356194948526E-6</v>
      </c>
      <c r="AX80" s="23">
        <f t="shared" si="60"/>
        <v>4.3046330615811979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4.2</v>
      </c>
      <c r="BD80" s="13">
        <f>IF('Données projet'!$A$88&gt;35,BD79+BC80-BL79,IF(A80&lt;'Données projet'!$A$88,$BA$205^A80,IF(A80='Données projet'!$A$88,'Données projet'!$B$88,BD79+BC80-BL79)))</f>
        <v>369.39999999999969</v>
      </c>
      <c r="BE80" s="14">
        <f>BD80*VLOOKUP('Données projet'!$B$11,Paramètres!$A$1:$I$89,3,0)*VLOOKUP('Données projet'!$B$11,Paramètres!$A$1:$I$89,5,0)</f>
        <v>270.84407999999979</v>
      </c>
      <c r="BF80" s="14">
        <f t="shared" si="91"/>
        <v>65.028371811908485</v>
      </c>
      <c r="BG80" s="22">
        <f t="shared" si="61"/>
        <v>584.97785357240684</v>
      </c>
      <c r="BH80" s="62">
        <f t="shared" si="62"/>
        <v>878.31118690574021</v>
      </c>
      <c r="BI80" s="62">
        <f ca="1">AVERAGE(OFFSET($BH$3,0,0,'Données projet'!$E$11+1,1))-AVERAGE(OFFSET($H$3,0,0,'Données projet'!$E$11+1,1))</f>
        <v>376.5422416541544</v>
      </c>
      <c r="BJ80" s="62">
        <f t="shared" si="92"/>
        <v>365.76175372075869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9.745085392939119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9.745085392939119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405.09126081846171</v>
      </c>
      <c r="CE80" s="62">
        <f t="shared" si="94"/>
        <v>534.22295841722166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3.883489795003356</v>
      </c>
      <c r="CL80" s="23">
        <f>EXP(-LN(2)/25)*CL79+(1-EXP(-LN(2)/25))/(LN(2)/25)*Calculateur!CG80*Calculateur!CI80*VLOOKUP('Données projet'!$B$12,Paramètres!$A$1:$I$89,3,0)*0.475*44/12</f>
        <v>3.8091051804481868</v>
      </c>
      <c r="CM80" s="23">
        <f>EXP(-LN(2)/2)*CM79+(1-EXP(-LN(2)/2))/(LN(2)/2)*CG80*CJ80*VLOOKUP('Données projet'!$B$12,Paramètres!$A$1:$I$89,3,0)*0.475*44/12</f>
        <v>1.3399933705758714E-7</v>
      </c>
      <c r="CN80" s="24">
        <f t="shared" si="66"/>
        <v>7.6925951094508802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projet'!$B$13,Paramètres!$A$1:$I$89,3,0)*VLOOKUP('Données projet'!$B$13,Paramètres!$A$1:$I$89,5,0)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244.82163392718377</v>
      </c>
      <c r="CZ80" s="62">
        <f t="shared" si="96"/>
        <v>342.30266518164211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2.329436126328261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2.329436126328261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</v>
      </c>
      <c r="DO80" s="13">
        <f>IF('Données projet'!$A$166&gt;35,DO79+DN80-DW79,IF(A80&lt;'Données projet'!$A$166,$DL$205^A80,IF(A80='Données projet'!$A$166,'Données projet'!$B$166,DO79+DN80-DW79)))</f>
        <v>265.99999999999977</v>
      </c>
      <c r="DP80" s="18">
        <f>DO80*VLOOKUP('Données projet'!$B$14,Paramètres!$A$1:$I$89,3,0)*VLOOKUP('Données projet'!$B$14,Paramètres!$A$1:$I$89,5,0)</f>
        <v>211.62959999999981</v>
      </c>
      <c r="DQ80" s="14">
        <f t="shared" si="97"/>
        <v>52.291533930940183</v>
      </c>
      <c r="DR80" s="22">
        <f t="shared" si="70"/>
        <v>459.66264159638718</v>
      </c>
      <c r="DS80" s="62">
        <f t="shared" si="71"/>
        <v>752.99597492972043</v>
      </c>
      <c r="DT80" s="62">
        <f ca="1">AVERAGE(OFFSET($DS$3,0,0,'Données projet'!$E$14+1,1))-AVERAGE(OFFSET($H$3,0,0,'Données projet'!$E$14+1,1))</f>
        <v>298.89893065707554</v>
      </c>
      <c r="DU80" s="62">
        <f t="shared" si="98"/>
        <v>294.28794439094878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7.2</v>
      </c>
      <c r="EJ80" s="13">
        <f>IF('Données projet'!$A$192&gt;35,EJ79+EI80-ER79,IF(A80&lt;'Données projet'!$A$192,$EG$205^A80,IF(A80='Données projet'!$A$192,'Données projet'!$B$192,EJ79+EI80-ER79)))</f>
        <v>298.40000000000003</v>
      </c>
      <c r="EK80" s="18">
        <f>EJ80*VLOOKUP('Données projet'!$B$15,Paramètres!$A$1:$I$89,3,0)*VLOOKUP('Données projet'!$B$15,Paramètres!$A$1:$I$89,5,0)</f>
        <v>269.99232000000001</v>
      </c>
      <c r="EL80" s="14">
        <f t="shared" si="99"/>
        <v>64.847639395310296</v>
      </c>
      <c r="EM80" s="22">
        <f t="shared" si="73"/>
        <v>583.17959594683214</v>
      </c>
      <c r="EN80" s="62">
        <f t="shared" si="74"/>
        <v>876.51292928016551</v>
      </c>
      <c r="EO80" s="62">
        <f ca="1">AVERAGE(OFFSET($EN$3,0,0,'Données projet'!$E$15+1,1))-AVERAGE(OFFSET($H$3,0,0,'Données projet'!$E$15+1,1))</f>
        <v>439.06700232017681</v>
      </c>
      <c r="EP80" s="62">
        <f t="shared" si="100"/>
        <v>278.21741231699929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2.4805920410551048</v>
      </c>
      <c r="EX80" s="23">
        <f>EXP(-LN(2)/2)*EX79+(1-EXP(-LN(2)/2))/(LN(2)/2)*ER80*EU80*VLOOKUP('Données projet'!$B$15,Paramètres!$A$1:$I$89,3,0)*0.475*44/12</f>
        <v>1.256800026551481E-6</v>
      </c>
      <c r="EY80" s="24">
        <f t="shared" si="75"/>
        <v>2.4805932978551315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7.2</v>
      </c>
      <c r="FE80" s="13">
        <f>IF('Données projet'!$A$218&gt;35,FE79+FD80-FM79,IF(A80&lt;'Données projet'!$A$218,$FB$205^A80,IF(A80='Données projet'!$A$218,'Données projet'!$B$218,FE79+FD80-FM79)))</f>
        <v>298.40000000000003</v>
      </c>
      <c r="FF80" s="18">
        <f>FE80*VLOOKUP('Données projet'!$B$16,Paramètres!$A$1:$I$89,3,0)*VLOOKUP('Données projet'!$B$16,Paramètres!$A$1:$I$89,5,0)</f>
        <v>288.61248000000001</v>
      </c>
      <c r="FG80" s="14">
        <f t="shared" si="101"/>
        <v>68.783851967051476</v>
      </c>
      <c r="FH80" s="22">
        <f t="shared" si="76"/>
        <v>622.4652781759479</v>
      </c>
      <c r="FI80" s="62">
        <f t="shared" si="77"/>
        <v>915.79861150928127</v>
      </c>
      <c r="FJ80" s="62">
        <f ca="1">AVERAGE(OFFSET($FI$3,0,0,'Données projet'!$E$16+1,1))-AVERAGE(OFFSET($H$3,0,0,'Données projet'!$E$16+1,1))</f>
        <v>466.4945858005575</v>
      </c>
      <c r="FK80" s="62">
        <f t="shared" si="102"/>
        <v>294.45557293177131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2.5490720672566928E-6</v>
      </c>
      <c r="FT80" s="24">
        <f t="shared" si="78"/>
        <v>2.5490720672566928E-6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7.2</v>
      </c>
      <c r="FZ80" s="13">
        <f>IF('Données projet'!$A$244&gt;35,FZ79+FY80-GH79,IF(A80&lt;'Données projet'!$A$244,$FW$205^A80,IF(A80='Données projet'!$A$244,'Données projet'!$B$244,FZ79+FY80-GH79)))</f>
        <v>298.40000000000003</v>
      </c>
      <c r="GA80" s="18">
        <f>FZ80*VLOOKUP('Données projet'!$B$17,Paramètres!$A$1:$I$89,3,0)*VLOOKUP('Données projet'!$B$17,Paramètres!$A$1:$I$89,5,0)</f>
        <v>283.95744000000008</v>
      </c>
      <c r="GB80" s="14">
        <f t="shared" si="103"/>
        <v>67.802645364933795</v>
      </c>
      <c r="GC80" s="22">
        <f t="shared" si="79"/>
        <v>612.64881534392646</v>
      </c>
      <c r="GD80" s="62">
        <f t="shared" si="80"/>
        <v>905.98214867725983</v>
      </c>
      <c r="GE80" s="62">
        <f ca="1">AVERAGE(OFFSET($GD$3,0,0,'Données projet'!$E$17+1,1))-AVERAGE(OFFSET($H$3,0,0,'Données projet'!$E$17+1,1))</f>
        <v>459.64120566196812</v>
      </c>
      <c r="GF80" s="62">
        <f t="shared" si="104"/>
        <v>290.39826583283588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2.8421709430404007E-14</v>
      </c>
      <c r="O81" s="14">
        <f>N81*VLOOKUP('Données projet'!$B$9,Paramètres!$A$1:$I$89,3,0)*VLOOKUP('Données projet'!$B$9,Paramètres!$A$1:$I$89,5,0)</f>
        <v>1.5518253349000589E-14</v>
      </c>
      <c r="P81" s="14">
        <f t="shared" si="87"/>
        <v>2.8958815659671149E-13</v>
      </c>
      <c r="Q81" s="22">
        <f t="shared" si="54"/>
        <v>5.3139366398878183E-13</v>
      </c>
      <c r="R81" s="62">
        <f t="shared" si="55"/>
        <v>293.33333333333383</v>
      </c>
      <c r="S81" s="62">
        <f ca="1">AVERAGE(OFFSET($R$3,0,0,'Données projet'!$E$9+1,1))-AVERAGE(OFFSET($H$3,0,0,'Données projet'!$E$9+1,1))</f>
        <v>170.27677128684815</v>
      </c>
      <c r="T81" s="62">
        <f t="shared" si="88"/>
        <v>243.47439640666289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2.1820761015366434</v>
      </c>
      <c r="AB81" s="23">
        <f>EXP(-LN(2)/2)*AB80+(1-EXP(-LN(2)/2))/(LN(2)/2)*V81*Y81*VLOOKUP('Données projet'!$B$9,Paramètres!$A$1:$I$89,3,0)*0.475*44/12</f>
        <v>4.5379330421732839E-7</v>
      </c>
      <c r="AC81" s="24">
        <f t="shared" si="57"/>
        <v>2.1820765553299477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225.79999999999993</v>
      </c>
      <c r="AJ81" s="14">
        <f>AI81*VLOOKUP('Données projet'!$B$10,Paramètres!$A$1:$I$89,3,0)*VLOOKUP('Données projet'!$B$10,Paramètres!$A$1:$I$89,5,0)</f>
        <v>197.25887999999995</v>
      </c>
      <c r="AK81" s="14">
        <f t="shared" si="89"/>
        <v>49.141269519991567</v>
      </c>
      <c r="AL81" s="22">
        <f t="shared" si="58"/>
        <v>429.14692708065189</v>
      </c>
      <c r="AM81" s="62">
        <f t="shared" si="59"/>
        <v>722.48026041398521</v>
      </c>
      <c r="AN81" s="62">
        <f ca="1">AVERAGE(OFFSET($AM$3,0,0,'Données projet'!$E$10+1,1))-AVERAGE(OFFSET($H$3,0,0,'Données projet'!$E$10+1,1))</f>
        <v>327.826081588335</v>
      </c>
      <c r="AO81" s="62">
        <f t="shared" si="90"/>
        <v>348.84706693879735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4.1869214229385134</v>
      </c>
      <c r="AW81" s="23">
        <f>EXP(-LN(2)/2)*AW80+(1-EXP(-LN(2)/2))/(LN(2)/2)*AQ81*AT81*VLOOKUP('Données projet'!$B$10,Paramètres!$A$1:$I$89,3,0)*0.475*44/12</f>
        <v>8.8779775056606311E-7</v>
      </c>
      <c r="AX81" s="23">
        <f t="shared" si="60"/>
        <v>4.1869223107362643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4.2</v>
      </c>
      <c r="BD81" s="13">
        <f>IF('Données projet'!$A$88&gt;35,BD80+BC81-BL80,IF(A81&lt;'Données projet'!$A$88,$BA$205^A81,IF(A81='Données projet'!$A$88,'Données projet'!$B$88,BD80+BC81-BL80)))</f>
        <v>373.59999999999968</v>
      </c>
      <c r="BE81" s="14">
        <f>BD81*VLOOKUP('Données projet'!$B$11,Paramètres!$A$1:$I$89,3,0)*VLOOKUP('Données projet'!$B$11,Paramètres!$A$1:$I$89,5,0)</f>
        <v>273.92351999999977</v>
      </c>
      <c r="BF81" s="14">
        <f t="shared" si="91"/>
        <v>65.681238814600704</v>
      </c>
      <c r="BG81" s="22">
        <f t="shared" si="61"/>
        <v>591.47828826876241</v>
      </c>
      <c r="BH81" s="62">
        <f t="shared" si="62"/>
        <v>884.81162160209578</v>
      </c>
      <c r="BI81" s="62">
        <f ca="1">AVERAGE(OFFSET($BH$3,0,0,'Données projet'!$E$11+1,1))-AVERAGE(OFFSET($H$3,0,0,'Données projet'!$E$11+1,1))</f>
        <v>376.5422416541544</v>
      </c>
      <c r="BJ81" s="62">
        <f t="shared" si="92"/>
        <v>365.76175372075869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9.5539902122987606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9.5539902122987606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405.09126081846171</v>
      </c>
      <c r="CE81" s="62">
        <f t="shared" si="94"/>
        <v>534.22295841722166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3.8073369288182262</v>
      </c>
      <c r="CL81" s="23">
        <f>EXP(-LN(2)/25)*CL80+(1-EXP(-LN(2)/25))/(LN(2)/25)*Calculateur!CG81*Calculateur!CI81*VLOOKUP('Données projet'!$B$12,Paramètres!$A$1:$I$89,3,0)*0.475*44/12</f>
        <v>3.7049449989766954</v>
      </c>
      <c r="CM81" s="23">
        <f>EXP(-LN(2)/2)*CM80+(1-EXP(-LN(2)/2))/(LN(2)/2)*CG81*CJ81*VLOOKUP('Données projet'!$B$12,Paramètres!$A$1:$I$89,3,0)*0.475*44/12</f>
        <v>9.4751839907921698E-8</v>
      </c>
      <c r="CN81" s="24">
        <f t="shared" si="66"/>
        <v>7.5122820225467617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projet'!$B$13,Paramètres!$A$1:$I$89,3,0)*VLOOKUP('Données projet'!$B$13,Paramètres!$A$1:$I$89,5,0)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244.82163392718377</v>
      </c>
      <c r="CZ81" s="62">
        <f t="shared" si="96"/>
        <v>342.30266518164211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2.283757304706707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2.283757304706707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</v>
      </c>
      <c r="DO81" s="13">
        <f>IF('Données projet'!$A$166&gt;35,DO80+DN81-DW80,IF(A81&lt;'Données projet'!$A$166,$DL$205^A81,IF(A81='Données projet'!$A$166,'Données projet'!$B$166,DO80+DN81-DW80)))</f>
        <v>268.99999999999977</v>
      </c>
      <c r="DP81" s="18">
        <f>DO81*VLOOKUP('Données projet'!$B$14,Paramètres!$A$1:$I$89,3,0)*VLOOKUP('Données projet'!$B$14,Paramètres!$A$1:$I$89,5,0)</f>
        <v>214.01639999999983</v>
      </c>
      <c r="DQ81" s="14">
        <f t="shared" si="97"/>
        <v>52.812300068178622</v>
      </c>
      <c r="DR81" s="22">
        <f t="shared" si="70"/>
        <v>464.72665261874414</v>
      </c>
      <c r="DS81" s="62">
        <f t="shared" si="71"/>
        <v>758.05998595207745</v>
      </c>
      <c r="DT81" s="62">
        <f ca="1">AVERAGE(OFFSET($DS$3,0,0,'Données projet'!$E$14+1,1))-AVERAGE(OFFSET($H$3,0,0,'Données projet'!$E$14+1,1))</f>
        <v>298.89893065707554</v>
      </c>
      <c r="DU81" s="62">
        <f t="shared" si="98"/>
        <v>294.28794439094878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7.2</v>
      </c>
      <c r="EJ81" s="13">
        <f>IF('Données projet'!$A$192&gt;35,EJ80+EI81-ER80,IF(A81&lt;'Données projet'!$A$192,$EG$205^A81,IF(A81='Données projet'!$A$192,'Données projet'!$B$192,EJ80+EI81-ER80)))</f>
        <v>305.60000000000002</v>
      </c>
      <c r="EK81" s="18">
        <f>EJ81*VLOOKUP('Données projet'!$B$15,Paramètres!$A$1:$I$89,3,0)*VLOOKUP('Données projet'!$B$15,Paramètres!$A$1:$I$89,5,0)</f>
        <v>276.50687999999997</v>
      </c>
      <c r="EL81" s="14">
        <f t="shared" si="99"/>
        <v>66.228273722513677</v>
      </c>
      <c r="EM81" s="22">
        <f t="shared" si="73"/>
        <v>596.93039273337797</v>
      </c>
      <c r="EN81" s="62">
        <f t="shared" si="74"/>
        <v>890.26372606671134</v>
      </c>
      <c r="EO81" s="62">
        <f ca="1">AVERAGE(OFFSET($EN$3,0,0,'Données projet'!$E$15+1,1))-AVERAGE(OFFSET($H$3,0,0,'Données projet'!$E$15+1,1))</f>
        <v>439.06700232017681</v>
      </c>
      <c r="EP81" s="62">
        <f t="shared" si="100"/>
        <v>278.21741231699929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2.412760121243787</v>
      </c>
      <c r="EX81" s="23">
        <f>EXP(-LN(2)/2)*EX80+(1-EXP(-LN(2)/2))/(LN(2)/2)*ER81*EU81*VLOOKUP('Données projet'!$B$15,Paramètres!$A$1:$I$89,3,0)*0.475*44/12</f>
        <v>8.886918213699852E-7</v>
      </c>
      <c r="EY81" s="24">
        <f t="shared" si="75"/>
        <v>2.4127610099356085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7.2</v>
      </c>
      <c r="FE81" s="13">
        <f>IF('Données projet'!$A$218&gt;35,FE80+FD81-FM80,IF(A81&lt;'Données projet'!$A$218,$FB$205^A81,IF(A81='Données projet'!$A$218,'Données projet'!$B$218,FE80+FD81-FM80)))</f>
        <v>305.60000000000002</v>
      </c>
      <c r="FF81" s="18">
        <f>FE81*VLOOKUP('Données projet'!$B$16,Paramètres!$A$1:$I$89,3,0)*VLOOKUP('Données projet'!$B$16,Paramètres!$A$1:$I$89,5,0)</f>
        <v>295.57632000000001</v>
      </c>
      <c r="FG81" s="14">
        <f t="shared" si="101"/>
        <v>70.24828996461811</v>
      </c>
      <c r="FH81" s="22">
        <f t="shared" si="76"/>
        <v>637.1445290217099</v>
      </c>
      <c r="FI81" s="62">
        <f t="shared" si="77"/>
        <v>930.47786235504327</v>
      </c>
      <c r="FJ81" s="62">
        <f ca="1">AVERAGE(OFFSET($FI$3,0,0,'Données projet'!$E$16+1,1))-AVERAGE(OFFSET($H$3,0,0,'Données projet'!$E$16+1,1))</f>
        <v>466.4945858005575</v>
      </c>
      <c r="FK81" s="62">
        <f t="shared" si="102"/>
        <v>294.45557293177131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1.8024661444904186E-6</v>
      </c>
      <c r="FT81" s="24">
        <f t="shared" si="78"/>
        <v>1.8024661444904186E-6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7.2</v>
      </c>
      <c r="FZ81" s="13">
        <f>IF('Données projet'!$A$244&gt;35,FZ80+FY81-GH80,IF(A81&lt;'Données projet'!$A$244,$FW$205^A81,IF(A81='Données projet'!$A$244,'Données projet'!$B$244,FZ80+FY81-GH80)))</f>
        <v>305.60000000000002</v>
      </c>
      <c r="GA81" s="18">
        <f>FZ81*VLOOKUP('Données projet'!$B$17,Paramètres!$A$1:$I$89,3,0)*VLOOKUP('Données projet'!$B$17,Paramètres!$A$1:$I$89,5,0)</f>
        <v>290.80896000000001</v>
      </c>
      <c r="GB81" s="14">
        <f t="shared" si="103"/>
        <v>69.246193048996375</v>
      </c>
      <c r="GC81" s="22">
        <f t="shared" si="79"/>
        <v>627.096058227002</v>
      </c>
      <c r="GD81" s="62">
        <f t="shared" si="80"/>
        <v>920.42939156033526</v>
      </c>
      <c r="GE81" s="62">
        <f ca="1">AVERAGE(OFFSET($GD$3,0,0,'Données projet'!$E$17+1,1))-AVERAGE(OFFSET($H$3,0,0,'Données projet'!$E$17+1,1))</f>
        <v>459.64120566196812</v>
      </c>
      <c r="GF81" s="62">
        <f t="shared" si="104"/>
        <v>290.39826583283588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2.8421709430404007E-14</v>
      </c>
      <c r="O82" s="14">
        <f>N82*VLOOKUP('Données projet'!$B$9,Paramètres!$A$1:$I$89,3,0)*VLOOKUP('Données projet'!$B$9,Paramètres!$A$1:$I$89,5,0)</f>
        <v>1.5518253349000589E-14</v>
      </c>
      <c r="P82" s="14">
        <f t="shared" si="87"/>
        <v>2.8958815659671149E-13</v>
      </c>
      <c r="Q82" s="22">
        <f t="shared" si="54"/>
        <v>5.3139366398878183E-13</v>
      </c>
      <c r="R82" s="62">
        <f t="shared" si="55"/>
        <v>293.33333333333383</v>
      </c>
      <c r="S82" s="62">
        <f ca="1">AVERAGE(OFFSET($R$3,0,0,'Données projet'!$E$9+1,1))-AVERAGE(OFFSET($H$3,0,0,'Données projet'!$E$9+1,1))</f>
        <v>170.27677128684815</v>
      </c>
      <c r="T82" s="62">
        <f t="shared" si="88"/>
        <v>243.47439640666289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2.1224071157897288</v>
      </c>
      <c r="AB82" s="23">
        <f>EXP(-LN(2)/2)*AB81+(1-EXP(-LN(2)/2))/(LN(2)/2)*V82*Y82*VLOOKUP('Données projet'!$B$9,Paramètres!$A$1:$I$89,3,0)*0.475*44/12</f>
        <v>3.2088032266912284E-7</v>
      </c>
      <c r="AC82" s="24">
        <f t="shared" si="57"/>
        <v>2.1224074366700516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229.39999999999992</v>
      </c>
      <c r="AJ82" s="14">
        <f>AI82*VLOOKUP('Données projet'!$B$10,Paramètres!$A$1:$I$89,3,0)*VLOOKUP('Données projet'!$B$10,Paramètres!$A$1:$I$89,5,0)</f>
        <v>200.40383999999997</v>
      </c>
      <c r="AK82" s="14">
        <f t="shared" si="89"/>
        <v>49.832909112305636</v>
      </c>
      <c r="AL82" s="22">
        <f t="shared" si="58"/>
        <v>435.82900470393224</v>
      </c>
      <c r="AM82" s="62">
        <f t="shared" si="59"/>
        <v>729.1623380372655</v>
      </c>
      <c r="AN82" s="62">
        <f ca="1">AVERAGE(OFFSET($AM$3,0,0,'Données projet'!$E$10+1,1))-AVERAGE(OFFSET($H$3,0,0,'Données projet'!$E$10+1,1))</f>
        <v>327.826081588335</v>
      </c>
      <c r="AO82" s="62">
        <f t="shared" si="90"/>
        <v>348.84706693879735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4.0724298364476317</v>
      </c>
      <c r="AW82" s="23">
        <f>EXP(-LN(2)/2)*AW81+(1-EXP(-LN(2)/2))/(LN(2)/2)*AQ82*AT82*VLOOKUP('Données projet'!$B$10,Paramètres!$A$1:$I$89,3,0)*0.475*44/12</f>
        <v>6.2776780974742628E-7</v>
      </c>
      <c r="AX82" s="23">
        <f t="shared" si="60"/>
        <v>4.0724304642154419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4.2</v>
      </c>
      <c r="BD82" s="13">
        <f>IF('Données projet'!$A$88&gt;35,BD81+BC82-BL81,IF(A82&lt;'Données projet'!$A$88,$BA$205^A82,IF(A82='Données projet'!$A$88,'Données projet'!$B$88,BD81+BC82-BL81)))</f>
        <v>377.79999999999967</v>
      </c>
      <c r="BE82" s="14">
        <f>BD82*VLOOKUP('Données projet'!$B$11,Paramètres!$A$1:$I$89,3,0)*VLOOKUP('Données projet'!$B$11,Paramètres!$A$1:$I$89,5,0)</f>
        <v>277.00295999999975</v>
      </c>
      <c r="BF82" s="14">
        <f t="shared" si="91"/>
        <v>66.33325203788479</v>
      </c>
      <c r="BG82" s="22">
        <f t="shared" si="61"/>
        <v>597.97723596598223</v>
      </c>
      <c r="BH82" s="62">
        <f t="shared" si="62"/>
        <v>891.3105692993156</v>
      </c>
      <c r="BI82" s="62">
        <f ca="1">AVERAGE(OFFSET($BH$3,0,0,'Données projet'!$E$11+1,1))-AVERAGE(OFFSET($H$3,0,0,'Données projet'!$E$11+1,1))</f>
        <v>376.5422416541544</v>
      </c>
      <c r="BJ82" s="62">
        <f t="shared" si="92"/>
        <v>365.76175372075869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9.3666422915942071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9.3666422915942071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405.09126081846171</v>
      </c>
      <c r="CE82" s="62">
        <f t="shared" si="94"/>
        <v>534.22295841722166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3.7326773738903247</v>
      </c>
      <c r="CL82" s="23">
        <f>EXP(-LN(2)/25)*CL81+(1-EXP(-LN(2)/25))/(LN(2)/25)*Calculateur!CG82*Calculateur!CI82*VLOOKUP('Données projet'!$B$12,Paramètres!$A$1:$I$89,3,0)*0.475*44/12</f>
        <v>3.603633083145088</v>
      </c>
      <c r="CM82" s="23">
        <f>EXP(-LN(2)/2)*CM81+(1-EXP(-LN(2)/2))/(LN(2)/2)*CG82*CJ82*VLOOKUP('Données projet'!$B$12,Paramètres!$A$1:$I$89,3,0)*0.475*44/12</f>
        <v>6.6999668528793568E-8</v>
      </c>
      <c r="CN82" s="24">
        <f t="shared" si="66"/>
        <v>7.3363105240350821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projet'!$B$13,Paramètres!$A$1:$I$89,3,0)*VLOOKUP('Données projet'!$B$13,Paramètres!$A$1:$I$89,5,0)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244.82163392718377</v>
      </c>
      <c r="CZ82" s="62">
        <f t="shared" si="96"/>
        <v>342.30266518164211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2.2389742169158215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2.2389742169158215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</v>
      </c>
      <c r="DO82" s="13">
        <f>IF('Données projet'!$A$166&gt;35,DO81+DN82-DW81,IF(A82&lt;'Données projet'!$A$166,$DL$205^A82,IF(A82='Données projet'!$A$166,'Données projet'!$B$166,DO81+DN82-DW81)))</f>
        <v>271.99999999999977</v>
      </c>
      <c r="DP82" s="18">
        <f>DO82*VLOOKUP('Données projet'!$B$14,Paramètres!$A$1:$I$89,3,0)*VLOOKUP('Données projet'!$B$14,Paramètres!$A$1:$I$89,5,0)</f>
        <v>216.40319999999983</v>
      </c>
      <c r="DQ82" s="14">
        <f t="shared" si="97"/>
        <v>53.332390601194746</v>
      </c>
      <c r="DR82" s="22">
        <f t="shared" si="70"/>
        <v>469.78948696374727</v>
      </c>
      <c r="DS82" s="62">
        <f t="shared" si="71"/>
        <v>763.12282029708058</v>
      </c>
      <c r="DT82" s="62">
        <f ca="1">AVERAGE(OFFSET($DS$3,0,0,'Données projet'!$E$14+1,1))-AVERAGE(OFFSET($H$3,0,0,'Données projet'!$E$14+1,1))</f>
        <v>298.89893065707554</v>
      </c>
      <c r="DU82" s="62">
        <f t="shared" si="98"/>
        <v>294.28794439094878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7.2</v>
      </c>
      <c r="EJ82" s="13">
        <f>IF('Données projet'!$A$192&gt;35,EJ81+EI82-ER81,IF(A82&lt;'Données projet'!$A$192,$EG$205^A82,IF(A82='Données projet'!$A$192,'Données projet'!$B$192,EJ81+EI82-ER81)))</f>
        <v>312.8</v>
      </c>
      <c r="EK82" s="18">
        <f>EJ82*VLOOKUP('Données projet'!$B$15,Paramètres!$A$1:$I$89,3,0)*VLOOKUP('Données projet'!$B$15,Paramètres!$A$1:$I$89,5,0)</f>
        <v>283.02144000000004</v>
      </c>
      <c r="EL82" s="14">
        <f t="shared" si="99"/>
        <v>67.605126603830598</v>
      </c>
      <c r="EM82" s="22">
        <f t="shared" si="73"/>
        <v>610.67460350167164</v>
      </c>
      <c r="EN82" s="62">
        <f t="shared" si="74"/>
        <v>904.00793683500501</v>
      </c>
      <c r="EO82" s="62">
        <f ca="1">AVERAGE(OFFSET($EN$3,0,0,'Données projet'!$E$15+1,1))-AVERAGE(OFFSET($H$3,0,0,'Données projet'!$E$15+1,1))</f>
        <v>439.06700232017681</v>
      </c>
      <c r="EP82" s="62">
        <f t="shared" si="100"/>
        <v>278.21741231699929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2.3467830688468352</v>
      </c>
      <c r="EX82" s="23">
        <f>EXP(-LN(2)/2)*EX81+(1-EXP(-LN(2)/2))/(LN(2)/2)*ER82*EU82*VLOOKUP('Données projet'!$B$15,Paramètres!$A$1:$I$89,3,0)*0.475*44/12</f>
        <v>6.2840001327574049E-7</v>
      </c>
      <c r="EY82" s="24">
        <f t="shared" si="75"/>
        <v>2.3467836972468485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7.2</v>
      </c>
      <c r="FE82" s="13">
        <f>IF('Données projet'!$A$218&gt;35,FE81+FD82-FM81,IF(A82&lt;'Données projet'!$A$218,$FB$205^A82,IF(A82='Données projet'!$A$218,'Données projet'!$B$218,FE81+FD82-FM81)))</f>
        <v>312.8</v>
      </c>
      <c r="FF82" s="18">
        <f>FE82*VLOOKUP('Données projet'!$B$16,Paramètres!$A$1:$I$89,3,0)*VLOOKUP('Données projet'!$B$16,Paramètres!$A$1:$I$89,5,0)</f>
        <v>302.54016000000001</v>
      </c>
      <c r="FG82" s="14">
        <f t="shared" si="101"/>
        <v>71.708716984815311</v>
      </c>
      <c r="FH82" s="22">
        <f t="shared" si="76"/>
        <v>651.81679408188654</v>
      </c>
      <c r="FI82" s="62">
        <f t="shared" si="77"/>
        <v>945.15012741521991</v>
      </c>
      <c r="FJ82" s="62">
        <f ca="1">AVERAGE(OFFSET($FI$3,0,0,'Données projet'!$E$16+1,1))-AVERAGE(OFFSET($H$3,0,0,'Données projet'!$E$16+1,1))</f>
        <v>466.4945858005575</v>
      </c>
      <c r="FK82" s="62">
        <f t="shared" si="102"/>
        <v>294.45557293177131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1.2745360336283464E-6</v>
      </c>
      <c r="FT82" s="24">
        <f t="shared" si="78"/>
        <v>1.2745360336283464E-6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7.2</v>
      </c>
      <c r="FZ82" s="13">
        <f>IF('Données projet'!$A$244&gt;35,FZ81+FY82-GH81,IF(A82&lt;'Données projet'!$A$244,$FW$205^A82,IF(A82='Données projet'!$A$244,'Données projet'!$B$244,FZ81+FY82-GH81)))</f>
        <v>312.8</v>
      </c>
      <c r="GA82" s="18">
        <f>FZ82*VLOOKUP('Données projet'!$B$17,Paramètres!$A$1:$I$89,3,0)*VLOOKUP('Données projet'!$B$17,Paramètres!$A$1:$I$89,5,0)</f>
        <v>297.66048000000001</v>
      </c>
      <c r="GB82" s="14">
        <f t="shared" si="103"/>
        <v>70.685786972570611</v>
      </c>
      <c r="GC82" s="22">
        <f t="shared" si="79"/>
        <v>641.53641497722708</v>
      </c>
      <c r="GD82" s="62">
        <f t="shared" si="80"/>
        <v>934.86974831056045</v>
      </c>
      <c r="GE82" s="62">
        <f ca="1">AVERAGE(OFFSET($GD$3,0,0,'Données projet'!$E$17+1,1))-AVERAGE(OFFSET($H$3,0,0,'Données projet'!$E$17+1,1))</f>
        <v>459.64120566196812</v>
      </c>
      <c r="GF82" s="62">
        <f t="shared" si="104"/>
        <v>290.39826583283588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2.8421709430404007E-14</v>
      </c>
      <c r="O83" s="14">
        <f>N83*VLOOKUP('Données projet'!$B$9,Paramètres!$A$1:$I$89,3,0)*VLOOKUP('Données projet'!$B$9,Paramètres!$A$1:$I$89,5,0)</f>
        <v>1.5518253349000589E-14</v>
      </c>
      <c r="P83" s="14">
        <f t="shared" si="87"/>
        <v>2.8958815659671149E-13</v>
      </c>
      <c r="Q83" s="22">
        <f t="shared" si="54"/>
        <v>5.3139366398878183E-13</v>
      </c>
      <c r="R83" s="62">
        <f t="shared" si="55"/>
        <v>293.33333333333383</v>
      </c>
      <c r="S83" s="62">
        <f ca="1">AVERAGE(OFFSET($R$3,0,0,'Données projet'!$E$9+1,1))-AVERAGE(OFFSET($H$3,0,0,'Données projet'!$E$9+1,1))</f>
        <v>170.27677128684815</v>
      </c>
      <c r="T83" s="62">
        <f t="shared" si="88"/>
        <v>243.47439640666289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2.0643697815959192</v>
      </c>
      <c r="AB83" s="23">
        <f>EXP(-LN(2)/2)*AB82+(1-EXP(-LN(2)/2))/(LN(2)/2)*V83*Y83*VLOOKUP('Données projet'!$B$9,Paramètres!$A$1:$I$89,3,0)*0.475*44/12</f>
        <v>2.2689665210866422E-7</v>
      </c>
      <c r="AC83" s="24">
        <f t="shared" si="57"/>
        <v>2.0643700084925714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233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232.99999999999991</v>
      </c>
      <c r="AJ83" s="14">
        <f>AI83*VLOOKUP('Données projet'!$B$10,Paramètres!$A$1:$I$89,3,0)*VLOOKUP('Données projet'!$B$10,Paramètres!$A$1:$I$89,5,0)</f>
        <v>203.54879999999994</v>
      </c>
      <c r="AK83" s="14">
        <f t="shared" si="89"/>
        <v>50.523286400023487</v>
      </c>
      <c r="AL83" s="22">
        <f t="shared" si="58"/>
        <v>442.5088838133741</v>
      </c>
      <c r="AM83" s="62">
        <f t="shared" si="59"/>
        <v>735.84221714670741</v>
      </c>
      <c r="AN83" s="62">
        <f ca="1">AVERAGE(OFFSET($AM$3,0,0,'Données projet'!$E$10+1,1))-AVERAGE(OFFSET($H$3,0,0,'Données projet'!$E$10+1,1))</f>
        <v>327.826081588335</v>
      </c>
      <c r="AO83" s="62">
        <f t="shared" si="90"/>
        <v>348.84706693879735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3.9610690284101939</v>
      </c>
      <c r="AW83" s="23">
        <f>EXP(-LN(2)/2)*AW82+(1-EXP(-LN(2)/2))/(LN(2)/2)*AQ83*AT83*VLOOKUP('Données projet'!$B$10,Paramètres!$A$1:$I$89,3,0)*0.475*44/12</f>
        <v>4.4389887528303155E-7</v>
      </c>
      <c r="AX83" s="23">
        <f t="shared" si="60"/>
        <v>3.9610694723090694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382</v>
      </c>
      <c r="BB83" s="13">
        <f>VLOOKUP(A83,'Données projet'!$A$87:$I$107,9,0)</f>
        <v>4.2</v>
      </c>
      <c r="BC83" s="13">
        <f t="array" ref="BC83">INDEX(BB:BB,MIN(IF(ISNUMBER(BB83:BB279),ROW(BB83:BB279),"")))</f>
        <v>4.2</v>
      </c>
      <c r="BD83" s="13">
        <f>IF('Données projet'!$A$88&gt;35,BD82+BC83-BL82,IF(A83&lt;'Données projet'!$A$88,$BA$205^A83,IF(A83='Données projet'!$A$88,'Données projet'!$B$88,BD82+BC83-BL82)))</f>
        <v>381.99999999999966</v>
      </c>
      <c r="BE83" s="14">
        <f>BD83*VLOOKUP('Données projet'!$B$11,Paramètres!$A$1:$I$89,3,0)*VLOOKUP('Données projet'!$B$11,Paramètres!$A$1:$I$89,5,0)</f>
        <v>280.08239999999972</v>
      </c>
      <c r="BF83" s="14">
        <f t="shared" si="91"/>
        <v>66.984422071611988</v>
      </c>
      <c r="BG83" s="22">
        <f t="shared" si="61"/>
        <v>604.47471510805701</v>
      </c>
      <c r="BH83" s="62">
        <f t="shared" si="62"/>
        <v>897.80804844139038</v>
      </c>
      <c r="BI83" s="62">
        <f ca="1">AVERAGE(OFFSET($BH$3,0,0,'Données projet'!$E$11+1,1))-AVERAGE(OFFSET($H$3,0,0,'Données projet'!$E$11+1,1))</f>
        <v>376.5422416541544</v>
      </c>
      <c r="BJ83" s="62">
        <f t="shared" si="92"/>
        <v>365.76175372075869</v>
      </c>
      <c r="BK83" s="16">
        <f>IF(ISNA(VLOOKUP(A83,'Données projet'!$A$87:$I$107,3,0)),0,VLOOKUP(A83,'Données projet'!$A$87:$I$107,3,0))</f>
        <v>15</v>
      </c>
      <c r="BL83" s="23">
        <f>IF(ISNA(VLOOKUP(A83,'Données projet'!$A$87:$I$107,4,0)),0,VLOOKUP(A83,'Données projet'!$A$87:$I$107,4,0))</f>
        <v>382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9.1829681493437221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9.1829681493437221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405.09126081846171</v>
      </c>
      <c r="CE83" s="62">
        <f t="shared" si="94"/>
        <v>534.22295841722166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3.6594818472967274</v>
      </c>
      <c r="CL83" s="23">
        <f>EXP(-LN(2)/25)*CL82+(1-EXP(-LN(2)/25))/(LN(2)/25)*Calculateur!CG83*Calculateur!CI83*VLOOKUP('Données projet'!$B$12,Paramètres!$A$1:$I$89,3,0)*0.475*44/12</f>
        <v>3.5050915469796577</v>
      </c>
      <c r="CM83" s="23">
        <f>EXP(-LN(2)/2)*CM82+(1-EXP(-LN(2)/2))/(LN(2)/2)*CG83*CJ83*VLOOKUP('Données projet'!$B$12,Paramètres!$A$1:$I$89,3,0)*0.475*44/12</f>
        <v>4.7375919953960849E-8</v>
      </c>
      <c r="CN83" s="24">
        <f t="shared" si="66"/>
        <v>7.1645734416523048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projet'!$B$13,Paramètres!$A$1:$I$89,3,0)*VLOOKUP('Données projet'!$B$13,Paramètres!$A$1:$I$89,5,0)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244.82163392718377</v>
      </c>
      <c r="CZ83" s="62">
        <f t="shared" si="96"/>
        <v>342.30266518164211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2.195069298161529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2.195069298161529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275</v>
      </c>
      <c r="DM83" s="13">
        <f>VLOOKUP(A83,'Données projet'!$A$165:$I$185,9,0)</f>
        <v>3</v>
      </c>
      <c r="DN83" s="13">
        <f t="array" ref="DN83">INDEX(DM:DM,MIN(IF(ISNUMBER(DM83:DM279),ROW(DM83:DM279),"")))</f>
        <v>3</v>
      </c>
      <c r="DO83" s="13">
        <f>IF('Données projet'!$A$166&gt;35,DO82+DN83-DW82,IF(A83&lt;'Données projet'!$A$166,$DL$205^A83,IF(A83='Données projet'!$A$166,'Données projet'!$B$166,DO82+DN83-DW82)))</f>
        <v>274.99999999999977</v>
      </c>
      <c r="DP83" s="18">
        <f>DO83*VLOOKUP('Données projet'!$B$14,Paramètres!$A$1:$I$89,3,0)*VLOOKUP('Données projet'!$B$14,Paramètres!$A$1:$I$89,5,0)</f>
        <v>218.78999999999982</v>
      </c>
      <c r="DQ83" s="14">
        <f t="shared" si="97"/>
        <v>53.851813843863468</v>
      </c>
      <c r="DR83" s="22">
        <f t="shared" si="70"/>
        <v>474.85115911139525</v>
      </c>
      <c r="DS83" s="62">
        <f t="shared" si="71"/>
        <v>768.18449244472856</v>
      </c>
      <c r="DT83" s="62">
        <f ca="1">AVERAGE(OFFSET($DS$3,0,0,'Données projet'!$E$14+1,1))-AVERAGE(OFFSET($H$3,0,0,'Données projet'!$E$14+1,1))</f>
        <v>298.89893065707554</v>
      </c>
      <c r="DU83" s="62">
        <f t="shared" si="98"/>
        <v>294.28794439094878</v>
      </c>
      <c r="DV83" s="16">
        <f>IF(ISNA(VLOOKUP(A83,'Données projet'!$A$165:$I$185,3,0)),0,VLOOKUP(A83,'Données projet'!$A$165:$I$185,3,0))</f>
        <v>14</v>
      </c>
      <c r="DW83" s="16">
        <f>IF(ISNA(VLOOKUP(A83,'Données projet'!$A$165:$I$185,4,0)),0,VLOOKUP(A83,'Données projet'!$A$165:$I$185,4,0))</f>
        <v>275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320</v>
      </c>
      <c r="EH83" s="13">
        <f>VLOOKUP(A83,'Données projet'!$A$191:$I$211,9,0)</f>
        <v>7.2</v>
      </c>
      <c r="EI83" s="13">
        <f t="array" ref="EI83">INDEX(EH:EH,MIN(IF(ISNUMBER(EH83:EH279),ROW(EH83:EH279),"")))</f>
        <v>7.2</v>
      </c>
      <c r="EJ83" s="13">
        <f>IF('Données projet'!$A$192&gt;35,EJ82+EI83-ER82,IF(A83&lt;'Données projet'!$A$192,$EG$205^A83,IF(A83='Données projet'!$A$192,'Données projet'!$B$192,EJ82+EI83-ER82)))</f>
        <v>320</v>
      </c>
      <c r="EK83" s="18">
        <f>EJ83*VLOOKUP('Données projet'!$B$15,Paramètres!$A$1:$I$89,3,0)*VLOOKUP('Données projet'!$B$15,Paramètres!$A$1:$I$89,5,0)</f>
        <v>289.536</v>
      </c>
      <c r="EL83" s="14">
        <f t="shared" si="99"/>
        <v>68.97829509904436</v>
      </c>
      <c r="EM83" s="22">
        <f t="shared" si="73"/>
        <v>624.41239729750225</v>
      </c>
      <c r="EN83" s="62">
        <f t="shared" si="74"/>
        <v>917.74573063083562</v>
      </c>
      <c r="EO83" s="62">
        <f ca="1">AVERAGE(OFFSET($EN$3,0,0,'Données projet'!$E$15+1,1))-AVERAGE(OFFSET($H$3,0,0,'Données projet'!$E$15+1,1))</f>
        <v>439.06700232017681</v>
      </c>
      <c r="EP83" s="62">
        <f t="shared" si="100"/>
        <v>278.21741231699929</v>
      </c>
      <c r="EQ83" s="16">
        <f>IF(ISNA(VLOOKUP(A83,'Données projet'!$A$191:$I$211,3,0)),0,VLOOKUP(A83,'Données projet'!$A$191:$I$211,3,0))</f>
        <v>13</v>
      </c>
      <c r="ER83" s="16">
        <f>IF(ISNA(VLOOKUP(A83,'Données projet'!$A$191:$I$211,4,0)),0,VLOOKUP(A83,'Données projet'!$A$191:$I$211,4,0))</f>
        <v>28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2.2826101624172606</v>
      </c>
      <c r="EX83" s="23">
        <f>EXP(-LN(2)/2)*EX82+(1-EXP(-LN(2)/2))/(LN(2)/2)*ER83*EU83*VLOOKUP('Données projet'!$B$15,Paramètres!$A$1:$I$89,3,0)*0.475*44/12</f>
        <v>4.443459106849926E-7</v>
      </c>
      <c r="EY83" s="24">
        <f t="shared" si="75"/>
        <v>2.2826106067631713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320</v>
      </c>
      <c r="FC83" s="13">
        <f>VLOOKUP(A83,'Données projet'!$A$217:$I$237,9,0)</f>
        <v>7.2</v>
      </c>
      <c r="FD83" s="13">
        <f t="array" ref="FD83">INDEX(FC:FC,MIN(IF(ISNUMBER(FC83:FC279),ROW(FC83:FC279),"")))</f>
        <v>7.2</v>
      </c>
      <c r="FE83" s="13">
        <f>IF('Données projet'!$A$218&gt;35,FE82+FD83-FM82,IF(A83&lt;'Données projet'!$A$218,$FB$205^A83,IF(A83='Données projet'!$A$218,'Données projet'!$B$218,FE82+FD83-FM82)))</f>
        <v>320</v>
      </c>
      <c r="FF83" s="18">
        <f>FE83*VLOOKUP('Données projet'!$B$16,Paramètres!$A$1:$I$89,3,0)*VLOOKUP('Données projet'!$B$16,Paramètres!$A$1:$I$89,5,0)</f>
        <v>309.50400000000002</v>
      </c>
      <c r="FG83" s="14">
        <f t="shared" si="101"/>
        <v>73.165235978896504</v>
      </c>
      <c r="FH83" s="22">
        <f t="shared" si="76"/>
        <v>666.48225266324471</v>
      </c>
      <c r="FI83" s="62">
        <f t="shared" si="77"/>
        <v>959.81558599657797</v>
      </c>
      <c r="FJ83" s="62">
        <f ca="1">AVERAGE(OFFSET($FI$3,0,0,'Données projet'!$E$16+1,1))-AVERAGE(OFFSET($H$3,0,0,'Données projet'!$E$16+1,1))</f>
        <v>466.4945858005575</v>
      </c>
      <c r="FK83" s="62">
        <f t="shared" si="102"/>
        <v>294.45557293177131</v>
      </c>
      <c r="FL83" s="16">
        <f>IF(ISNA(VLOOKUP(A83,'Données projet'!$A$217:$I$237,3,0)),0,VLOOKUP(A83,'Données projet'!$A$217:$I$237,3,0))</f>
        <v>13</v>
      </c>
      <c r="FM83" s="16">
        <f>IF(ISNA(VLOOKUP(A83,'Données projet'!$A$217:$I$237,4,0)),0,VLOOKUP(A83,'Données projet'!$A$217:$I$237,4,0))</f>
        <v>28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9.0123307224520932E-7</v>
      </c>
      <c r="FT83" s="24">
        <f t="shared" si="78"/>
        <v>9.0123307224520932E-7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320</v>
      </c>
      <c r="FX83" s="13">
        <f>VLOOKUP(A83,'Données projet'!$A$243:$I$263,9,0)</f>
        <v>7.2</v>
      </c>
      <c r="FY83" s="13">
        <f t="array" ref="FY83">INDEX(FX:FX,MIN(IF(ISNUMBER(FX83:FX279),ROW(FX83:FX279),"")))</f>
        <v>7.2</v>
      </c>
      <c r="FZ83" s="13">
        <f>IF('Données projet'!$A$244&gt;35,FZ82+FY83-GH82,IF(A83&lt;'Données projet'!$A$244,$FW$205^A83,IF(A83='Données projet'!$A$244,'Données projet'!$B$244,FZ82+FY83-GH82)))</f>
        <v>320</v>
      </c>
      <c r="GA83" s="18">
        <f>FZ83*VLOOKUP('Données projet'!$B$17,Paramètres!$A$1:$I$89,3,0)*VLOOKUP('Données projet'!$B$17,Paramètres!$A$1:$I$89,5,0)</f>
        <v>304.512</v>
      </c>
      <c r="GB83" s="14">
        <f t="shared" si="103"/>
        <v>72.121528618302861</v>
      </c>
      <c r="GC83" s="22">
        <f t="shared" si="79"/>
        <v>655.97006234354421</v>
      </c>
      <c r="GD83" s="62">
        <f t="shared" si="80"/>
        <v>949.30339567687747</v>
      </c>
      <c r="GE83" s="62">
        <f ca="1">AVERAGE(OFFSET($GD$3,0,0,'Données projet'!$E$17+1,1))-AVERAGE(OFFSET($H$3,0,0,'Données projet'!$E$17+1,1))</f>
        <v>459.64120566196812</v>
      </c>
      <c r="GF83" s="62">
        <f t="shared" si="104"/>
        <v>290.39826583283588</v>
      </c>
      <c r="GG83" s="16">
        <f>IF(ISNA(VLOOKUP(A83,'Données projet'!$A$243:$I$263,3,0)),0,VLOOKUP(A83,'Données projet'!$A$243:$I$263,3,0))</f>
        <v>13</v>
      </c>
      <c r="GH83" s="16">
        <f>IF(ISNA(VLOOKUP(A83,'Données projet'!$A$243:$I$263,4,0)),0,VLOOKUP(A83,'Données projet'!$A$243:$I$263,4,0))</f>
        <v>28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2.8421709430404007E-14</v>
      </c>
      <c r="O84" s="14">
        <f>N84*VLOOKUP('Données projet'!$B$9,Paramètres!$A$1:$I$89,3,0)*VLOOKUP('Données projet'!$B$9,Paramètres!$A$1:$I$89,5,0)</f>
        <v>1.5518253349000589E-14</v>
      </c>
      <c r="P84" s="14">
        <f t="shared" si="87"/>
        <v>2.8958815659671149E-13</v>
      </c>
      <c r="Q84" s="22">
        <f t="shared" si="54"/>
        <v>5.3139366398878183E-13</v>
      </c>
      <c r="R84" s="62">
        <f t="shared" si="55"/>
        <v>293.33333333333383</v>
      </c>
      <c r="S84" s="62">
        <f ca="1">AVERAGE(OFFSET($R$3,0,0,'Données projet'!$E$9+1,1))-AVERAGE(OFFSET($H$3,0,0,'Données projet'!$E$9+1,1))</f>
        <v>170.27677128684815</v>
      </c>
      <c r="T84" s="62">
        <f t="shared" si="88"/>
        <v>243.47439640666289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2.0079194813576904</v>
      </c>
      <c r="AB84" s="23">
        <f>EXP(-LN(2)/2)*AB83+(1-EXP(-LN(2)/2))/(LN(2)/2)*V84*Y84*VLOOKUP('Données projet'!$B$9,Paramètres!$A$1:$I$89,3,0)*0.475*44/12</f>
        <v>1.6044016133456145E-7</v>
      </c>
      <c r="AC84" s="24">
        <f t="shared" si="57"/>
        <v>2.0079196417978515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</v>
      </c>
      <c r="AI84" s="14">
        <f>IF('Données projet'!$A$62&gt;35,AI83+AH84-AQ83,IF(A84&lt;'Données projet'!$A$62,$AF$205^A84,IF(A84='Données projet'!$A$62,'Données projet'!$B$62,AI83+AH84-AQ83)))</f>
        <v>222.99999999999991</v>
      </c>
      <c r="AJ84" s="14">
        <f>AI84*VLOOKUP('Données projet'!$B$10,Paramètres!$A$1:$I$89,3,0)*VLOOKUP('Données projet'!$B$10,Paramètres!$A$1:$I$89,5,0)</f>
        <v>194.81279999999995</v>
      </c>
      <c r="AK84" s="14">
        <f t="shared" si="89"/>
        <v>48.602440540253859</v>
      </c>
      <c r="AL84" s="22">
        <f t="shared" si="58"/>
        <v>423.9482106076087</v>
      </c>
      <c r="AM84" s="62">
        <f t="shared" si="59"/>
        <v>717.28154394094202</v>
      </c>
      <c r="AN84" s="62">
        <f ca="1">AVERAGE(OFFSET($AM$3,0,0,'Données projet'!$E$10+1,1))-AVERAGE(OFFSET($H$3,0,0,'Données projet'!$E$10+1,1))</f>
        <v>327.826081588335</v>
      </c>
      <c r="AO84" s="62">
        <f t="shared" si="90"/>
        <v>348.84706693879735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3.8527533875247499</v>
      </c>
      <c r="AW84" s="23">
        <f>EXP(-LN(2)/2)*AW83+(1-EXP(-LN(2)/2))/(LN(2)/2)*AQ84*AT84*VLOOKUP('Données projet'!$B$10,Paramètres!$A$1:$I$89,3,0)*0.475*44/12</f>
        <v>3.1388390487371314E-7</v>
      </c>
      <c r="AX84" s="23">
        <f t="shared" si="60"/>
        <v>3.852753701408655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-3.4106051316484809E-13</v>
      </c>
      <c r="BE84" s="14">
        <f>BD84*VLOOKUP('Données projet'!$B$11,Paramètres!$A$1:$I$89,3,0)*VLOOKUP('Données projet'!$B$11,Paramètres!$A$1:$I$89,5,0)</f>
        <v>-2.5006556825246659E-13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376.5422416541544</v>
      </c>
      <c r="BJ84" s="62">
        <f t="shared" si="92"/>
        <v>365.76175372075869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9.002895744992605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9.002895744992605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405.09126081846171</v>
      </c>
      <c r="CE84" s="62">
        <f t="shared" si="94"/>
        <v>534.22295841722166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3.5877216403347676</v>
      </c>
      <c r="CL84" s="23">
        <f>EXP(-LN(2)/25)*CL83+(1-EXP(-LN(2)/25))/(LN(2)/25)*Calculateur!CG84*Calculateur!CI84*VLOOKUP('Données projet'!$B$12,Paramètres!$A$1:$I$89,3,0)*0.475*44/12</f>
        <v>3.4092446343027456</v>
      </c>
      <c r="CM84" s="23">
        <f>EXP(-LN(2)/2)*CM83+(1-EXP(-LN(2)/2))/(LN(2)/2)*CG84*CJ84*VLOOKUP('Données projet'!$B$12,Paramètres!$A$1:$I$89,3,0)*0.475*44/12</f>
        <v>3.3499834264396784E-8</v>
      </c>
      <c r="CN84" s="24">
        <f t="shared" si="66"/>
        <v>6.9969663081373472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244.82163392718377</v>
      </c>
      <c r="CZ84" s="62">
        <f t="shared" si="96"/>
        <v>342.30266518164211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2.152025328084652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2.152025328084652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-2.2737367544323206E-13</v>
      </c>
      <c r="DP84" s="18">
        <f>DO84*VLOOKUP('Données projet'!$B$14,Paramètres!$A$1:$I$89,3,0)*VLOOKUP('Données projet'!$B$14,Paramètres!$A$1:$I$89,5,0)</f>
        <v>-1.8089849618263545E-13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298.89893065707554</v>
      </c>
      <c r="DU84" s="62">
        <f t="shared" si="98"/>
        <v>294.28794439094878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6.8</v>
      </c>
      <c r="EJ84" s="13">
        <f>IF('Données projet'!$A$192&gt;35,EJ83+EI84-ER83,IF(A84&lt;'Données projet'!$A$192,$EG$205^A84,IF(A84='Données projet'!$A$192,'Données projet'!$B$192,EJ83+EI84-ER83)))</f>
        <v>298.8</v>
      </c>
      <c r="EK84" s="18">
        <f>EJ84*VLOOKUP('Données projet'!$B$15,Paramètres!$A$1:$I$89,3,0)*VLOOKUP('Données projet'!$B$15,Paramètres!$A$1:$I$89,5,0)</f>
        <v>270.35424</v>
      </c>
      <c r="EL84" s="14">
        <f t="shared" si="99"/>
        <v>64.924442218534367</v>
      </c>
      <c r="EM84" s="22">
        <f t="shared" si="73"/>
        <v>583.94370486394735</v>
      </c>
      <c r="EN84" s="62">
        <f t="shared" si="74"/>
        <v>877.27703819728072</v>
      </c>
      <c r="EO84" s="62">
        <f ca="1">AVERAGE(OFFSET($EN$3,0,0,'Données projet'!$E$15+1,1))-AVERAGE(OFFSET($H$3,0,0,'Données projet'!$E$15+1,1))</f>
        <v>439.06700232017681</v>
      </c>
      <c r="EP84" s="62">
        <f t="shared" si="100"/>
        <v>278.21741231699929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2.2201920674887092</v>
      </c>
      <c r="EX84" s="23">
        <f>EXP(-LN(2)/2)*EX83+(1-EXP(-LN(2)/2))/(LN(2)/2)*ER84*EU84*VLOOKUP('Données projet'!$B$15,Paramètres!$A$1:$I$89,3,0)*0.475*44/12</f>
        <v>3.1420000663787025E-7</v>
      </c>
      <c r="EY84" s="24">
        <f t="shared" si="75"/>
        <v>2.2201923816887157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6.8</v>
      </c>
      <c r="FE84" s="13">
        <f>IF('Données projet'!$A$218&gt;35,FE83+FD84-FM83,IF(A84&lt;'Données projet'!$A$218,$FB$205^A84,IF(A84='Données projet'!$A$218,'Données projet'!$B$218,FE83+FD84-FM83)))</f>
        <v>298.8</v>
      </c>
      <c r="FF84" s="18">
        <f>FE84*VLOOKUP('Données projet'!$B$16,Paramètres!$A$1:$I$89,3,0)*VLOOKUP('Données projet'!$B$16,Paramètres!$A$1:$I$89,5,0)</f>
        <v>288.99936000000002</v>
      </c>
      <c r="FG84" s="14">
        <f t="shared" si="101"/>
        <v>68.86531667529006</v>
      </c>
      <c r="FH84" s="22">
        <f t="shared" si="76"/>
        <v>623.2809785427969</v>
      </c>
      <c r="FI84" s="62">
        <f t="shared" si="77"/>
        <v>916.61431187613016</v>
      </c>
      <c r="FJ84" s="62">
        <f ca="1">AVERAGE(OFFSET($FI$3,0,0,'Données projet'!$E$16+1,1))-AVERAGE(OFFSET($H$3,0,0,'Données projet'!$E$16+1,1))</f>
        <v>466.4945858005575</v>
      </c>
      <c r="FK84" s="62">
        <f t="shared" si="102"/>
        <v>294.45557293177131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6.372680168141732E-7</v>
      </c>
      <c r="FT84" s="24">
        <f t="shared" si="78"/>
        <v>6.372680168141732E-7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6.8</v>
      </c>
      <c r="FZ84" s="13">
        <f>IF('Données projet'!$A$244&gt;35,FZ83+FY84-GH83,IF(A84&lt;'Données projet'!$A$244,$FW$205^A84,IF(A84='Données projet'!$A$244,'Données projet'!$B$244,FZ83+FY84-GH83)))</f>
        <v>298.8</v>
      </c>
      <c r="GA84" s="18">
        <f>FZ84*VLOOKUP('Données projet'!$B$17,Paramètres!$A$1:$I$89,3,0)*VLOOKUP('Données projet'!$B$17,Paramètres!$A$1:$I$89,5,0)</f>
        <v>284.33807999999999</v>
      </c>
      <c r="GB84" s="14">
        <f t="shared" si="103"/>
        <v>67.882947973242224</v>
      </c>
      <c r="GC84" s="22">
        <f t="shared" si="79"/>
        <v>613.45162372006337</v>
      </c>
      <c r="GD84" s="62">
        <f t="shared" si="80"/>
        <v>906.78495705339674</v>
      </c>
      <c r="GE84" s="62">
        <f ca="1">AVERAGE(OFFSET($GD$3,0,0,'Données projet'!$E$17+1,1))-AVERAGE(OFFSET($H$3,0,0,'Données projet'!$E$17+1,1))</f>
        <v>459.64120566196812</v>
      </c>
      <c r="GF84" s="62">
        <f t="shared" si="104"/>
        <v>290.39826583283588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2.8421709430404007E-14</v>
      </c>
      <c r="O85" s="14">
        <f>N85*VLOOKUP('Données projet'!$B$9,Paramètres!$A$1:$I$89,3,0)*VLOOKUP('Données projet'!$B$9,Paramètres!$A$1:$I$89,5,0)</f>
        <v>1.5518253349000589E-14</v>
      </c>
      <c r="P85" s="14">
        <f t="shared" si="87"/>
        <v>2.8958815659671149E-13</v>
      </c>
      <c r="Q85" s="22">
        <f t="shared" si="54"/>
        <v>5.3139366398878183E-13</v>
      </c>
      <c r="R85" s="62">
        <f t="shared" si="55"/>
        <v>293.33333333333383</v>
      </c>
      <c r="S85" s="62">
        <f ca="1">AVERAGE(OFFSET($R$3,0,0,'Données projet'!$E$9+1,1))-AVERAGE(OFFSET($H$3,0,0,'Données projet'!$E$9+1,1))</f>
        <v>170.27677128684815</v>
      </c>
      <c r="T85" s="62">
        <f t="shared" si="88"/>
        <v>243.47439640666289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1.9530128175480679</v>
      </c>
      <c r="AB85" s="23">
        <f>EXP(-LN(2)/2)*AB84+(1-EXP(-LN(2)/2))/(LN(2)/2)*V85*Y85*VLOOKUP('Données projet'!$B$9,Paramètres!$A$1:$I$89,3,0)*0.475*44/12</f>
        <v>1.1344832605433212E-7</v>
      </c>
      <c r="AC85" s="24">
        <f t="shared" si="57"/>
        <v>1.9530129309963939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</v>
      </c>
      <c r="AI85" s="14">
        <f>IF('Données projet'!$A$62&gt;35,AI84+AH85-AQ84,IF(A85&lt;'Données projet'!$A$62,$AF$205^A85,IF(A85='Données projet'!$A$62,'Données projet'!$B$62,AI84+AH85-AQ84)))</f>
        <v>225.99999999999991</v>
      </c>
      <c r="AJ85" s="14">
        <f>AI85*VLOOKUP('Données projet'!$B$10,Paramètres!$A$1:$I$89,3,0)*VLOOKUP('Données projet'!$B$10,Paramètres!$A$1:$I$89,5,0)</f>
        <v>197.43359999999996</v>
      </c>
      <c r="AK85" s="14">
        <f t="shared" si="89"/>
        <v>49.179727436837609</v>
      </c>
      <c r="AL85" s="22">
        <f t="shared" si="58"/>
        <v>429.51821195249204</v>
      </c>
      <c r="AM85" s="62">
        <f t="shared" si="59"/>
        <v>722.8515452858253</v>
      </c>
      <c r="AN85" s="62">
        <f ca="1">AVERAGE(OFFSET($AM$3,0,0,'Données projet'!$E$10+1,1))-AVERAGE(OFFSET($H$3,0,0,'Données projet'!$E$10+1,1))</f>
        <v>327.826081588335</v>
      </c>
      <c r="AO85" s="62">
        <f t="shared" si="90"/>
        <v>348.84706693879735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3.7473996435353905</v>
      </c>
      <c r="AW85" s="23">
        <f>EXP(-LN(2)/2)*AW84+(1-EXP(-LN(2)/2))/(LN(2)/2)*AQ85*AT85*VLOOKUP('Données projet'!$B$10,Paramètres!$A$1:$I$89,3,0)*0.475*44/12</f>
        <v>2.2194943764151578E-7</v>
      </c>
      <c r="AX85" s="23">
        <f t="shared" si="60"/>
        <v>3.747399865484828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-3.4106051316484809E-13</v>
      </c>
      <c r="BE85" s="14">
        <f>BD85*VLOOKUP('Données projet'!$B$11,Paramètres!$A$1:$I$89,3,0)*VLOOKUP('Données projet'!$B$11,Paramètres!$A$1:$I$89,5,0)</f>
        <v>-2.5006556825246659E-13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376.5422416541544</v>
      </c>
      <c r="BJ85" s="62">
        <f t="shared" si="92"/>
        <v>365.76175372075869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8.826354450657492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8.826354450657492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405.09126081846171</v>
      </c>
      <c r="CE85" s="62">
        <f t="shared" si="94"/>
        <v>534.22295841722166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3.5173686072619272</v>
      </c>
      <c r="CL85" s="23">
        <f>EXP(-LN(2)/25)*CL84+(1-EXP(-LN(2)/25))/(LN(2)/25)*Calculateur!CG85*Calculateur!CI85*VLOOKUP('Données projet'!$B$12,Paramètres!$A$1:$I$89,3,0)*0.475*44/12</f>
        <v>3.3160186604933535</v>
      </c>
      <c r="CM85" s="23">
        <f>EXP(-LN(2)/2)*CM84+(1-EXP(-LN(2)/2))/(LN(2)/2)*CG85*CJ85*VLOOKUP('Données projet'!$B$12,Paramètres!$A$1:$I$89,3,0)*0.475*44/12</f>
        <v>2.3687959976980424E-8</v>
      </c>
      <c r="CN85" s="24">
        <f t="shared" si="66"/>
        <v>6.8333872914432412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244.82163392718377</v>
      </c>
      <c r="CZ85" s="62">
        <f t="shared" si="96"/>
        <v>342.30266518164211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2.1098254240067531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2.1098254240067531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-2.2737367544323206E-13</v>
      </c>
      <c r="DP85" s="18">
        <f>DO85*VLOOKUP('Données projet'!$B$14,Paramètres!$A$1:$I$89,3,0)*VLOOKUP('Données projet'!$B$14,Paramètres!$A$1:$I$89,5,0)</f>
        <v>-1.8089849618263545E-13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298.89893065707554</v>
      </c>
      <c r="DU85" s="62">
        <f t="shared" si="98"/>
        <v>294.28794439094878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6.8</v>
      </c>
      <c r="EJ85" s="13">
        <f>IF('Données projet'!$A$192&gt;35,EJ84+EI85-ER84,IF(A85&lt;'Données projet'!$A$192,$EG$205^A85,IF(A85='Données projet'!$A$192,'Données projet'!$B$192,EJ84+EI85-ER84)))</f>
        <v>305.60000000000002</v>
      </c>
      <c r="EK85" s="18">
        <f>EJ85*VLOOKUP('Données projet'!$B$15,Paramètres!$A$1:$I$89,3,0)*VLOOKUP('Données projet'!$B$15,Paramètres!$A$1:$I$89,5,0)</f>
        <v>276.50687999999997</v>
      </c>
      <c r="EL85" s="14">
        <f t="shared" si="99"/>
        <v>66.228273722513677</v>
      </c>
      <c r="EM85" s="22">
        <f t="shared" si="73"/>
        <v>596.93039273337797</v>
      </c>
      <c r="EN85" s="62">
        <f t="shared" si="74"/>
        <v>890.26372606671134</v>
      </c>
      <c r="EO85" s="62">
        <f ca="1">AVERAGE(OFFSET($EN$3,0,0,'Données projet'!$E$15+1,1))-AVERAGE(OFFSET($H$3,0,0,'Données projet'!$E$15+1,1))</f>
        <v>439.06700232017681</v>
      </c>
      <c r="EP85" s="62">
        <f t="shared" si="100"/>
        <v>278.21741231699929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2.1594807986484041</v>
      </c>
      <c r="EX85" s="23">
        <f>EXP(-LN(2)/2)*EX84+(1-EXP(-LN(2)/2))/(LN(2)/2)*ER85*EU85*VLOOKUP('Données projet'!$B$15,Paramètres!$A$1:$I$89,3,0)*0.475*44/12</f>
        <v>2.221729553424963E-7</v>
      </c>
      <c r="EY85" s="24">
        <f t="shared" si="75"/>
        <v>2.1594810208213593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6.8</v>
      </c>
      <c r="FE85" s="13">
        <f>IF('Données projet'!$A$218&gt;35,FE84+FD85-FM84,IF(A85&lt;'Données projet'!$A$218,$FB$205^A85,IF(A85='Données projet'!$A$218,'Données projet'!$B$218,FE84+FD85-FM84)))</f>
        <v>305.60000000000002</v>
      </c>
      <c r="FF85" s="18">
        <f>FE85*VLOOKUP('Données projet'!$B$16,Paramètres!$A$1:$I$89,3,0)*VLOOKUP('Données projet'!$B$16,Paramètres!$A$1:$I$89,5,0)</f>
        <v>295.57632000000001</v>
      </c>
      <c r="FG85" s="14">
        <f t="shared" si="101"/>
        <v>70.24828996461811</v>
      </c>
      <c r="FH85" s="22">
        <f t="shared" si="76"/>
        <v>637.1445290217099</v>
      </c>
      <c r="FI85" s="62">
        <f t="shared" si="77"/>
        <v>930.47786235504327</v>
      </c>
      <c r="FJ85" s="62">
        <f ca="1">AVERAGE(OFFSET($FI$3,0,0,'Données projet'!$E$16+1,1))-AVERAGE(OFFSET($H$3,0,0,'Données projet'!$E$16+1,1))</f>
        <v>466.4945858005575</v>
      </c>
      <c r="FK85" s="62">
        <f t="shared" si="102"/>
        <v>294.45557293177131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4.5061653612260466E-7</v>
      </c>
      <c r="FT85" s="24">
        <f t="shared" si="78"/>
        <v>4.5061653612260466E-7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6.8</v>
      </c>
      <c r="FZ85" s="13">
        <f>IF('Données projet'!$A$244&gt;35,FZ84+FY85-GH84,IF(A85&lt;'Données projet'!$A$244,$FW$205^A85,IF(A85='Données projet'!$A$244,'Données projet'!$B$244,FZ84+FY85-GH84)))</f>
        <v>305.60000000000002</v>
      </c>
      <c r="GA85" s="18">
        <f>FZ85*VLOOKUP('Données projet'!$B$17,Paramètres!$A$1:$I$89,3,0)*VLOOKUP('Données projet'!$B$17,Paramètres!$A$1:$I$89,5,0)</f>
        <v>290.80896000000001</v>
      </c>
      <c r="GB85" s="14">
        <f t="shared" si="103"/>
        <v>69.246193048996375</v>
      </c>
      <c r="GC85" s="22">
        <f t="shared" si="79"/>
        <v>627.096058227002</v>
      </c>
      <c r="GD85" s="62">
        <f t="shared" si="80"/>
        <v>920.42939156033526</v>
      </c>
      <c r="GE85" s="62">
        <f ca="1">AVERAGE(OFFSET($GD$3,0,0,'Données projet'!$E$17+1,1))-AVERAGE(OFFSET($H$3,0,0,'Données projet'!$E$17+1,1))</f>
        <v>459.64120566196812</v>
      </c>
      <c r="GF85" s="62">
        <f t="shared" si="104"/>
        <v>290.39826583283588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2.8421709430404007E-14</v>
      </c>
      <c r="O86" s="14">
        <f>N86*VLOOKUP('Données projet'!$B$9,Paramètres!$A$1:$I$89,3,0)*VLOOKUP('Données projet'!$B$9,Paramètres!$A$1:$I$89,5,0)</f>
        <v>1.5518253349000589E-14</v>
      </c>
      <c r="P86" s="14">
        <f t="shared" si="87"/>
        <v>2.8958815659671149E-13</v>
      </c>
      <c r="Q86" s="22">
        <f t="shared" si="54"/>
        <v>5.3139366398878183E-13</v>
      </c>
      <c r="R86" s="62">
        <f t="shared" si="55"/>
        <v>293.33333333333383</v>
      </c>
      <c r="S86" s="62">
        <f ca="1">AVERAGE(OFFSET($R$3,0,0,'Données projet'!$E$9+1,1))-AVERAGE(OFFSET($H$3,0,0,'Données projet'!$E$9+1,1))</f>
        <v>170.27677128684815</v>
      </c>
      <c r="T86" s="62">
        <f t="shared" si="88"/>
        <v>243.47439640666289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1.8996075793477356</v>
      </c>
      <c r="AB86" s="23">
        <f>EXP(-LN(2)/2)*AB85+(1-EXP(-LN(2)/2))/(LN(2)/2)*V86*Y86*VLOOKUP('Données projet'!$B$9,Paramètres!$A$1:$I$89,3,0)*0.475*44/12</f>
        <v>8.0220080667280723E-8</v>
      </c>
      <c r="AC86" s="24">
        <f t="shared" si="57"/>
        <v>1.8996076595678162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</v>
      </c>
      <c r="AI86" s="14">
        <f>IF('Données projet'!$A$62&gt;35,AI85+AH86-AQ85,IF(A86&lt;'Données projet'!$A$62,$AF$205^A86,IF(A86='Données projet'!$A$62,'Données projet'!$B$62,AI85+AH86-AQ85)))</f>
        <v>228.99999999999991</v>
      </c>
      <c r="AJ86" s="14">
        <f>AI86*VLOOKUP('Données projet'!$B$10,Paramètres!$A$1:$I$89,3,0)*VLOOKUP('Données projet'!$B$10,Paramètres!$A$1:$I$89,5,0)</f>
        <v>200.05439999999993</v>
      </c>
      <c r="AK86" s="14">
        <f t="shared" si="89"/>
        <v>49.756123009618186</v>
      </c>
      <c r="AL86" s="22">
        <f t="shared" si="58"/>
        <v>435.0866609084182</v>
      </c>
      <c r="AM86" s="62">
        <f t="shared" si="59"/>
        <v>728.41999424175151</v>
      </c>
      <c r="AN86" s="62">
        <f ca="1">AVERAGE(OFFSET($AM$3,0,0,'Données projet'!$E$10+1,1))-AVERAGE(OFFSET($H$3,0,0,'Données projet'!$E$10+1,1))</f>
        <v>327.826081588335</v>
      </c>
      <c r="AO86" s="62">
        <f t="shared" si="90"/>
        <v>348.84706693879735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3.6449268032157329</v>
      </c>
      <c r="AW86" s="23">
        <f>EXP(-LN(2)/2)*AW85+(1-EXP(-LN(2)/2))/(LN(2)/2)*AQ86*AT86*VLOOKUP('Données projet'!$B$10,Paramètres!$A$1:$I$89,3,0)*0.475*44/12</f>
        <v>1.5694195243685657E-7</v>
      </c>
      <c r="AX86" s="23">
        <f t="shared" si="60"/>
        <v>3.6449269601576852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-3.4106051316484809E-13</v>
      </c>
      <c r="BE86" s="14">
        <f>BD86*VLOOKUP('Données projet'!$B$11,Paramètres!$A$1:$I$89,3,0)*VLOOKUP('Données projet'!$B$11,Paramètres!$A$1:$I$89,5,0)</f>
        <v>-2.5006556825246659E-13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376.5422416541544</v>
      </c>
      <c r="BJ86" s="62">
        <f t="shared" si="92"/>
        <v>365.76175372075869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8.6532750234247331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8.6532750234247331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405.09126081846171</v>
      </c>
      <c r="CE86" s="62">
        <f t="shared" si="94"/>
        <v>534.22295841722166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3.4483951542565321</v>
      </c>
      <c r="CL86" s="23">
        <f>EXP(-LN(2)/25)*CL85+(1-EXP(-LN(2)/25))/(LN(2)/25)*Calculateur!CG86*Calculateur!CI86*VLOOKUP('Données projet'!$B$12,Paramètres!$A$1:$I$89,3,0)*0.475*44/12</f>
        <v>3.22534195584032</v>
      </c>
      <c r="CM86" s="23">
        <f>EXP(-LN(2)/2)*CM85+(1-EXP(-LN(2)/2))/(LN(2)/2)*CG86*CJ86*VLOOKUP('Données projet'!$B$12,Paramètres!$A$1:$I$89,3,0)*0.475*44/12</f>
        <v>1.6749917132198392E-8</v>
      </c>
      <c r="CN86" s="24">
        <f t="shared" si="66"/>
        <v>6.6737371268467687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244.82163392718377</v>
      </c>
      <c r="CZ86" s="62">
        <f t="shared" si="96"/>
        <v>342.30266518164211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2.0684530343084218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2.0684530343084218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-2.2737367544323206E-13</v>
      </c>
      <c r="DP86" s="18">
        <f>DO86*VLOOKUP('Données projet'!$B$14,Paramètres!$A$1:$I$89,3,0)*VLOOKUP('Données projet'!$B$14,Paramètres!$A$1:$I$89,5,0)</f>
        <v>-1.8089849618263545E-13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298.89893065707554</v>
      </c>
      <c r="DU86" s="62">
        <f t="shared" si="98"/>
        <v>294.28794439094878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6.8</v>
      </c>
      <c r="EJ86" s="13">
        <f>IF('Données projet'!$A$192&gt;35,EJ85+EI86-ER85,IF(A86&lt;'Données projet'!$A$192,$EG$205^A86,IF(A86='Données projet'!$A$192,'Données projet'!$B$192,EJ85+EI86-ER85)))</f>
        <v>312.40000000000003</v>
      </c>
      <c r="EK86" s="18">
        <f>EJ86*VLOOKUP('Données projet'!$B$15,Paramètres!$A$1:$I$89,3,0)*VLOOKUP('Données projet'!$B$15,Paramètres!$A$1:$I$89,5,0)</f>
        <v>282.65952000000004</v>
      </c>
      <c r="EL86" s="14">
        <f t="shared" si="99"/>
        <v>67.528732309967324</v>
      </c>
      <c r="EM86" s="22">
        <f t="shared" si="73"/>
        <v>609.91120610652649</v>
      </c>
      <c r="EN86" s="62">
        <f t="shared" si="74"/>
        <v>903.24453943985986</v>
      </c>
      <c r="EO86" s="62">
        <f ca="1">AVERAGE(OFFSET($EN$3,0,0,'Données projet'!$E$15+1,1))-AVERAGE(OFFSET($H$3,0,0,'Données projet'!$E$15+1,1))</f>
        <v>439.06700232017681</v>
      </c>
      <c r="EP86" s="62">
        <f t="shared" si="100"/>
        <v>278.21741231699929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2.1004296826472038</v>
      </c>
      <c r="EX86" s="23">
        <f>EXP(-LN(2)/2)*EX85+(1-EXP(-LN(2)/2))/(LN(2)/2)*ER86*EU86*VLOOKUP('Données projet'!$B$15,Paramètres!$A$1:$I$89,3,0)*0.475*44/12</f>
        <v>1.5710000331893512E-7</v>
      </c>
      <c r="EY86" s="24">
        <f t="shared" si="75"/>
        <v>2.100429839747207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6.8</v>
      </c>
      <c r="FE86" s="13">
        <f>IF('Données projet'!$A$218&gt;35,FE85+FD86-FM85,IF(A86&lt;'Données projet'!$A$218,$FB$205^A86,IF(A86='Données projet'!$A$218,'Données projet'!$B$218,FE85+FD86-FM85)))</f>
        <v>312.40000000000003</v>
      </c>
      <c r="FF86" s="18">
        <f>FE86*VLOOKUP('Données projet'!$B$16,Paramètres!$A$1:$I$89,3,0)*VLOOKUP('Données projet'!$B$16,Paramètres!$A$1:$I$89,5,0)</f>
        <v>302.15328000000005</v>
      </c>
      <c r="FG86" s="14">
        <f t="shared" si="101"/>
        <v>71.627685603423203</v>
      </c>
      <c r="FH86" s="22">
        <f t="shared" si="76"/>
        <v>651.00184842596218</v>
      </c>
      <c r="FI86" s="62">
        <f t="shared" si="77"/>
        <v>944.33518175929544</v>
      </c>
      <c r="FJ86" s="62">
        <f ca="1">AVERAGE(OFFSET($FI$3,0,0,'Données projet'!$E$16+1,1))-AVERAGE(OFFSET($H$3,0,0,'Données projet'!$E$16+1,1))</f>
        <v>466.4945858005575</v>
      </c>
      <c r="FK86" s="62">
        <f t="shared" si="102"/>
        <v>294.45557293177131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3.186340084070866E-7</v>
      </c>
      <c r="FT86" s="24">
        <f t="shared" si="78"/>
        <v>3.186340084070866E-7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6.8</v>
      </c>
      <c r="FZ86" s="13">
        <f>IF('Données projet'!$A$244&gt;35,FZ85+FY86-GH85,IF(A86&lt;'Données projet'!$A$244,$FW$205^A86,IF(A86='Données projet'!$A$244,'Données projet'!$B$244,FZ85+FY86-GH85)))</f>
        <v>312.40000000000003</v>
      </c>
      <c r="GA86" s="18">
        <f>FZ86*VLOOKUP('Données projet'!$B$17,Paramètres!$A$1:$I$89,3,0)*VLOOKUP('Données projet'!$B$17,Paramètres!$A$1:$I$89,5,0)</f>
        <v>297.27984000000004</v>
      </c>
      <c r="GB86" s="14">
        <f t="shared" si="103"/>
        <v>70.60591150966988</v>
      </c>
      <c r="GC86" s="22">
        <f t="shared" si="79"/>
        <v>640.73435054600839</v>
      </c>
      <c r="GD86" s="62">
        <f t="shared" si="80"/>
        <v>934.06768387934176</v>
      </c>
      <c r="GE86" s="62">
        <f ca="1">AVERAGE(OFFSET($GD$3,0,0,'Données projet'!$E$17+1,1))-AVERAGE(OFFSET($H$3,0,0,'Données projet'!$E$17+1,1))</f>
        <v>459.64120566196812</v>
      </c>
      <c r="GF86" s="62">
        <f t="shared" si="104"/>
        <v>290.39826583283588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2.8421709430404007E-14</v>
      </c>
      <c r="O87" s="14">
        <f>N87*VLOOKUP('Données projet'!$B$9,Paramètres!$A$1:$I$89,3,0)*VLOOKUP('Données projet'!$B$9,Paramètres!$A$1:$I$89,5,0)</f>
        <v>1.5518253349000589E-14</v>
      </c>
      <c r="P87" s="14">
        <f t="shared" si="87"/>
        <v>2.8958815659671149E-13</v>
      </c>
      <c r="Q87" s="22">
        <f t="shared" si="54"/>
        <v>5.3139366398878183E-13</v>
      </c>
      <c r="R87" s="62">
        <f t="shared" si="55"/>
        <v>293.33333333333383</v>
      </c>
      <c r="S87" s="62">
        <f ca="1">AVERAGE(OFFSET($R$3,0,0,'Données projet'!$E$9+1,1))-AVERAGE(OFFSET($H$3,0,0,'Données projet'!$E$9+1,1))</f>
        <v>170.27677128684815</v>
      </c>
      <c r="T87" s="62">
        <f t="shared" si="88"/>
        <v>243.47439640666289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1.8476627101944507</v>
      </c>
      <c r="AB87" s="23">
        <f>EXP(-LN(2)/2)*AB86+(1-EXP(-LN(2)/2))/(LN(2)/2)*V87*Y87*VLOOKUP('Données projet'!$B$9,Paramètres!$A$1:$I$89,3,0)*0.475*44/12</f>
        <v>5.6724163027166062E-8</v>
      </c>
      <c r="AC87" s="24">
        <f t="shared" si="57"/>
        <v>1.8476627669186136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</v>
      </c>
      <c r="AI87" s="14">
        <f>IF('Données projet'!$A$62&gt;35,AI86+AH87-AQ86,IF(A87&lt;'Données projet'!$A$62,$AF$205^A87,IF(A87='Données projet'!$A$62,'Données projet'!$B$62,AI86+AH87-AQ86)))</f>
        <v>231.99999999999991</v>
      </c>
      <c r="AJ87" s="14">
        <f>AI87*VLOOKUP('Données projet'!$B$10,Paramètres!$A$1:$I$89,3,0)*VLOOKUP('Données projet'!$B$10,Paramètres!$A$1:$I$89,5,0)</f>
        <v>202.67519999999993</v>
      </c>
      <c r="AK87" s="14">
        <f t="shared" si="89"/>
        <v>50.33164028531364</v>
      </c>
      <c r="AL87" s="22">
        <f t="shared" si="58"/>
        <v>440.65358016358778</v>
      </c>
      <c r="AM87" s="62">
        <f t="shared" si="59"/>
        <v>733.98691349692103</v>
      </c>
      <c r="AN87" s="62">
        <f ca="1">AVERAGE(OFFSET($AM$3,0,0,'Données projet'!$E$10+1,1))-AVERAGE(OFFSET($H$3,0,0,'Données projet'!$E$10+1,1))</f>
        <v>327.826081588335</v>
      </c>
      <c r="AO87" s="62">
        <f t="shared" si="90"/>
        <v>348.84706693879735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3.5452560881034287</v>
      </c>
      <c r="AW87" s="23">
        <f>EXP(-LN(2)/2)*AW86+(1-EXP(-LN(2)/2))/(LN(2)/2)*AQ87*AT87*VLOOKUP('Données projet'!$B$10,Paramètres!$A$1:$I$89,3,0)*0.475*44/12</f>
        <v>1.1097471882075789E-7</v>
      </c>
      <c r="AX87" s="23">
        <f t="shared" si="60"/>
        <v>3.5452561990781475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-3.4106051316484809E-13</v>
      </c>
      <c r="BE87" s="14">
        <f>BD87*VLOOKUP('Données projet'!$B$11,Paramètres!$A$1:$I$89,3,0)*VLOOKUP('Données projet'!$B$11,Paramètres!$A$1:$I$89,5,0)</f>
        <v>-2.5006556825246659E-13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376.5422416541544</v>
      </c>
      <c r="BJ87" s="62">
        <f t="shared" si="92"/>
        <v>365.76175372075869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8.4835895781919817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8.4835895781919817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405.09126081846171</v>
      </c>
      <c r="CE87" s="62">
        <f t="shared" si="94"/>
        <v>534.22295841722166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3.3807742285949205</v>
      </c>
      <c r="CL87" s="23">
        <f>EXP(-LN(2)/25)*CL86+(1-EXP(-LN(2)/25))/(LN(2)/25)*Calculateur!CG87*Calculateur!CI87*VLOOKUP('Données projet'!$B$12,Paramètres!$A$1:$I$89,3,0)*0.475*44/12</f>
        <v>3.1371448104445046</v>
      </c>
      <c r="CM87" s="23">
        <f>EXP(-LN(2)/2)*CM86+(1-EXP(-LN(2)/2))/(LN(2)/2)*CG87*CJ87*VLOOKUP('Données projet'!$B$12,Paramètres!$A$1:$I$89,3,0)*0.475*44/12</f>
        <v>1.1843979988490212E-8</v>
      </c>
      <c r="CN87" s="24">
        <f t="shared" si="66"/>
        <v>6.5179190508834051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244.82163392718377</v>
      </c>
      <c r="CZ87" s="62">
        <f t="shared" si="96"/>
        <v>342.30266518164211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2.0278919319374089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2.0278919319374089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-2.2737367544323206E-13</v>
      </c>
      <c r="DP87" s="18">
        <f>DO87*VLOOKUP('Données projet'!$B$14,Paramètres!$A$1:$I$89,3,0)*VLOOKUP('Données projet'!$B$14,Paramètres!$A$1:$I$89,5,0)</f>
        <v>-1.8089849618263545E-13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298.89893065707554</v>
      </c>
      <c r="DU87" s="62">
        <f t="shared" si="98"/>
        <v>294.28794439094878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6.8</v>
      </c>
      <c r="EJ87" s="13">
        <f>IF('Données projet'!$A$192&gt;35,EJ86+EI87-ER86,IF(A87&lt;'Données projet'!$A$192,$EG$205^A87,IF(A87='Données projet'!$A$192,'Données projet'!$B$192,EJ86+EI87-ER86)))</f>
        <v>319.20000000000005</v>
      </c>
      <c r="EK87" s="18">
        <f>EJ87*VLOOKUP('Données projet'!$B$15,Paramètres!$A$1:$I$89,3,0)*VLOOKUP('Données projet'!$B$15,Paramètres!$A$1:$I$89,5,0)</f>
        <v>288.81216000000006</v>
      </c>
      <c r="EL87" s="14">
        <f t="shared" si="99"/>
        <v>68.825899854238159</v>
      </c>
      <c r="EM87" s="22">
        <f t="shared" si="73"/>
        <v>622.88628757946492</v>
      </c>
      <c r="EN87" s="62">
        <f t="shared" si="74"/>
        <v>916.21962091279829</v>
      </c>
      <c r="EO87" s="62">
        <f ca="1">AVERAGE(OFFSET($EN$3,0,0,'Données projet'!$E$15+1,1))-AVERAGE(OFFSET($H$3,0,0,'Données projet'!$E$15+1,1))</f>
        <v>439.06700232017681</v>
      </c>
      <c r="EP87" s="62">
        <f t="shared" si="100"/>
        <v>278.21741231699929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2.0429933225184196</v>
      </c>
      <c r="EX87" s="23">
        <f>EXP(-LN(2)/2)*EX86+(1-EXP(-LN(2)/2))/(LN(2)/2)*ER87*EU87*VLOOKUP('Données projet'!$B$15,Paramètres!$A$1:$I$89,3,0)*0.475*44/12</f>
        <v>1.1108647767124815E-7</v>
      </c>
      <c r="EY87" s="24">
        <f t="shared" si="75"/>
        <v>2.0429934336048974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6.8</v>
      </c>
      <c r="FE87" s="13">
        <f>IF('Données projet'!$A$218&gt;35,FE86+FD87-FM86,IF(A87&lt;'Données projet'!$A$218,$FB$205^A87,IF(A87='Données projet'!$A$218,'Données projet'!$B$218,FE86+FD87-FM86)))</f>
        <v>319.20000000000005</v>
      </c>
      <c r="FF87" s="18">
        <f>FE87*VLOOKUP('Données projet'!$B$16,Paramètres!$A$1:$I$89,3,0)*VLOOKUP('Données projet'!$B$16,Paramètres!$A$1:$I$89,5,0)</f>
        <v>308.73024000000004</v>
      </c>
      <c r="FG87" s="14">
        <f t="shared" si="101"/>
        <v>73.003590434710574</v>
      </c>
      <c r="FH87" s="22">
        <f t="shared" si="76"/>
        <v>664.85308800712107</v>
      </c>
      <c r="FI87" s="62">
        <f t="shared" si="77"/>
        <v>958.18642134045444</v>
      </c>
      <c r="FJ87" s="62">
        <f ca="1">AVERAGE(OFFSET($FI$3,0,0,'Données projet'!$E$16+1,1))-AVERAGE(OFFSET($H$3,0,0,'Données projet'!$E$16+1,1))</f>
        <v>466.4945858005575</v>
      </c>
      <c r="FK87" s="62">
        <f t="shared" si="102"/>
        <v>294.45557293177131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2.2530826806130233E-7</v>
      </c>
      <c r="FT87" s="24">
        <f t="shared" si="78"/>
        <v>2.2530826806130233E-7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6.8</v>
      </c>
      <c r="FZ87" s="13">
        <f>IF('Données projet'!$A$244&gt;35,FZ86+FY87-GH86,IF(A87&lt;'Données projet'!$A$244,$FW$205^A87,IF(A87='Données projet'!$A$244,'Données projet'!$B$244,FZ86+FY87-GH86)))</f>
        <v>319.20000000000005</v>
      </c>
      <c r="GA87" s="18">
        <f>FZ87*VLOOKUP('Données projet'!$B$17,Paramètres!$A$1:$I$89,3,0)*VLOOKUP('Données projet'!$B$17,Paramètres!$A$1:$I$89,5,0)</f>
        <v>303.75072000000006</v>
      </c>
      <c r="GB87" s="14">
        <f t="shared" si="103"/>
        <v>71.962188959446451</v>
      </c>
      <c r="GC87" s="22">
        <f t="shared" si="79"/>
        <v>654.36664977103601</v>
      </c>
      <c r="GD87" s="62">
        <f t="shared" si="80"/>
        <v>947.69998310436927</v>
      </c>
      <c r="GE87" s="62">
        <f ca="1">AVERAGE(OFFSET($GD$3,0,0,'Données projet'!$E$17+1,1))-AVERAGE(OFFSET($H$3,0,0,'Données projet'!$E$17+1,1))</f>
        <v>459.64120566196812</v>
      </c>
      <c r="GF87" s="62">
        <f t="shared" si="104"/>
        <v>290.39826583283588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2.8421709430404007E-14</v>
      </c>
      <c r="O88" s="14">
        <f>N88*VLOOKUP('Données projet'!$B$9,Paramètres!$A$1:$I$89,3,0)*VLOOKUP('Données projet'!$B$9,Paramètres!$A$1:$I$89,5,0)</f>
        <v>1.5518253349000589E-14</v>
      </c>
      <c r="P88" s="14">
        <f t="shared" si="87"/>
        <v>2.8958815659671149E-13</v>
      </c>
      <c r="Q88" s="22">
        <f t="shared" si="54"/>
        <v>5.3139366398878183E-13</v>
      </c>
      <c r="R88" s="62">
        <f t="shared" si="55"/>
        <v>293.33333333333383</v>
      </c>
      <c r="S88" s="62">
        <f ca="1">AVERAGE(OFFSET($R$3,0,0,'Données projet'!$E$9+1,1))-AVERAGE(OFFSET($H$3,0,0,'Données projet'!$E$9+1,1))</f>
        <v>170.27677128684815</v>
      </c>
      <c r="T88" s="62">
        <f t="shared" si="88"/>
        <v>243.47439640666289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1.7971382762198245</v>
      </c>
      <c r="AB88" s="23">
        <f>EXP(-LN(2)/2)*AB87+(1-EXP(-LN(2)/2))/(LN(2)/2)*V88*Y88*VLOOKUP('Données projet'!$B$9,Paramètres!$A$1:$I$89,3,0)*0.475*44/12</f>
        <v>4.0110040333640361E-8</v>
      </c>
      <c r="AC88" s="24">
        <f t="shared" si="57"/>
        <v>1.7971383163298649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235</v>
      </c>
      <c r="AG88" s="13">
        <f>VLOOKUP(A88,'Données projet'!$A$61:$I$81,9,0)</f>
        <v>3</v>
      </c>
      <c r="AH88" s="13">
        <f t="array" ref="AH88">INDEX(AG:AG,MIN(IF(ISNUMBER(AG88:AG284),ROW(AG88:AG284),"")))</f>
        <v>3</v>
      </c>
      <c r="AI88" s="14">
        <f>IF('Données projet'!$A$62&gt;35,AI87+AH88-AQ87,IF(A88&lt;'Données projet'!$A$62,$AF$205^A88,IF(A88='Données projet'!$A$62,'Données projet'!$B$62,AI87+AH88-AQ87)))</f>
        <v>234.99999999999991</v>
      </c>
      <c r="AJ88" s="14">
        <f>AI88*VLOOKUP('Données projet'!$B$10,Paramètres!$A$1:$I$89,3,0)*VLOOKUP('Données projet'!$B$10,Paramètres!$A$1:$I$89,5,0)</f>
        <v>205.29599999999996</v>
      </c>
      <c r="AK88" s="14">
        <f t="shared" si="89"/>
        <v>50.906291934375353</v>
      </c>
      <c r="AL88" s="22">
        <f t="shared" si="58"/>
        <v>446.21899178570357</v>
      </c>
      <c r="AM88" s="62">
        <f t="shared" si="59"/>
        <v>739.55232511903682</v>
      </c>
      <c r="AN88" s="62">
        <f ca="1">AVERAGE(OFFSET($AM$3,0,0,'Données projet'!$E$10+1,1))-AVERAGE(OFFSET($H$3,0,0,'Données projet'!$E$10+1,1))</f>
        <v>327.826081588335</v>
      </c>
      <c r="AO88" s="62">
        <f t="shared" si="90"/>
        <v>348.84706693879735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3.4483108739373254</v>
      </c>
      <c r="AW88" s="23">
        <f>EXP(-LN(2)/2)*AW87+(1-EXP(-LN(2)/2))/(LN(2)/2)*AQ88*AT88*VLOOKUP('Données projet'!$B$10,Paramètres!$A$1:$I$89,3,0)*0.475*44/12</f>
        <v>7.8470976218428284E-8</v>
      </c>
      <c r="AX88" s="23">
        <f t="shared" si="60"/>
        <v>3.4483109524083018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-3.4106051316484809E-13</v>
      </c>
      <c r="BE88" s="14">
        <f>BD88*VLOOKUP('Données projet'!$B$11,Paramètres!$A$1:$I$89,3,0)*VLOOKUP('Données projet'!$B$11,Paramètres!$A$1:$I$89,5,0)</f>
        <v>-2.5006556825246659E-13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376.5422416541544</v>
      </c>
      <c r="BJ88" s="62">
        <f t="shared" si="92"/>
        <v>365.76175372075869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8.3172315610423428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8.3172315610423428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405.09126081846171</v>
      </c>
      <c r="CE88" s="62">
        <f t="shared" si="94"/>
        <v>534.22295841722166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3.3144793080408412</v>
      </c>
      <c r="CL88" s="23">
        <f>EXP(-LN(2)/25)*CL87+(1-EXP(-LN(2)/25))/(LN(2)/25)*Calculateur!CG88*Calculateur!CI88*VLOOKUP('Données projet'!$B$12,Paramètres!$A$1:$I$89,3,0)*0.475*44/12</f>
        <v>3.051359420627624</v>
      </c>
      <c r="CM88" s="23">
        <f>EXP(-LN(2)/2)*CM87+(1-EXP(-LN(2)/2))/(LN(2)/2)*CG88*CJ88*VLOOKUP('Données projet'!$B$12,Paramètres!$A$1:$I$89,3,0)*0.475*44/12</f>
        <v>8.374958566099196E-9</v>
      </c>
      <c r="CN88" s="24">
        <f t="shared" si="66"/>
        <v>6.3658387370434237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244.82163392718377</v>
      </c>
      <c r="CZ88" s="62">
        <f t="shared" si="96"/>
        <v>342.30266518164211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1.9881262080440618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1.9881262080440618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-2.2737367544323206E-13</v>
      </c>
      <c r="DP88" s="18">
        <f>DO88*VLOOKUP('Données projet'!$B$14,Paramètres!$A$1:$I$89,3,0)*VLOOKUP('Données projet'!$B$14,Paramètres!$A$1:$I$89,5,0)</f>
        <v>-1.8089849618263545E-13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298.89893065707554</v>
      </c>
      <c r="DU88" s="62">
        <f t="shared" si="98"/>
        <v>294.28794439094878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326</v>
      </c>
      <c r="EH88" s="13">
        <f>VLOOKUP(A88,'Données projet'!$A$191:$I$211,9,0)</f>
        <v>6.8</v>
      </c>
      <c r="EI88" s="13">
        <f t="array" ref="EI88">INDEX(EH:EH,MIN(IF(ISNUMBER(EH88:EH284),ROW(EH88:EH284),"")))</f>
        <v>6.8</v>
      </c>
      <c r="EJ88" s="13">
        <f>IF('Données projet'!$A$192&gt;35,EJ87+EI88-ER87,IF(A88&lt;'Données projet'!$A$192,$EG$205^A88,IF(A88='Données projet'!$A$192,'Données projet'!$B$192,EJ87+EI88-ER87)))</f>
        <v>326.00000000000006</v>
      </c>
      <c r="EK88" s="18">
        <f>EJ88*VLOOKUP('Données projet'!$B$15,Paramètres!$A$1:$I$89,3,0)*VLOOKUP('Données projet'!$B$15,Paramètres!$A$1:$I$89,5,0)</f>
        <v>294.96480000000003</v>
      </c>
      <c r="EL88" s="14">
        <f t="shared" si="99"/>
        <v>70.119854541045001</v>
      </c>
      <c r="EM88" s="22">
        <f t="shared" si="73"/>
        <v>635.85577332565333</v>
      </c>
      <c r="EN88" s="62">
        <f t="shared" si="74"/>
        <v>929.1891066589867</v>
      </c>
      <c r="EO88" s="62">
        <f ca="1">AVERAGE(OFFSET($EN$3,0,0,'Données projet'!$E$15+1,1))-AVERAGE(OFFSET($H$3,0,0,'Données projet'!$E$15+1,1))</f>
        <v>439.06700232017681</v>
      </c>
      <c r="EP88" s="62">
        <f t="shared" si="100"/>
        <v>278.21741231699929</v>
      </c>
      <c r="EQ88" s="16">
        <f>IF(ISNA(VLOOKUP(A88,'Données projet'!$A$191:$I$211,3,0)),0,VLOOKUP(A88,'Données projet'!$A$191:$I$211,3,0))</f>
        <v>14</v>
      </c>
      <c r="ER88" s="16">
        <f>IF(ISNA(VLOOKUP(A88,'Données projet'!$A$191:$I$211,4,0)),0,VLOOKUP(A88,'Données projet'!$A$191:$I$211,4,0))</f>
        <v>28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1.987127562677804</v>
      </c>
      <c r="EX88" s="23">
        <f>EXP(-LN(2)/2)*EX87+(1-EXP(-LN(2)/2))/(LN(2)/2)*ER88*EU88*VLOOKUP('Données projet'!$B$15,Paramètres!$A$1:$I$89,3,0)*0.475*44/12</f>
        <v>7.8550001659467562E-8</v>
      </c>
      <c r="EY88" s="24">
        <f t="shared" si="75"/>
        <v>1.9871276412278056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326</v>
      </c>
      <c r="FC88" s="13">
        <f>VLOOKUP(A88,'Données projet'!$A$217:$I$237,9,0)</f>
        <v>6.8</v>
      </c>
      <c r="FD88" s="13">
        <f t="array" ref="FD88">INDEX(FC:FC,MIN(IF(ISNUMBER(FC88:FC284),ROW(FC88:FC284),"")))</f>
        <v>6.8</v>
      </c>
      <c r="FE88" s="13">
        <f>IF('Données projet'!$A$218&gt;35,FE87+FD88-FM87,IF(A88&lt;'Données projet'!$A$218,$FB$205^A88,IF(A88='Données projet'!$A$218,'Données projet'!$B$218,FE87+FD88-FM87)))</f>
        <v>326.00000000000006</v>
      </c>
      <c r="FF88" s="18">
        <f>FE88*VLOOKUP('Données projet'!$B$16,Paramètres!$A$1:$I$89,3,0)*VLOOKUP('Données projet'!$B$16,Paramètres!$A$1:$I$89,5,0)</f>
        <v>315.30720000000008</v>
      </c>
      <c r="FG88" s="14">
        <f t="shared" si="101"/>
        <v>74.376087390025049</v>
      </c>
      <c r="FH88" s="22">
        <f t="shared" si="76"/>
        <v>678.69839220429378</v>
      </c>
      <c r="FI88" s="62">
        <f t="shared" si="77"/>
        <v>972.03172553762715</v>
      </c>
      <c r="FJ88" s="62">
        <f ca="1">AVERAGE(OFFSET($FI$3,0,0,'Données projet'!$E$16+1,1))-AVERAGE(OFFSET($H$3,0,0,'Données projet'!$E$16+1,1))</f>
        <v>466.4945858005575</v>
      </c>
      <c r="FK88" s="62">
        <f t="shared" si="102"/>
        <v>294.45557293177131</v>
      </c>
      <c r="FL88" s="16">
        <f>IF(ISNA(VLOOKUP(A88,'Données projet'!$A$217:$I$237,3,0)),0,VLOOKUP(A88,'Données projet'!$A$217:$I$237,3,0))</f>
        <v>14</v>
      </c>
      <c r="FM88" s="16">
        <f>IF(ISNA(VLOOKUP(A88,'Données projet'!$A$217:$I$237,4,0)),0,VLOOKUP(A88,'Données projet'!$A$217:$I$237,4,0))</f>
        <v>28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1.593170042035433E-7</v>
      </c>
      <c r="FT88" s="24">
        <f t="shared" si="78"/>
        <v>1.593170042035433E-7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326</v>
      </c>
      <c r="FX88" s="13">
        <f>VLOOKUP(A88,'Données projet'!$A$243:$I$263,9,0)</f>
        <v>6.8</v>
      </c>
      <c r="FY88" s="13">
        <f t="array" ref="FY88">INDEX(FX:FX,MIN(IF(ISNUMBER(FX88:FX284),ROW(FX88:FX284),"")))</f>
        <v>6.8</v>
      </c>
      <c r="FZ88" s="13">
        <f>IF('Données projet'!$A$244&gt;35,FZ87+FY88-GH87,IF(A88&lt;'Données projet'!$A$244,$FW$205^A88,IF(A88='Données projet'!$A$244,'Données projet'!$B$244,FZ87+FY88-GH87)))</f>
        <v>326.00000000000006</v>
      </c>
      <c r="GA88" s="18">
        <f>FZ88*VLOOKUP('Données projet'!$B$17,Paramètres!$A$1:$I$89,3,0)*VLOOKUP('Données projet'!$B$17,Paramètres!$A$1:$I$89,5,0)</f>
        <v>310.22160000000008</v>
      </c>
      <c r="GB88" s="14">
        <f t="shared" si="103"/>
        <v>73.315107146846231</v>
      </c>
      <c r="GC88" s="22">
        <f t="shared" si="79"/>
        <v>667.99309828075729</v>
      </c>
      <c r="GD88" s="62">
        <f t="shared" si="80"/>
        <v>961.32643161409055</v>
      </c>
      <c r="GE88" s="62">
        <f ca="1">AVERAGE(OFFSET($GD$3,0,0,'Données projet'!$E$17+1,1))-AVERAGE(OFFSET($H$3,0,0,'Données projet'!$E$17+1,1))</f>
        <v>459.64120566196812</v>
      </c>
      <c r="GF88" s="62">
        <f t="shared" si="104"/>
        <v>290.39826583283588</v>
      </c>
      <c r="GG88" s="16">
        <f>IF(ISNA(VLOOKUP(A88,'Données projet'!$A$243:$I$263,3,0)),0,VLOOKUP(A88,'Données projet'!$A$243:$I$263,3,0))</f>
        <v>14</v>
      </c>
      <c r="GH88" s="16">
        <f>IF(ISNA(VLOOKUP(A88,'Données projet'!$A$243:$I$263,4,0)),0,VLOOKUP(A88,'Données projet'!$A$243:$I$263,4,0))</f>
        <v>28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2.8421709430404007E-14</v>
      </c>
      <c r="O89" s="14">
        <f>N89*VLOOKUP('Données projet'!$B$9,Paramètres!$A$1:$I$89,3,0)*VLOOKUP('Données projet'!$B$9,Paramètres!$A$1:$I$89,5,0)</f>
        <v>1.5518253349000589E-14</v>
      </c>
      <c r="P89" s="14">
        <f t="shared" si="87"/>
        <v>2.8958815659671149E-13</v>
      </c>
      <c r="Q89" s="22">
        <f t="shared" si="54"/>
        <v>5.3139366398878183E-13</v>
      </c>
      <c r="R89" s="62">
        <f t="shared" si="55"/>
        <v>293.33333333333383</v>
      </c>
      <c r="S89" s="62">
        <f ca="1">AVERAGE(OFFSET($R$3,0,0,'Données projet'!$E$9+1,1))-AVERAGE(OFFSET($H$3,0,0,'Données projet'!$E$9+1,1))</f>
        <v>170.27677128684815</v>
      </c>
      <c r="T89" s="62">
        <f t="shared" si="88"/>
        <v>243.47439640666289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1.7479954355491989</v>
      </c>
      <c r="AB89" s="23">
        <f>EXP(-LN(2)/2)*AB88+(1-EXP(-LN(2)/2))/(LN(2)/2)*V89*Y89*VLOOKUP('Données projet'!$B$9,Paramètres!$A$1:$I$89,3,0)*0.475*44/12</f>
        <v>2.8362081513583031E-8</v>
      </c>
      <c r="AC89" s="24">
        <f t="shared" si="57"/>
        <v>1.7479954639112805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2.6</v>
      </c>
      <c r="AI89" s="14">
        <f>IF('Données projet'!$A$62&gt;35,AI88+AH89-AQ88,IF(A89&lt;'Données projet'!$A$62,$AF$205^A89,IF(A89='Données projet'!$A$62,'Données projet'!$B$62,AI88+AH89-AQ88)))</f>
        <v>225.59999999999991</v>
      </c>
      <c r="AJ89" s="14">
        <f>AI89*VLOOKUP('Données projet'!$B$10,Paramètres!$A$1:$I$89,3,0)*VLOOKUP('Données projet'!$B$10,Paramètres!$A$1:$I$89,5,0)</f>
        <v>197.08415999999994</v>
      </c>
      <c r="AK89" s="14">
        <f t="shared" si="89"/>
        <v>49.102807637925878</v>
      </c>
      <c r="AL89" s="22">
        <f t="shared" si="58"/>
        <v>428.77563530272073</v>
      </c>
      <c r="AM89" s="62">
        <f t="shared" si="59"/>
        <v>722.10896863605399</v>
      </c>
      <c r="AN89" s="62">
        <f ca="1">AVERAGE(OFFSET($AM$3,0,0,'Données projet'!$E$10+1,1))-AVERAGE(OFFSET($H$3,0,0,'Données projet'!$E$10+1,1))</f>
        <v>327.826081588335</v>
      </c>
      <c r="AO89" s="62">
        <f t="shared" si="90"/>
        <v>348.84706693879735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3.3540166317507216</v>
      </c>
      <c r="AW89" s="23">
        <f>EXP(-LN(2)/2)*AW88+(1-EXP(-LN(2)/2))/(LN(2)/2)*AQ89*AT89*VLOOKUP('Données projet'!$B$10,Paramètres!$A$1:$I$89,3,0)*0.475*44/12</f>
        <v>5.5487359410378944E-8</v>
      </c>
      <c r="AX89" s="23">
        <f t="shared" si="60"/>
        <v>3.3540166872380812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-3.4106051316484809E-13</v>
      </c>
      <c r="BE89" s="14">
        <f>BD89*VLOOKUP('Données projet'!$B$11,Paramètres!$A$1:$I$89,3,0)*VLOOKUP('Données projet'!$B$11,Paramètres!$A$1:$I$89,5,0)</f>
        <v>-2.5006556825246659E-13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376.5422416541544</v>
      </c>
      <c r="BJ89" s="62">
        <f t="shared" si="92"/>
        <v>365.76175372075869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8.1541357231406373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8.1541357231406373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405.09126081846171</v>
      </c>
      <c r="CE89" s="62">
        <f t="shared" si="94"/>
        <v>534.22295841722166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3.2494843904429187</v>
      </c>
      <c r="CL89" s="23">
        <f>EXP(-LN(2)/25)*CL88+(1-EXP(-LN(2)/25))/(LN(2)/25)*Calculateur!CG89*Calculateur!CI89*VLOOKUP('Données projet'!$B$12,Paramètres!$A$1:$I$89,3,0)*0.475*44/12</f>
        <v>2.9679198368065438</v>
      </c>
      <c r="CM89" s="23">
        <f>EXP(-LN(2)/2)*CM88+(1-EXP(-LN(2)/2))/(LN(2)/2)*CG89*CJ89*VLOOKUP('Données projet'!$B$12,Paramètres!$A$1:$I$89,3,0)*0.475*44/12</f>
        <v>5.9219899942451061E-9</v>
      </c>
      <c r="CN89" s="24">
        <f t="shared" si="66"/>
        <v>6.2174042331714521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244.82163392718377</v>
      </c>
      <c r="CZ89" s="62">
        <f t="shared" si="96"/>
        <v>342.30266518164211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1.9491402657415666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1.9491402657415666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-2.2737367544323206E-13</v>
      </c>
      <c r="DP89" s="18">
        <f>DO89*VLOOKUP('Données projet'!$B$14,Paramètres!$A$1:$I$89,3,0)*VLOOKUP('Données projet'!$B$14,Paramètres!$A$1:$I$89,5,0)</f>
        <v>-1.8089849618263545E-13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298.89893065707554</v>
      </c>
      <c r="DU89" s="62">
        <f t="shared" si="98"/>
        <v>294.28794439094878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6.4</v>
      </c>
      <c r="EJ89" s="13">
        <f>IF('Données projet'!$A$192&gt;35,EJ88+EI89-ER88,IF(A89&lt;'Données projet'!$A$192,$EG$205^A89,IF(A89='Données projet'!$A$192,'Données projet'!$B$192,EJ88+EI89-ER88)))</f>
        <v>304.40000000000003</v>
      </c>
      <c r="EK89" s="18">
        <f>EJ89*VLOOKUP('Données projet'!$B$15,Paramètres!$A$1:$I$89,3,0)*VLOOKUP('Données projet'!$B$15,Paramètres!$A$1:$I$89,5,0)</f>
        <v>275.42112000000003</v>
      </c>
      <c r="EL89" s="14">
        <f t="shared" si="99"/>
        <v>65.998433293601067</v>
      </c>
      <c r="EM89" s="22">
        <f t="shared" si="73"/>
        <v>594.63905531968851</v>
      </c>
      <c r="EN89" s="62">
        <f t="shared" si="74"/>
        <v>887.97238865302188</v>
      </c>
      <c r="EO89" s="62">
        <f ca="1">AVERAGE(OFFSET($EN$3,0,0,'Données projet'!$E$15+1,1))-AVERAGE(OFFSET($H$3,0,0,'Données projet'!$E$15+1,1))</f>
        <v>439.06700232017681</v>
      </c>
      <c r="EP89" s="62">
        <f t="shared" si="100"/>
        <v>278.21741231699929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1.9327894549778826</v>
      </c>
      <c r="EX89" s="23">
        <f>EXP(-LN(2)/2)*EX88+(1-EXP(-LN(2)/2))/(LN(2)/2)*ER89*EU89*VLOOKUP('Données projet'!$B$15,Paramètres!$A$1:$I$89,3,0)*0.475*44/12</f>
        <v>5.5543238835624075E-8</v>
      </c>
      <c r="EY89" s="24">
        <f t="shared" si="75"/>
        <v>1.9327895105211215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6.4</v>
      </c>
      <c r="FE89" s="13">
        <f>IF('Données projet'!$A$218&gt;35,FE88+FD89-FM88,IF(A89&lt;'Données projet'!$A$218,$FB$205^A89,IF(A89='Données projet'!$A$218,'Données projet'!$B$218,FE88+FD89-FM88)))</f>
        <v>304.40000000000003</v>
      </c>
      <c r="FF89" s="18">
        <f>FE89*VLOOKUP('Données projet'!$B$16,Paramètres!$A$1:$I$89,3,0)*VLOOKUP('Données projet'!$B$16,Paramètres!$A$1:$I$89,5,0)</f>
        <v>294.41568000000001</v>
      </c>
      <c r="FG89" s="14">
        <f t="shared" si="101"/>
        <v>70.004498360393455</v>
      </c>
      <c r="FH89" s="22">
        <f t="shared" si="76"/>
        <v>634.69847731101868</v>
      </c>
      <c r="FI89" s="62">
        <f t="shared" si="77"/>
        <v>928.03181064435194</v>
      </c>
      <c r="FJ89" s="62">
        <f ca="1">AVERAGE(OFFSET($FI$3,0,0,'Données projet'!$E$16+1,1))-AVERAGE(OFFSET($H$3,0,0,'Données projet'!$E$16+1,1))</f>
        <v>466.4945858005575</v>
      </c>
      <c r="FK89" s="62">
        <f t="shared" si="102"/>
        <v>294.45557293177131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1.1265413403065116E-7</v>
      </c>
      <c r="FT89" s="24">
        <f t="shared" si="78"/>
        <v>1.1265413403065116E-7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6.4</v>
      </c>
      <c r="FZ89" s="13">
        <f>IF('Données projet'!$A$244&gt;35,FZ88+FY89-GH88,IF(A89&lt;'Données projet'!$A$244,$FW$205^A89,IF(A89='Données projet'!$A$244,'Données projet'!$B$244,FZ88+FY89-GH88)))</f>
        <v>304.40000000000003</v>
      </c>
      <c r="GA89" s="18">
        <f>FZ89*VLOOKUP('Données projet'!$B$17,Paramètres!$A$1:$I$89,3,0)*VLOOKUP('Données projet'!$B$17,Paramètres!$A$1:$I$89,5,0)</f>
        <v>289.66704000000004</v>
      </c>
      <c r="GB89" s="14">
        <f t="shared" si="103"/>
        <v>69.005879149563839</v>
      </c>
      <c r="GC89" s="22">
        <f t="shared" si="79"/>
        <v>624.68866751882376</v>
      </c>
      <c r="GD89" s="62">
        <f t="shared" si="80"/>
        <v>918.02200085215713</v>
      </c>
      <c r="GE89" s="62">
        <f ca="1">AVERAGE(OFFSET($GD$3,0,0,'Données projet'!$E$17+1,1))-AVERAGE(OFFSET($H$3,0,0,'Données projet'!$E$17+1,1))</f>
        <v>459.64120566196812</v>
      </c>
      <c r="GF89" s="62">
        <f t="shared" si="104"/>
        <v>290.39826583283588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2.8421709430404007E-14</v>
      </c>
      <c r="O90" s="14">
        <f>N90*VLOOKUP('Données projet'!$B$9,Paramètres!$A$1:$I$89,3,0)*VLOOKUP('Données projet'!$B$9,Paramètres!$A$1:$I$89,5,0)</f>
        <v>1.5518253349000589E-14</v>
      </c>
      <c r="P90" s="14">
        <f t="shared" si="87"/>
        <v>2.8958815659671149E-13</v>
      </c>
      <c r="Q90" s="22">
        <f t="shared" si="54"/>
        <v>5.3139366398878183E-13</v>
      </c>
      <c r="R90" s="62">
        <f t="shared" si="55"/>
        <v>293.33333333333383</v>
      </c>
      <c r="S90" s="62">
        <f ca="1">AVERAGE(OFFSET($R$3,0,0,'Données projet'!$E$9+1,1))-AVERAGE(OFFSET($H$3,0,0,'Données projet'!$E$9+1,1))</f>
        <v>170.27677128684815</v>
      </c>
      <c r="T90" s="62">
        <f t="shared" si="88"/>
        <v>243.47439640666289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1.7001964084410213</v>
      </c>
      <c r="AB90" s="23">
        <f>EXP(-LN(2)/2)*AB89+(1-EXP(-LN(2)/2))/(LN(2)/2)*V90*Y90*VLOOKUP('Données projet'!$B$9,Paramètres!$A$1:$I$89,3,0)*0.475*44/12</f>
        <v>2.0055020166820181E-8</v>
      </c>
      <c r="AC90" s="24">
        <f t="shared" si="57"/>
        <v>1.7001964284960414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2.6</v>
      </c>
      <c r="AI90" s="14">
        <f>IF('Données projet'!$A$62&gt;35,AI89+AH90-AQ89,IF(A90&lt;'Données projet'!$A$62,$AF$205^A90,IF(A90='Données projet'!$A$62,'Données projet'!$B$62,AI89+AH90-AQ89)))</f>
        <v>228.1999999999999</v>
      </c>
      <c r="AJ90" s="14">
        <f>AI90*VLOOKUP('Données projet'!$B$10,Paramètres!$A$1:$I$89,3,0)*VLOOKUP('Données projet'!$B$10,Paramètres!$A$1:$I$89,5,0)</f>
        <v>199.35551999999996</v>
      </c>
      <c r="AK90" s="14">
        <f t="shared" si="89"/>
        <v>49.602503932783179</v>
      </c>
      <c r="AL90" s="22">
        <f t="shared" si="58"/>
        <v>433.60189168293056</v>
      </c>
      <c r="AM90" s="62">
        <f t="shared" si="59"/>
        <v>726.93522501626387</v>
      </c>
      <c r="AN90" s="62">
        <f ca="1">AVERAGE(OFFSET($AM$3,0,0,'Données projet'!$E$10+1,1))-AVERAGE(OFFSET($H$3,0,0,'Données projet'!$E$10+1,1))</f>
        <v>327.826081588335</v>
      </c>
      <c r="AO90" s="62">
        <f t="shared" si="90"/>
        <v>348.84706693879735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3.2623008705754293</v>
      </c>
      <c r="AW90" s="23">
        <f>EXP(-LN(2)/2)*AW89+(1-EXP(-LN(2)/2))/(LN(2)/2)*AQ90*AT90*VLOOKUP('Données projet'!$B$10,Paramètres!$A$1:$I$89,3,0)*0.475*44/12</f>
        <v>3.9235488109214142E-8</v>
      </c>
      <c r="AX90" s="23">
        <f t="shared" si="60"/>
        <v>3.2623009098109175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-3.4106051316484809E-13</v>
      </c>
      <c r="BE90" s="14">
        <f>BD90*VLOOKUP('Données projet'!$B$11,Paramètres!$A$1:$I$89,3,0)*VLOOKUP('Données projet'!$B$11,Paramètres!$A$1:$I$89,5,0)</f>
        <v>-2.5006556825246659E-13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376.5422416541544</v>
      </c>
      <c r="BJ90" s="62">
        <f t="shared" si="92"/>
        <v>365.76175372075869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7.9942380951415446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7.9942380951415446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405.09126081846171</v>
      </c>
      <c r="CE90" s="62">
        <f t="shared" si="94"/>
        <v>534.22295841722166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3.185763983536106</v>
      </c>
      <c r="CL90" s="23">
        <f>EXP(-LN(2)/25)*CL89+(1-EXP(-LN(2)/25))/(LN(2)/25)*Calculateur!CG90*Calculateur!CI90*VLOOKUP('Données projet'!$B$12,Paramètres!$A$1:$I$89,3,0)*0.475*44/12</f>
        <v>2.8867619127929478</v>
      </c>
      <c r="CM90" s="23">
        <f>EXP(-LN(2)/2)*CM89+(1-EXP(-LN(2)/2))/(LN(2)/2)*CG90*CJ90*VLOOKUP('Données projet'!$B$12,Paramètres!$A$1:$I$89,3,0)*0.475*44/12</f>
        <v>4.187479283049598E-9</v>
      </c>
      <c r="CN90" s="24">
        <f t="shared" si="66"/>
        <v>6.072525900516534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244.82163392718377</v>
      </c>
      <c r="CZ90" s="62">
        <f t="shared" si="96"/>
        <v>342.30266518164211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1.9109188139885467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1.9109188139885467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-2.2737367544323206E-13</v>
      </c>
      <c r="DP90" s="18">
        <f>DO90*VLOOKUP('Données projet'!$B$14,Paramètres!$A$1:$I$89,3,0)*VLOOKUP('Données projet'!$B$14,Paramètres!$A$1:$I$89,5,0)</f>
        <v>-1.8089849618263545E-13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298.89893065707554</v>
      </c>
      <c r="DU90" s="62">
        <f t="shared" si="98"/>
        <v>294.28794439094878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6.4</v>
      </c>
      <c r="EJ90" s="13">
        <f>IF('Données projet'!$A$192&gt;35,EJ89+EI90-ER89,IF(A90&lt;'Données projet'!$A$192,$EG$205^A90,IF(A90='Données projet'!$A$192,'Données projet'!$B$192,EJ89+EI90-ER89)))</f>
        <v>310.8</v>
      </c>
      <c r="EK90" s="18">
        <f>EJ90*VLOOKUP('Données projet'!$B$15,Paramètres!$A$1:$I$89,3,0)*VLOOKUP('Données projet'!$B$15,Paramètres!$A$1:$I$89,5,0)</f>
        <v>281.21184</v>
      </c>
      <c r="EL90" s="14">
        <f t="shared" si="99"/>
        <v>67.22304110496664</v>
      </c>
      <c r="EM90" s="22">
        <f t="shared" si="73"/>
        <v>606.85741792448357</v>
      </c>
      <c r="EN90" s="62">
        <f t="shared" si="74"/>
        <v>900.19075125781683</v>
      </c>
      <c r="EO90" s="62">
        <f ca="1">AVERAGE(OFFSET($EN$3,0,0,'Données projet'!$E$15+1,1))-AVERAGE(OFFSET($H$3,0,0,'Données projet'!$E$15+1,1))</f>
        <v>439.06700232017681</v>
      </c>
      <c r="EP90" s="62">
        <f t="shared" si="100"/>
        <v>278.21741231699929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1.8799372256905325</v>
      </c>
      <c r="EX90" s="23">
        <f>EXP(-LN(2)/2)*EX89+(1-EXP(-LN(2)/2))/(LN(2)/2)*ER90*EU90*VLOOKUP('Données projet'!$B$15,Paramètres!$A$1:$I$89,3,0)*0.475*44/12</f>
        <v>3.9275000829733781E-8</v>
      </c>
      <c r="EY90" s="24">
        <f t="shared" si="75"/>
        <v>1.8799372649655333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6.4</v>
      </c>
      <c r="FE90" s="13">
        <f>IF('Données projet'!$A$218&gt;35,FE89+FD90-FM89,IF(A90&lt;'Données projet'!$A$218,$FB$205^A90,IF(A90='Données projet'!$A$218,'Données projet'!$B$218,FE89+FD90-FM89)))</f>
        <v>310.8</v>
      </c>
      <c r="FF90" s="18">
        <f>FE90*VLOOKUP('Données projet'!$B$16,Paramètres!$A$1:$I$89,3,0)*VLOOKUP('Données projet'!$B$16,Paramètres!$A$1:$I$89,5,0)</f>
        <v>300.60576000000003</v>
      </c>
      <c r="FG90" s="14">
        <f t="shared" si="101"/>
        <v>71.303439126782422</v>
      </c>
      <c r="FH90" s="22">
        <f t="shared" si="76"/>
        <v>647.74185514581279</v>
      </c>
      <c r="FI90" s="62">
        <f t="shared" si="77"/>
        <v>941.07518847914616</v>
      </c>
      <c r="FJ90" s="62">
        <f ca="1">AVERAGE(OFFSET($FI$3,0,0,'Données projet'!$E$16+1,1))-AVERAGE(OFFSET($H$3,0,0,'Données projet'!$E$16+1,1))</f>
        <v>466.4945858005575</v>
      </c>
      <c r="FK90" s="62">
        <f t="shared" si="102"/>
        <v>294.45557293177131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7.9658502101771649E-8</v>
      </c>
      <c r="FT90" s="24">
        <f t="shared" si="78"/>
        <v>7.9658502101771649E-8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6.4</v>
      </c>
      <c r="FZ90" s="13">
        <f>IF('Données projet'!$A$244&gt;35,FZ89+FY90-GH89,IF(A90&lt;'Données projet'!$A$244,$FW$205^A90,IF(A90='Données projet'!$A$244,'Données projet'!$B$244,FZ89+FY90-GH89)))</f>
        <v>310.8</v>
      </c>
      <c r="GA90" s="18">
        <f>FZ90*VLOOKUP('Données projet'!$B$17,Paramètres!$A$1:$I$89,3,0)*VLOOKUP('Données projet'!$B$17,Paramètres!$A$1:$I$89,5,0)</f>
        <v>295.75727999999998</v>
      </c>
      <c r="GB90" s="14">
        <f t="shared" si="103"/>
        <v>70.286290432370649</v>
      </c>
      <c r="GC90" s="22">
        <f t="shared" si="79"/>
        <v>637.52588516971218</v>
      </c>
      <c r="GD90" s="62">
        <f t="shared" si="80"/>
        <v>930.85921850304544</v>
      </c>
      <c r="GE90" s="62">
        <f ca="1">AVERAGE(OFFSET($GD$3,0,0,'Données projet'!$E$17+1,1))-AVERAGE(OFFSET($H$3,0,0,'Données projet'!$E$17+1,1))</f>
        <v>459.64120566196812</v>
      </c>
      <c r="GF90" s="62">
        <f t="shared" si="104"/>
        <v>290.39826583283588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2.8421709430404007E-14</v>
      </c>
      <c r="O91" s="14">
        <f>N91*VLOOKUP('Données projet'!$B$9,Paramètres!$A$1:$I$89,3,0)*VLOOKUP('Données projet'!$B$9,Paramètres!$A$1:$I$89,5,0)</f>
        <v>1.5518253349000589E-14</v>
      </c>
      <c r="P91" s="14">
        <f t="shared" si="87"/>
        <v>2.8958815659671149E-13</v>
      </c>
      <c r="Q91" s="22">
        <f t="shared" si="54"/>
        <v>5.3139366398878183E-13</v>
      </c>
      <c r="R91" s="62">
        <f t="shared" si="55"/>
        <v>293.33333333333383</v>
      </c>
      <c r="S91" s="62">
        <f ca="1">AVERAGE(OFFSET($R$3,0,0,'Données projet'!$E$9+1,1))-AVERAGE(OFFSET($H$3,0,0,'Données projet'!$E$9+1,1))</f>
        <v>170.27677128684815</v>
      </c>
      <c r="T91" s="62">
        <f t="shared" si="88"/>
        <v>243.47439640666289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1.6537044482427583</v>
      </c>
      <c r="AB91" s="23">
        <f>EXP(-LN(2)/2)*AB90+(1-EXP(-LN(2)/2))/(LN(2)/2)*V91*Y91*VLOOKUP('Données projet'!$B$9,Paramètres!$A$1:$I$89,3,0)*0.475*44/12</f>
        <v>1.4181040756791515E-8</v>
      </c>
      <c r="AC91" s="24">
        <f t="shared" si="57"/>
        <v>1.6537044624237991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2.6</v>
      </c>
      <c r="AI91" s="14">
        <f>IF('Données projet'!$A$62&gt;35,AI90+AH91-AQ90,IF(A91&lt;'Données projet'!$A$62,$AF$205^A91,IF(A91='Données projet'!$A$62,'Données projet'!$B$62,AI90+AH91-AQ90)))</f>
        <v>230.7999999999999</v>
      </c>
      <c r="AJ91" s="14">
        <f>AI91*VLOOKUP('Données projet'!$B$10,Paramètres!$A$1:$I$89,3,0)*VLOOKUP('Données projet'!$B$10,Paramètres!$A$1:$I$89,5,0)</f>
        <v>201.62687999999994</v>
      </c>
      <c r="AK91" s="14">
        <f t="shared" si="89"/>
        <v>50.101537951964936</v>
      </c>
      <c r="AL91" s="22">
        <f t="shared" si="58"/>
        <v>438.42699459967213</v>
      </c>
      <c r="AM91" s="62">
        <f t="shared" si="59"/>
        <v>731.76032793300544</v>
      </c>
      <c r="AN91" s="62">
        <f ca="1">AVERAGE(OFFSET($AM$3,0,0,'Données projet'!$E$10+1,1))-AVERAGE(OFFSET($H$3,0,0,'Données projet'!$E$10+1,1))</f>
        <v>327.826081588335</v>
      </c>
      <c r="AO91" s="62">
        <f t="shared" si="90"/>
        <v>348.84706693879735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3.1730930817125973</v>
      </c>
      <c r="AW91" s="23">
        <f>EXP(-LN(2)/2)*AW90+(1-EXP(-LN(2)/2))/(LN(2)/2)*AQ91*AT91*VLOOKUP('Données projet'!$B$10,Paramètres!$A$1:$I$89,3,0)*0.475*44/12</f>
        <v>2.7743679705189472E-8</v>
      </c>
      <c r="AX91" s="23">
        <f t="shared" si="60"/>
        <v>3.1730931094562771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-3.4106051316484809E-13</v>
      </c>
      <c r="BE91" s="14">
        <f>BD91*VLOOKUP('Données projet'!$B$11,Paramètres!$A$1:$I$89,3,0)*VLOOKUP('Données projet'!$B$11,Paramètres!$A$1:$I$89,5,0)</f>
        <v>-2.5006556825246659E-13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376.5422416541544</v>
      </c>
      <c r="BJ91" s="62">
        <f t="shared" si="92"/>
        <v>365.76175372075869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7.8374759620995915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7.8374759620995915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405.09126081846171</v>
      </c>
      <c r="CE91" s="62">
        <f t="shared" si="94"/>
        <v>534.22295841722166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3.1232930949431252</v>
      </c>
      <c r="CL91" s="23">
        <f>EXP(-LN(2)/25)*CL90+(1-EXP(-LN(2)/25))/(LN(2)/25)*Calculateur!CG91*Calculateur!CI91*VLOOKUP('Données projet'!$B$12,Paramètres!$A$1:$I$89,3,0)*0.475*44/12</f>
        <v>2.8078232564794132</v>
      </c>
      <c r="CM91" s="23">
        <f>EXP(-LN(2)/2)*CM90+(1-EXP(-LN(2)/2))/(LN(2)/2)*CG91*CJ91*VLOOKUP('Données projet'!$B$12,Paramètres!$A$1:$I$89,3,0)*0.475*44/12</f>
        <v>2.960994997122553E-9</v>
      </c>
      <c r="CN91" s="24">
        <f t="shared" si="66"/>
        <v>5.9311163543835335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244.82163392718377</v>
      </c>
      <c r="CZ91" s="62">
        <f t="shared" si="96"/>
        <v>342.30266518164211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1.8734468615916198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1.8734468615916198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-2.2737367544323206E-13</v>
      </c>
      <c r="DP91" s="18">
        <f>DO91*VLOOKUP('Données projet'!$B$14,Paramètres!$A$1:$I$89,3,0)*VLOOKUP('Données projet'!$B$14,Paramètres!$A$1:$I$89,5,0)</f>
        <v>-1.8089849618263545E-13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298.89893065707554</v>
      </c>
      <c r="DU91" s="62">
        <f t="shared" si="98"/>
        <v>294.28794439094878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6.4</v>
      </c>
      <c r="EJ91" s="13">
        <f>IF('Données projet'!$A$192&gt;35,EJ90+EI91-ER90,IF(A91&lt;'Données projet'!$A$192,$EG$205^A91,IF(A91='Données projet'!$A$192,'Données projet'!$B$192,EJ90+EI91-ER90)))</f>
        <v>317.2</v>
      </c>
      <c r="EK91" s="18">
        <f>EJ91*VLOOKUP('Données projet'!$B$15,Paramètres!$A$1:$I$89,3,0)*VLOOKUP('Données projet'!$B$15,Paramètres!$A$1:$I$89,5,0)</f>
        <v>287.00255999999996</v>
      </c>
      <c r="EL91" s="14">
        <f t="shared" si="99"/>
        <v>68.444716936118553</v>
      </c>
      <c r="EM91" s="22">
        <f t="shared" si="73"/>
        <v>619.07067399707296</v>
      </c>
      <c r="EN91" s="62">
        <f t="shared" si="74"/>
        <v>912.40400733040633</v>
      </c>
      <c r="EO91" s="62">
        <f ca="1">AVERAGE(OFFSET($EN$3,0,0,'Données projet'!$E$15+1,1))-AVERAGE(OFFSET($H$3,0,0,'Données projet'!$E$15+1,1))</f>
        <v>439.06700232017681</v>
      </c>
      <c r="EP91" s="62">
        <f t="shared" si="100"/>
        <v>278.21741231699929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1.8285302433924229</v>
      </c>
      <c r="EX91" s="23">
        <f>EXP(-LN(2)/2)*EX90+(1-EXP(-LN(2)/2))/(LN(2)/2)*ER91*EU91*VLOOKUP('Données projet'!$B$15,Paramètres!$A$1:$I$89,3,0)*0.475*44/12</f>
        <v>2.7771619417812037E-8</v>
      </c>
      <c r="EY91" s="24">
        <f t="shared" si="75"/>
        <v>1.8285302711640423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6.4</v>
      </c>
      <c r="FE91" s="13">
        <f>IF('Données projet'!$A$218&gt;35,FE90+FD91-FM90,IF(A91&lt;'Données projet'!$A$218,$FB$205^A91,IF(A91='Données projet'!$A$218,'Données projet'!$B$218,FE90+FD91-FM90)))</f>
        <v>317.2</v>
      </c>
      <c r="FF91" s="18">
        <f>FE91*VLOOKUP('Données projet'!$B$16,Paramètres!$A$1:$I$89,3,0)*VLOOKUP('Données projet'!$B$16,Paramètres!$A$1:$I$89,5,0)</f>
        <v>306.79584</v>
      </c>
      <c r="FG91" s="14">
        <f t="shared" si="101"/>
        <v>72.599269943528554</v>
      </c>
      <c r="FH91" s="22">
        <f t="shared" si="76"/>
        <v>660.77981648497882</v>
      </c>
      <c r="FI91" s="62">
        <f t="shared" si="77"/>
        <v>954.11314981831219</v>
      </c>
      <c r="FJ91" s="62">
        <f ca="1">AVERAGE(OFFSET($FI$3,0,0,'Données projet'!$E$16+1,1))-AVERAGE(OFFSET($H$3,0,0,'Données projet'!$E$16+1,1))</f>
        <v>466.4945858005575</v>
      </c>
      <c r="FK91" s="62">
        <f t="shared" si="102"/>
        <v>294.45557293177131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5.6327067015325582E-8</v>
      </c>
      <c r="FT91" s="24">
        <f t="shared" si="78"/>
        <v>5.6327067015325582E-8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6.4</v>
      </c>
      <c r="FZ91" s="13">
        <f>IF('Données projet'!$A$244&gt;35,FZ90+FY91-GH90,IF(A91&lt;'Données projet'!$A$244,$FW$205^A91,IF(A91='Données projet'!$A$244,'Données projet'!$B$244,FZ90+FY91-GH90)))</f>
        <v>317.2</v>
      </c>
      <c r="GA91" s="18">
        <f>FZ91*VLOOKUP('Données projet'!$B$17,Paramètres!$A$1:$I$89,3,0)*VLOOKUP('Données projet'!$B$17,Paramètres!$A$1:$I$89,5,0)</f>
        <v>301.84751999999997</v>
      </c>
      <c r="GB91" s="14">
        <f t="shared" si="103"/>
        <v>71.563636129190257</v>
      </c>
      <c r="GC91" s="22">
        <f t="shared" si="79"/>
        <v>650.35776359167301</v>
      </c>
      <c r="GD91" s="62">
        <f t="shared" si="80"/>
        <v>943.69109692500638</v>
      </c>
      <c r="GE91" s="62">
        <f ca="1">AVERAGE(OFFSET($GD$3,0,0,'Données projet'!$E$17+1,1))-AVERAGE(OFFSET($H$3,0,0,'Données projet'!$E$17+1,1))</f>
        <v>459.64120566196812</v>
      </c>
      <c r="GF91" s="62">
        <f t="shared" si="104"/>
        <v>290.39826583283588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2.8421709430404007E-14</v>
      </c>
      <c r="O92" s="14">
        <f>N92*VLOOKUP('Données projet'!$B$9,Paramètres!$A$1:$I$89,3,0)*VLOOKUP('Données projet'!$B$9,Paramètres!$A$1:$I$89,5,0)</f>
        <v>1.5518253349000589E-14</v>
      </c>
      <c r="P92" s="14">
        <f t="shared" si="87"/>
        <v>2.8958815659671149E-13</v>
      </c>
      <c r="Q92" s="22">
        <f t="shared" si="54"/>
        <v>5.3139366398878183E-13</v>
      </c>
      <c r="R92" s="62">
        <f t="shared" si="55"/>
        <v>293.33333333333383</v>
      </c>
      <c r="S92" s="62">
        <f ca="1">AVERAGE(OFFSET($R$3,0,0,'Données projet'!$E$9+1,1))-AVERAGE(OFFSET($H$3,0,0,'Données projet'!$E$9+1,1))</f>
        <v>170.27677128684815</v>
      </c>
      <c r="T92" s="62">
        <f t="shared" si="88"/>
        <v>243.47439640666289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1.6084838131410228</v>
      </c>
      <c r="AB92" s="23">
        <f>EXP(-LN(2)/2)*AB91+(1-EXP(-LN(2)/2))/(LN(2)/2)*V92*Y92*VLOOKUP('Données projet'!$B$9,Paramètres!$A$1:$I$89,3,0)*0.475*44/12</f>
        <v>1.002751008341009E-8</v>
      </c>
      <c r="AC92" s="24">
        <f t="shared" si="57"/>
        <v>1.608483823168533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2.6</v>
      </c>
      <c r="AI92" s="14">
        <f>IF('Données projet'!$A$62&gt;35,AI91+AH92-AQ91,IF(A92&lt;'Données projet'!$A$62,$AF$205^A92,IF(A92='Données projet'!$A$62,'Données projet'!$B$62,AI91+AH92-AQ91)))</f>
        <v>233.39999999999989</v>
      </c>
      <c r="AJ92" s="14">
        <f>AI92*VLOOKUP('Données projet'!$B$10,Paramètres!$A$1:$I$89,3,0)*VLOOKUP('Données projet'!$B$10,Paramètres!$A$1:$I$89,5,0)</f>
        <v>203.89823999999993</v>
      </c>
      <c r="AK92" s="14">
        <f t="shared" si="89"/>
        <v>50.59991801943017</v>
      </c>
      <c r="AL92" s="22">
        <f t="shared" si="58"/>
        <v>443.25095855050739</v>
      </c>
      <c r="AM92" s="62">
        <f t="shared" si="59"/>
        <v>736.58429188384071</v>
      </c>
      <c r="AN92" s="62">
        <f ca="1">AVERAGE(OFFSET($AM$3,0,0,'Données projet'!$E$10+1,1))-AVERAGE(OFFSET($H$3,0,0,'Données projet'!$E$10+1,1))</f>
        <v>327.826081588335</v>
      </c>
      <c r="AO92" s="62">
        <f t="shared" si="90"/>
        <v>348.84706693879735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3.0863246845274532</v>
      </c>
      <c r="AW92" s="23">
        <f>EXP(-LN(2)/2)*AW91+(1-EXP(-LN(2)/2))/(LN(2)/2)*AQ92*AT92*VLOOKUP('Données projet'!$B$10,Paramètres!$A$1:$I$89,3,0)*0.475*44/12</f>
        <v>1.9617744054607071E-8</v>
      </c>
      <c r="AX92" s="23">
        <f t="shared" si="60"/>
        <v>3.0863247041451971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-3.4106051316484809E-13</v>
      </c>
      <c r="BE92" s="14">
        <f>BD92*VLOOKUP('Données projet'!$B$11,Paramètres!$A$1:$I$89,3,0)*VLOOKUP('Données projet'!$B$11,Paramètres!$A$1:$I$89,5,0)</f>
        <v>-2.5006556825246659E-13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376.5422416541544</v>
      </c>
      <c r="BJ92" s="62">
        <f t="shared" si="92"/>
        <v>365.76175372075869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7.6837878388711314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7.6837878388711314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405.09126081846171</v>
      </c>
      <c r="CE92" s="62">
        <f t="shared" si="94"/>
        <v>534.22295841722166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3.0620472223719735</v>
      </c>
      <c r="CL92" s="23">
        <f>EXP(-LN(2)/25)*CL91+(1-EXP(-LN(2)/25))/(LN(2)/25)*Calculateur!CG92*Calculateur!CI92*VLOOKUP('Données projet'!$B$12,Paramètres!$A$1:$I$89,3,0)*0.475*44/12</f>
        <v>2.731043181873976</v>
      </c>
      <c r="CM92" s="23">
        <f>EXP(-LN(2)/2)*CM91+(1-EXP(-LN(2)/2))/(LN(2)/2)*CG92*CJ92*VLOOKUP('Données projet'!$B$12,Paramètres!$A$1:$I$89,3,0)*0.475*44/12</f>
        <v>2.093739641524799E-9</v>
      </c>
      <c r="CN92" s="24">
        <f t="shared" si="66"/>
        <v>5.7930904063396893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244.82163392718377</v>
      </c>
      <c r="CZ92" s="62">
        <f t="shared" si="96"/>
        <v>342.30266518164211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1.8367097113255624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1.8367097113255624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-2.2737367544323206E-13</v>
      </c>
      <c r="DP92" s="18">
        <f>DO92*VLOOKUP('Données projet'!$B$14,Paramètres!$A$1:$I$89,3,0)*VLOOKUP('Données projet'!$B$14,Paramètres!$A$1:$I$89,5,0)</f>
        <v>-1.8089849618263545E-13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298.89893065707554</v>
      </c>
      <c r="DU92" s="62">
        <f t="shared" si="98"/>
        <v>294.28794439094878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6.4</v>
      </c>
      <c r="EJ92" s="13">
        <f>IF('Données projet'!$A$192&gt;35,EJ91+EI92-ER91,IF(A92&lt;'Données projet'!$A$192,$EG$205^A92,IF(A92='Données projet'!$A$192,'Données projet'!$B$192,EJ91+EI92-ER91)))</f>
        <v>323.59999999999997</v>
      </c>
      <c r="EK92" s="18">
        <f>EJ92*VLOOKUP('Données projet'!$B$15,Paramètres!$A$1:$I$89,3,0)*VLOOKUP('Données projet'!$B$15,Paramètres!$A$1:$I$89,5,0)</f>
        <v>292.79327999999992</v>
      </c>
      <c r="EL92" s="14">
        <f t="shared" si="99"/>
        <v>69.663526761731433</v>
      </c>
      <c r="EM92" s="22">
        <f t="shared" si="73"/>
        <v>631.27893844334869</v>
      </c>
      <c r="EN92" s="62">
        <f t="shared" si="74"/>
        <v>924.61227177668206</v>
      </c>
      <c r="EO92" s="62">
        <f ca="1">AVERAGE(OFFSET($EN$3,0,0,'Données projet'!$E$15+1,1))-AVERAGE(OFFSET($H$3,0,0,'Données projet'!$E$15+1,1))</f>
        <v>439.06700232017681</v>
      </c>
      <c r="EP92" s="62">
        <f t="shared" si="100"/>
        <v>278.21741231699929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1.7785289877286308</v>
      </c>
      <c r="EX92" s="23">
        <f>EXP(-LN(2)/2)*EX91+(1-EXP(-LN(2)/2))/(LN(2)/2)*ER92*EU92*VLOOKUP('Données projet'!$B$15,Paramètres!$A$1:$I$89,3,0)*0.475*44/12</f>
        <v>1.963750041486689E-8</v>
      </c>
      <c r="EY92" s="24">
        <f t="shared" si="75"/>
        <v>1.7785290073661313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6.4</v>
      </c>
      <c r="FE92" s="13">
        <f>IF('Données projet'!$A$218&gt;35,FE91+FD92-FM91,IF(A92&lt;'Données projet'!$A$218,$FB$205^A92,IF(A92='Données projet'!$A$218,'Données projet'!$B$218,FE91+FD92-FM91)))</f>
        <v>323.59999999999997</v>
      </c>
      <c r="FF92" s="18">
        <f>FE92*VLOOKUP('Données projet'!$B$16,Paramètres!$A$1:$I$89,3,0)*VLOOKUP('Données projet'!$B$16,Paramètres!$A$1:$I$89,5,0)</f>
        <v>312.98591999999996</v>
      </c>
      <c r="FG92" s="14">
        <f t="shared" si="101"/>
        <v>73.892060789929147</v>
      </c>
      <c r="FH92" s="22">
        <f t="shared" si="76"/>
        <v>673.81248320912653</v>
      </c>
      <c r="FI92" s="62">
        <f t="shared" si="77"/>
        <v>967.1458165424599</v>
      </c>
      <c r="FJ92" s="62">
        <f ca="1">AVERAGE(OFFSET($FI$3,0,0,'Données projet'!$E$16+1,1))-AVERAGE(OFFSET($H$3,0,0,'Données projet'!$E$16+1,1))</f>
        <v>466.4945858005575</v>
      </c>
      <c r="FK92" s="62">
        <f t="shared" si="102"/>
        <v>294.45557293177131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3.9829251050885825E-8</v>
      </c>
      <c r="FT92" s="24">
        <f t="shared" si="78"/>
        <v>3.9829251050885825E-8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6.4</v>
      </c>
      <c r="FZ92" s="13">
        <f>IF('Données projet'!$A$244&gt;35,FZ91+FY92-GH91,IF(A92&lt;'Données projet'!$A$244,$FW$205^A92,IF(A92='Données projet'!$A$244,'Données projet'!$B$244,FZ91+FY92-GH91)))</f>
        <v>323.59999999999997</v>
      </c>
      <c r="GA92" s="18">
        <f>FZ92*VLOOKUP('Données projet'!$B$17,Paramètres!$A$1:$I$89,3,0)*VLOOKUP('Données projet'!$B$17,Paramètres!$A$1:$I$89,5,0)</f>
        <v>307.93775999999997</v>
      </c>
      <c r="GB92" s="14">
        <f t="shared" si="103"/>
        <v>72.837985221060251</v>
      </c>
      <c r="GC92" s="22">
        <f t="shared" si="79"/>
        <v>663.18442292667987</v>
      </c>
      <c r="GD92" s="62">
        <f t="shared" si="80"/>
        <v>956.51775626001313</v>
      </c>
      <c r="GE92" s="62">
        <f ca="1">AVERAGE(OFFSET($GD$3,0,0,'Données projet'!$E$17+1,1))-AVERAGE(OFFSET($H$3,0,0,'Données projet'!$E$17+1,1))</f>
        <v>459.64120566196812</v>
      </c>
      <c r="GF92" s="62">
        <f t="shared" si="104"/>
        <v>290.39826583283588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2.8421709430404007E-14</v>
      </c>
      <c r="O93" s="14">
        <f>N93*VLOOKUP('Données projet'!$B$9,Paramètres!$A$1:$I$89,3,0)*VLOOKUP('Données projet'!$B$9,Paramètres!$A$1:$I$89,5,0)</f>
        <v>1.5518253349000589E-14</v>
      </c>
      <c r="P93" s="14">
        <f t="shared" si="87"/>
        <v>2.8958815659671149E-13</v>
      </c>
      <c r="Q93" s="22">
        <f t="shared" si="54"/>
        <v>5.3139366398878183E-13</v>
      </c>
      <c r="R93" s="62">
        <f t="shared" si="55"/>
        <v>293.33333333333383</v>
      </c>
      <c r="S93" s="62">
        <f ca="1">AVERAGE(OFFSET($R$3,0,0,'Données projet'!$E$9+1,1))-AVERAGE(OFFSET($H$3,0,0,'Données projet'!$E$9+1,1))</f>
        <v>170.27677128684815</v>
      </c>
      <c r="T93" s="62">
        <f t="shared" si="88"/>
        <v>243.47439640666289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1.5644997386841941</v>
      </c>
      <c r="AB93" s="23">
        <f>EXP(-LN(2)/2)*AB92+(1-EXP(-LN(2)/2))/(LN(2)/2)*V93*Y93*VLOOKUP('Données projet'!$B$9,Paramètres!$A$1:$I$89,3,0)*0.475*44/12</f>
        <v>7.0905203783957577E-9</v>
      </c>
      <c r="AC93" s="24">
        <f t="shared" si="57"/>
        <v>1.5644997457747145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236</v>
      </c>
      <c r="AG93" s="13">
        <f>VLOOKUP(A93,'Données projet'!$A$61:$I$81,9,0)</f>
        <v>2.6</v>
      </c>
      <c r="AH93" s="13">
        <f t="array" ref="AH93">INDEX(AG:AG,MIN(IF(ISNUMBER(AG93:AG289),ROW(AG93:AG289),"")))</f>
        <v>2.6</v>
      </c>
      <c r="AI93" s="14">
        <f>IF('Données projet'!$A$62&gt;35,AI92+AH93-AQ92,IF(A93&lt;'Données projet'!$A$62,$AF$205^A93,IF(A93='Données projet'!$A$62,'Données projet'!$B$62,AI92+AH93-AQ92)))</f>
        <v>235.99999999999989</v>
      </c>
      <c r="AJ93" s="14">
        <f>AI93*VLOOKUP('Données projet'!$B$10,Paramètres!$A$1:$I$89,3,0)*VLOOKUP('Données projet'!$B$10,Paramètres!$A$1:$I$89,5,0)</f>
        <v>206.16959999999992</v>
      </c>
      <c r="AK93" s="14">
        <f t="shared" si="89"/>
        <v>51.097652263007333</v>
      </c>
      <c r="AL93" s="22">
        <f t="shared" si="58"/>
        <v>448.07379769140431</v>
      </c>
      <c r="AM93" s="62">
        <f t="shared" si="59"/>
        <v>741.40713102473762</v>
      </c>
      <c r="AN93" s="62">
        <f ca="1">AVERAGE(OFFSET($AM$3,0,0,'Données projet'!$E$10+1,1))-AVERAGE(OFFSET($H$3,0,0,'Données projet'!$E$10+1,1))</f>
        <v>327.826081588335</v>
      </c>
      <c r="AO93" s="62">
        <f t="shared" si="90"/>
        <v>348.84706693879735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236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3.0019289737262889</v>
      </c>
      <c r="AW93" s="23">
        <f>EXP(-LN(2)/2)*AW92+(1-EXP(-LN(2)/2))/(LN(2)/2)*AQ93*AT93*VLOOKUP('Données projet'!$B$10,Paramètres!$A$1:$I$89,3,0)*0.475*44/12</f>
        <v>1.3871839852594736E-8</v>
      </c>
      <c r="AX93" s="23">
        <f t="shared" si="60"/>
        <v>3.0019289875981285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-3.4106051316484809E-13</v>
      </c>
      <c r="BE93" s="14">
        <f>BD93*VLOOKUP('Données projet'!$B$11,Paramètres!$A$1:$I$89,3,0)*VLOOKUP('Données projet'!$B$11,Paramètres!$A$1:$I$89,5,0)</f>
        <v>-2.5006556825246659E-13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376.5422416541544</v>
      </c>
      <c r="BJ93" s="62">
        <f t="shared" si="92"/>
        <v>365.76175372075869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7.5331134459986826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7.5331134459986826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405.09126081846171</v>
      </c>
      <c r="CE93" s="62">
        <f t="shared" si="94"/>
        <v>534.22295841722166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3.002002344005648</v>
      </c>
      <c r="CL93" s="23">
        <f>EXP(-LN(2)/25)*CL92+(1-EXP(-LN(2)/25))/(LN(2)/25)*Calculateur!CG93*Calculateur!CI93*VLOOKUP('Données projet'!$B$12,Paramètres!$A$1:$I$89,3,0)*0.475*44/12</f>
        <v>2.656362662446313</v>
      </c>
      <c r="CM93" s="23">
        <f>EXP(-LN(2)/2)*CM92+(1-EXP(-LN(2)/2))/(LN(2)/2)*CG93*CJ93*VLOOKUP('Données projet'!$B$12,Paramètres!$A$1:$I$89,3,0)*0.475*44/12</f>
        <v>1.4804974985612765E-9</v>
      </c>
      <c r="CN93" s="24">
        <f t="shared" si="66"/>
        <v>5.6583650079324581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244.82163392718377</v>
      </c>
      <c r="CZ93" s="62">
        <f t="shared" si="96"/>
        <v>342.30266518164211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1.8006929541687733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1.8006929541687733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-2.2737367544323206E-13</v>
      </c>
      <c r="DP93" s="18">
        <f>DO93*VLOOKUP('Données projet'!$B$14,Paramètres!$A$1:$I$89,3,0)*VLOOKUP('Données projet'!$B$14,Paramètres!$A$1:$I$89,5,0)</f>
        <v>-1.8089849618263545E-13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298.89893065707554</v>
      </c>
      <c r="DU93" s="62">
        <f t="shared" si="98"/>
        <v>294.28794439094878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330</v>
      </c>
      <c r="EH93" s="13">
        <f>VLOOKUP(A93,'Données projet'!$A$191:$I$211,9,0)</f>
        <v>6.4</v>
      </c>
      <c r="EI93" s="13">
        <f t="array" ref="EI93">INDEX(EH:EH,MIN(IF(ISNUMBER(EH93:EH289),ROW(EH93:EH289),"")))</f>
        <v>6.4</v>
      </c>
      <c r="EJ93" s="13">
        <f>IF('Données projet'!$A$192&gt;35,EJ92+EI93-ER92,IF(A93&lt;'Données projet'!$A$192,$EG$205^A93,IF(A93='Données projet'!$A$192,'Données projet'!$B$192,EJ92+EI93-ER92)))</f>
        <v>329.99999999999994</v>
      </c>
      <c r="EK93" s="18">
        <f>EJ93*VLOOKUP('Données projet'!$B$15,Paramètres!$A$1:$I$89,3,0)*VLOOKUP('Données projet'!$B$15,Paramètres!$A$1:$I$89,5,0)</f>
        <v>298.58399999999995</v>
      </c>
      <c r="EL93" s="14">
        <f t="shared" si="99"/>
        <v>70.879533797607607</v>
      </c>
      <c r="EM93" s="22">
        <f t="shared" si="73"/>
        <v>643.48232136416652</v>
      </c>
      <c r="EN93" s="62">
        <f t="shared" si="74"/>
        <v>936.81565469749989</v>
      </c>
      <c r="EO93" s="62">
        <f ca="1">AVERAGE(OFFSET($EN$3,0,0,'Données projet'!$E$15+1,1))-AVERAGE(OFFSET($H$3,0,0,'Données projet'!$E$15+1,1))</f>
        <v>439.06700232017681</v>
      </c>
      <c r="EP93" s="62">
        <f t="shared" si="100"/>
        <v>278.21741231699929</v>
      </c>
      <c r="EQ93" s="16">
        <f>IF(ISNA(VLOOKUP(A93,'Données projet'!$A$191:$I$211,3,0)),0,VLOOKUP(A93,'Données projet'!$A$191:$I$211,3,0))</f>
        <v>15</v>
      </c>
      <c r="ER93" s="16">
        <f>IF(ISNA(VLOOKUP(A93,'Données projet'!$A$191:$I$211,4,0)),0,VLOOKUP(A93,'Données projet'!$A$191:$I$211,4,0))</f>
        <v>28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1.7298950190304168</v>
      </c>
      <c r="EX93" s="23">
        <f>EXP(-LN(2)/2)*EX92+(1-EXP(-LN(2)/2))/(LN(2)/2)*ER93*EU93*VLOOKUP('Données projet'!$B$15,Paramètres!$A$1:$I$89,3,0)*0.475*44/12</f>
        <v>1.3885809708906019E-8</v>
      </c>
      <c r="EY93" s="24">
        <f t="shared" si="75"/>
        <v>1.7298950329162264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330</v>
      </c>
      <c r="FC93" s="13">
        <f>VLOOKUP(A93,'Données projet'!$A$217:$I$237,9,0)</f>
        <v>6.4</v>
      </c>
      <c r="FD93" s="13">
        <f t="array" ref="FD93">INDEX(FC:FC,MIN(IF(ISNUMBER(FC93:FC289),ROW(FC93:FC289),"")))</f>
        <v>6.4</v>
      </c>
      <c r="FE93" s="13">
        <f>IF('Données projet'!$A$218&gt;35,FE92+FD93-FM92,IF(A93&lt;'Données projet'!$A$218,$FB$205^A93,IF(A93='Données projet'!$A$218,'Données projet'!$B$218,FE92+FD93-FM92)))</f>
        <v>329.99999999999994</v>
      </c>
      <c r="FF93" s="18">
        <f>FE93*VLOOKUP('Données projet'!$B$16,Paramètres!$A$1:$I$89,3,0)*VLOOKUP('Données projet'!$B$16,Paramètres!$A$1:$I$89,5,0)</f>
        <v>319.17599999999993</v>
      </c>
      <c r="FG93" s="14">
        <f t="shared" si="101"/>
        <v>75.181878718947672</v>
      </c>
      <c r="FH93" s="22">
        <f t="shared" si="76"/>
        <v>686.83997210216705</v>
      </c>
      <c r="FI93" s="62">
        <f t="shared" si="77"/>
        <v>980.17330543550042</v>
      </c>
      <c r="FJ93" s="62">
        <f ca="1">AVERAGE(OFFSET($FI$3,0,0,'Données projet'!$E$16+1,1))-AVERAGE(OFFSET($H$3,0,0,'Données projet'!$E$16+1,1))</f>
        <v>466.4945858005575</v>
      </c>
      <c r="FK93" s="62">
        <f t="shared" si="102"/>
        <v>294.45557293177131</v>
      </c>
      <c r="FL93" s="16">
        <f>IF(ISNA(VLOOKUP(A93,'Données projet'!$A$217:$I$237,3,0)),0,VLOOKUP(A93,'Données projet'!$A$217:$I$237,3,0))</f>
        <v>15</v>
      </c>
      <c r="FM93" s="16">
        <f>IF(ISNA(VLOOKUP(A93,'Données projet'!$A$217:$I$237,4,0)),0,VLOOKUP(A93,'Données projet'!$A$217:$I$237,4,0))</f>
        <v>28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2.8163533507662791E-8</v>
      </c>
      <c r="FT93" s="24">
        <f t="shared" si="78"/>
        <v>2.8163533507662791E-8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330</v>
      </c>
      <c r="FX93" s="13">
        <f>VLOOKUP(A93,'Données projet'!$A$243:$I$263,9,0)</f>
        <v>6.4</v>
      </c>
      <c r="FY93" s="13">
        <f t="array" ref="FY93">INDEX(FX:FX,MIN(IF(ISNUMBER(FX93:FX289),ROW(FX93:FX289),"")))</f>
        <v>6.4</v>
      </c>
      <c r="FZ93" s="13">
        <f>IF('Données projet'!$A$244&gt;35,FZ92+FY93-GH92,IF(A93&lt;'Données projet'!$A$244,$FW$205^A93,IF(A93='Données projet'!$A$244,'Données projet'!$B$244,FZ92+FY93-GH92)))</f>
        <v>329.99999999999994</v>
      </c>
      <c r="GA93" s="18">
        <f>FZ93*VLOOKUP('Données projet'!$B$17,Paramètres!$A$1:$I$89,3,0)*VLOOKUP('Données projet'!$B$17,Paramètres!$A$1:$I$89,5,0)</f>
        <v>314.02799999999996</v>
      </c>
      <c r="GB93" s="14">
        <f t="shared" si="103"/>
        <v>74.109403804428752</v>
      </c>
      <c r="GC93" s="22">
        <f t="shared" si="79"/>
        <v>676.00597829271317</v>
      </c>
      <c r="GD93" s="62">
        <f t="shared" si="80"/>
        <v>969.33931162604654</v>
      </c>
      <c r="GE93" s="62">
        <f ca="1">AVERAGE(OFFSET($GD$3,0,0,'Données projet'!$E$17+1,1))-AVERAGE(OFFSET($H$3,0,0,'Données projet'!$E$17+1,1))</f>
        <v>459.64120566196812</v>
      </c>
      <c r="GF93" s="62">
        <f t="shared" si="104"/>
        <v>290.39826583283588</v>
      </c>
      <c r="GG93" s="16">
        <f>IF(ISNA(VLOOKUP(A93,'Données projet'!$A$243:$I$263,3,0)),0,VLOOKUP(A93,'Données projet'!$A$243:$I$263,3,0))</f>
        <v>15</v>
      </c>
      <c r="GH93" s="16">
        <f>IF(ISNA(VLOOKUP(A93,'Données projet'!$A$243:$I$263,4,0)),0,VLOOKUP(A93,'Données projet'!$A$243:$I$263,4,0))</f>
        <v>28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2.8421709430404007E-14</v>
      </c>
      <c r="O94" s="14">
        <f>N94*VLOOKUP('Données projet'!$B$9,Paramètres!$A$1:$I$89,3,0)*VLOOKUP('Données projet'!$B$9,Paramètres!$A$1:$I$89,5,0)</f>
        <v>1.5518253349000589E-14</v>
      </c>
      <c r="P94" s="14">
        <f t="shared" si="87"/>
        <v>2.8958815659671149E-13</v>
      </c>
      <c r="Q94" s="22">
        <f t="shared" si="54"/>
        <v>5.3139366398878183E-13</v>
      </c>
      <c r="R94" s="62">
        <f t="shared" si="55"/>
        <v>293.33333333333383</v>
      </c>
      <c r="S94" s="62">
        <f ca="1">AVERAGE(OFFSET($R$3,0,0,'Données projet'!$E$9+1,1))-AVERAGE(OFFSET($H$3,0,0,'Données projet'!$E$9+1,1))</f>
        <v>170.27677128684815</v>
      </c>
      <c r="T94" s="62">
        <f t="shared" si="88"/>
        <v>243.47439640666289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1.5217184110564093</v>
      </c>
      <c r="AB94" s="23">
        <f>EXP(-LN(2)/2)*AB93+(1-EXP(-LN(2)/2))/(LN(2)/2)*V94*Y94*VLOOKUP('Données projet'!$B$9,Paramètres!$A$1:$I$89,3,0)*0.475*44/12</f>
        <v>5.0137550417050452E-9</v>
      </c>
      <c r="AC94" s="24">
        <f t="shared" si="57"/>
        <v>1.5217184160701642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-9.9316821433603781E-14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327.826081588335</v>
      </c>
      <c r="AO94" s="62">
        <f t="shared" si="90"/>
        <v>348.84706693879735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2.9198410680751596</v>
      </c>
      <c r="AW94" s="23">
        <f>EXP(-LN(2)/2)*AW93+(1-EXP(-LN(2)/2))/(LN(2)/2)*AQ94*AT94*VLOOKUP('Données projet'!$B$10,Paramètres!$A$1:$I$89,3,0)*0.475*44/12</f>
        <v>9.8088720273035356E-9</v>
      </c>
      <c r="AX94" s="23">
        <f t="shared" si="60"/>
        <v>2.9198410778840316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-3.4106051316484809E-13</v>
      </c>
      <c r="BE94" s="14">
        <f>BD94*VLOOKUP('Données projet'!$B$11,Paramètres!$A$1:$I$89,3,0)*VLOOKUP('Données projet'!$B$11,Paramètres!$A$1:$I$89,5,0)</f>
        <v>-2.5006556825246659E-13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376.5422416541544</v>
      </c>
      <c r="BJ94" s="62">
        <f t="shared" si="92"/>
        <v>365.76175372075869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7.3853936860681575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7.3853936860681575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405.09126081846171</v>
      </c>
      <c r="CE94" s="62">
        <f t="shared" si="94"/>
        <v>534.22295841722166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2.9431349090803267</v>
      </c>
      <c r="CL94" s="23">
        <f>EXP(-LN(2)/25)*CL93+(1-EXP(-LN(2)/25))/(LN(2)/25)*Calculateur!CG94*Calculateur!CI94*VLOOKUP('Données projet'!$B$12,Paramètres!$A$1:$I$89,3,0)*0.475*44/12</f>
        <v>2.5837242857496774</v>
      </c>
      <c r="CM94" s="23">
        <f>EXP(-LN(2)/2)*CM93+(1-EXP(-LN(2)/2))/(LN(2)/2)*CG94*CJ94*VLOOKUP('Données projet'!$B$12,Paramètres!$A$1:$I$89,3,0)*0.475*44/12</f>
        <v>1.0468698207623995E-9</v>
      </c>
      <c r="CN94" s="24">
        <f t="shared" si="66"/>
        <v>5.5268591958768747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244.82163392718377</v>
      </c>
      <c r="CZ94" s="62">
        <f t="shared" si="96"/>
        <v>342.30266518164211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1.7653824636517761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1.7653824636517761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-2.2737367544323206E-13</v>
      </c>
      <c r="DP94" s="18">
        <f>DO94*VLOOKUP('Données projet'!$B$14,Paramètres!$A$1:$I$89,3,0)*VLOOKUP('Données projet'!$B$14,Paramètres!$A$1:$I$89,5,0)</f>
        <v>-1.8089849618263545E-13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298.89893065707554</v>
      </c>
      <c r="DU94" s="62">
        <f t="shared" si="98"/>
        <v>294.28794439094878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6</v>
      </c>
      <c r="EJ94" s="13">
        <f>IF('Données projet'!$A$192&gt;35,EJ93+EI94-ER93,IF(A94&lt;'Données projet'!$A$192,$EG$205^A94,IF(A94='Données projet'!$A$192,'Données projet'!$B$192,EJ93+EI94-ER93)))</f>
        <v>307.99999999999994</v>
      </c>
      <c r="EK94" s="18">
        <f>EJ94*VLOOKUP('Données projet'!$B$15,Paramètres!$A$1:$I$89,3,0)*VLOOKUP('Données projet'!$B$15,Paramètres!$A$1:$I$89,5,0)</f>
        <v>278.67839999999995</v>
      </c>
      <c r="EL94" s="14">
        <f t="shared" si="99"/>
        <v>66.687639951856809</v>
      </c>
      <c r="EM94" s="22">
        <f t="shared" si="73"/>
        <v>601.51251958281716</v>
      </c>
      <c r="EN94" s="62">
        <f t="shared" si="74"/>
        <v>894.84585291615053</v>
      </c>
      <c r="EO94" s="62">
        <f ca="1">AVERAGE(OFFSET($EN$3,0,0,'Données projet'!$E$15+1,1))-AVERAGE(OFFSET($H$3,0,0,'Données projet'!$E$15+1,1))</f>
        <v>439.06700232017681</v>
      </c>
      <c r="EP94" s="62">
        <f t="shared" si="100"/>
        <v>278.21741231699929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1.6825909487638047</v>
      </c>
      <c r="EX94" s="23">
        <f>EXP(-LN(2)/2)*EX93+(1-EXP(-LN(2)/2))/(LN(2)/2)*ER94*EU94*VLOOKUP('Données projet'!$B$15,Paramètres!$A$1:$I$89,3,0)*0.475*44/12</f>
        <v>9.8187502074334452E-9</v>
      </c>
      <c r="EY94" s="24">
        <f t="shared" si="75"/>
        <v>1.6825909585825549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6</v>
      </c>
      <c r="FE94" s="13">
        <f>IF('Données projet'!$A$218&gt;35,FE93+FD94-FM93,IF(A94&lt;'Données projet'!$A$218,$FB$205^A94,IF(A94='Données projet'!$A$218,'Données projet'!$B$218,FE93+FD94-FM93)))</f>
        <v>307.99999999999994</v>
      </c>
      <c r="FF94" s="18">
        <f>FE94*VLOOKUP('Données projet'!$B$16,Paramètres!$A$1:$I$89,3,0)*VLOOKUP('Données projet'!$B$16,Paramètres!$A$1:$I$89,5,0)</f>
        <v>297.89759999999995</v>
      </c>
      <c r="FG94" s="14">
        <f t="shared" si="101"/>
        <v>70.735539446826479</v>
      </c>
      <c r="FH94" s="22">
        <f t="shared" si="76"/>
        <v>642.03605120322266</v>
      </c>
      <c r="FI94" s="62">
        <f t="shared" si="77"/>
        <v>935.36938453655603</v>
      </c>
      <c r="FJ94" s="62">
        <f ca="1">AVERAGE(OFFSET($FI$3,0,0,'Données projet'!$E$16+1,1))-AVERAGE(OFFSET($H$3,0,0,'Données projet'!$E$16+1,1))</f>
        <v>466.4945858005575</v>
      </c>
      <c r="FK94" s="62">
        <f t="shared" si="102"/>
        <v>294.45557293177131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1.9914625525442912E-8</v>
      </c>
      <c r="FT94" s="24">
        <f t="shared" si="78"/>
        <v>1.9914625525442912E-8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6</v>
      </c>
      <c r="FZ94" s="13">
        <f>IF('Données projet'!$A$244&gt;35,FZ93+FY94-GH93,IF(A94&lt;'Données projet'!$A$244,$FW$205^A94,IF(A94='Données projet'!$A$244,'Données projet'!$B$244,FZ93+FY94-GH93)))</f>
        <v>307.99999999999994</v>
      </c>
      <c r="GA94" s="18">
        <f>FZ94*VLOOKUP('Données projet'!$B$17,Paramètres!$A$1:$I$89,3,0)*VLOOKUP('Données projet'!$B$17,Paramètres!$A$1:$I$89,5,0)</f>
        <v>293.09279999999995</v>
      </c>
      <c r="GB94" s="14">
        <f t="shared" si="103"/>
        <v>69.726491882249377</v>
      </c>
      <c r="GC94" s="22">
        <f t="shared" si="79"/>
        <v>631.9102666949176</v>
      </c>
      <c r="GD94" s="62">
        <f t="shared" si="80"/>
        <v>925.24360002825097</v>
      </c>
      <c r="GE94" s="62">
        <f ca="1">AVERAGE(OFFSET($GD$3,0,0,'Données projet'!$E$17+1,1))-AVERAGE(OFFSET($H$3,0,0,'Données projet'!$E$17+1,1))</f>
        <v>459.64120566196812</v>
      </c>
      <c r="GF94" s="62">
        <f t="shared" si="104"/>
        <v>290.39826583283588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2.8421709430404007E-14</v>
      </c>
      <c r="O95" s="14">
        <f>N95*VLOOKUP('Données projet'!$B$9,Paramètres!$A$1:$I$89,3,0)*VLOOKUP('Données projet'!$B$9,Paramètres!$A$1:$I$89,5,0)</f>
        <v>1.5518253349000589E-14</v>
      </c>
      <c r="P95" s="14">
        <f t="shared" si="87"/>
        <v>2.8958815659671149E-13</v>
      </c>
      <c r="Q95" s="22">
        <f t="shared" si="54"/>
        <v>5.3139366398878183E-13</v>
      </c>
      <c r="R95" s="62">
        <f t="shared" si="55"/>
        <v>293.33333333333383</v>
      </c>
      <c r="S95" s="62">
        <f ca="1">AVERAGE(OFFSET($R$3,0,0,'Données projet'!$E$9+1,1))-AVERAGE(OFFSET($H$3,0,0,'Données projet'!$E$9+1,1))</f>
        <v>170.27677128684815</v>
      </c>
      <c r="T95" s="62">
        <f t="shared" si="88"/>
        <v>243.47439640666289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1.4801069410823784</v>
      </c>
      <c r="AB95" s="23">
        <f>EXP(-LN(2)/2)*AB94+(1-EXP(-LN(2)/2))/(LN(2)/2)*V95*Y95*VLOOKUP('Données projet'!$B$9,Paramètres!$A$1:$I$89,3,0)*0.475*44/12</f>
        <v>3.5452601891978789E-9</v>
      </c>
      <c r="AC95" s="24">
        <f t="shared" si="57"/>
        <v>1.4801069446276385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-9.9316821433603781E-14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327.826081588335</v>
      </c>
      <c r="AO95" s="62">
        <f t="shared" si="90"/>
        <v>348.84706693879735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2.8399978605208762</v>
      </c>
      <c r="AW95" s="23">
        <f>EXP(-LN(2)/2)*AW94+(1-EXP(-LN(2)/2))/(LN(2)/2)*AQ95*AT95*VLOOKUP('Données projet'!$B$10,Paramètres!$A$1:$I$89,3,0)*0.475*44/12</f>
        <v>6.935919926297368E-9</v>
      </c>
      <c r="AX95" s="23">
        <f t="shared" si="60"/>
        <v>2.8399978674567961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-3.4106051316484809E-13</v>
      </c>
      <c r="BE95" s="14">
        <f>BD95*VLOOKUP('Données projet'!$B$11,Paramètres!$A$1:$I$89,3,0)*VLOOKUP('Données projet'!$B$11,Paramètres!$A$1:$I$89,5,0)</f>
        <v>-2.5006556825246659E-13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376.5422416541544</v>
      </c>
      <c r="BJ95" s="62">
        <f t="shared" si="92"/>
        <v>365.76175372075869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7.2405706205297129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7.2405706205297129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405.09126081846171</v>
      </c>
      <c r="CE95" s="62">
        <f t="shared" si="94"/>
        <v>534.22295841722166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2.8854218286483011</v>
      </c>
      <c r="CL95" s="23">
        <f>EXP(-LN(2)/25)*CL94+(1-EXP(-LN(2)/25))/(LN(2)/25)*Calculateur!CG95*Calculateur!CI95*VLOOKUP('Données projet'!$B$12,Paramètres!$A$1:$I$89,3,0)*0.475*44/12</f>
        <v>2.5130722092836972</v>
      </c>
      <c r="CM95" s="23">
        <f>EXP(-LN(2)/2)*CM94+(1-EXP(-LN(2)/2))/(LN(2)/2)*CG95*CJ95*VLOOKUP('Données projet'!$B$12,Paramètres!$A$1:$I$89,3,0)*0.475*44/12</f>
        <v>7.4024874928063826E-10</v>
      </c>
      <c r="CN95" s="24">
        <f t="shared" si="66"/>
        <v>5.3984940386722471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244.82163392718377</v>
      </c>
      <c r="CZ95" s="62">
        <f t="shared" si="96"/>
        <v>342.30266518164211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1.7307643903165446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1.7307643903165446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-2.2737367544323206E-13</v>
      </c>
      <c r="DP95" s="18">
        <f>DO95*VLOOKUP('Données projet'!$B$14,Paramètres!$A$1:$I$89,3,0)*VLOOKUP('Données projet'!$B$14,Paramètres!$A$1:$I$89,5,0)</f>
        <v>-1.8089849618263545E-13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298.89893065707554</v>
      </c>
      <c r="DU95" s="62">
        <f t="shared" si="98"/>
        <v>294.28794439094878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6</v>
      </c>
      <c r="EJ95" s="13">
        <f>IF('Données projet'!$A$192&gt;35,EJ94+EI95-ER94,IF(A95&lt;'Données projet'!$A$192,$EG$205^A95,IF(A95='Données projet'!$A$192,'Données projet'!$B$192,EJ94+EI95-ER94)))</f>
        <v>313.99999999999994</v>
      </c>
      <c r="EK95" s="18">
        <f>EJ95*VLOOKUP('Données projet'!$B$15,Paramètres!$A$1:$I$89,3,0)*VLOOKUP('Données projet'!$B$15,Paramètres!$A$1:$I$89,5,0)</f>
        <v>284.10719999999992</v>
      </c>
      <c r="EL95" s="14">
        <f t="shared" si="99"/>
        <v>67.834241327943715</v>
      </c>
      <c r="EM95" s="22">
        <f t="shared" si="73"/>
        <v>612.96467697950186</v>
      </c>
      <c r="EN95" s="62">
        <f t="shared" si="74"/>
        <v>906.29801031283523</v>
      </c>
      <c r="EO95" s="62">
        <f ca="1">AVERAGE(OFFSET($EN$3,0,0,'Données projet'!$E$15+1,1))-AVERAGE(OFFSET($H$3,0,0,'Données projet'!$E$15+1,1))</f>
        <v>439.06700232017681</v>
      </c>
      <c r="EP95" s="62">
        <f t="shared" si="100"/>
        <v>278.21741231699929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1.6365804107862461</v>
      </c>
      <c r="EX95" s="23">
        <f>EXP(-LN(2)/2)*EX94+(1-EXP(-LN(2)/2))/(LN(2)/2)*ER95*EU95*VLOOKUP('Données projet'!$B$15,Paramètres!$A$1:$I$89,3,0)*0.475*44/12</f>
        <v>6.9429048544530093E-9</v>
      </c>
      <c r="EY95" s="24">
        <f t="shared" si="75"/>
        <v>1.636580417729151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6</v>
      </c>
      <c r="FE95" s="13">
        <f>IF('Données projet'!$A$218&gt;35,FE94+FD95-FM94,IF(A95&lt;'Données projet'!$A$218,$FB$205^A95,IF(A95='Données projet'!$A$218,'Données projet'!$B$218,FE94+FD95-FM94)))</f>
        <v>313.99999999999994</v>
      </c>
      <c r="FF95" s="18">
        <f>FE95*VLOOKUP('Données projet'!$B$16,Paramètres!$A$1:$I$89,3,0)*VLOOKUP('Données projet'!$B$16,Paramètres!$A$1:$I$89,5,0)</f>
        <v>303.70079999999996</v>
      </c>
      <c r="FG95" s="14">
        <f t="shared" si="101"/>
        <v>71.951738834397148</v>
      </c>
      <c r="FH95" s="22">
        <f t="shared" si="76"/>
        <v>654.26150513657501</v>
      </c>
      <c r="FI95" s="62">
        <f t="shared" si="77"/>
        <v>947.59483846990838</v>
      </c>
      <c r="FJ95" s="62">
        <f ca="1">AVERAGE(OFFSET($FI$3,0,0,'Données projet'!$E$16+1,1))-AVERAGE(OFFSET($H$3,0,0,'Données projet'!$E$16+1,1))</f>
        <v>466.4945858005575</v>
      </c>
      <c r="FK95" s="62">
        <f t="shared" si="102"/>
        <v>294.45557293177131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1.4081766753831396E-8</v>
      </c>
      <c r="FT95" s="24">
        <f t="shared" si="78"/>
        <v>1.4081766753831396E-8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6</v>
      </c>
      <c r="FZ95" s="13">
        <f>IF('Données projet'!$A$244&gt;35,FZ94+FY95-GH94,IF(A95&lt;'Données projet'!$A$244,$FW$205^A95,IF(A95='Données projet'!$A$244,'Données projet'!$B$244,FZ94+FY95-GH94)))</f>
        <v>313.99999999999994</v>
      </c>
      <c r="GA95" s="18">
        <f>FZ95*VLOOKUP('Données projet'!$B$17,Paramètres!$A$1:$I$89,3,0)*VLOOKUP('Données projet'!$B$17,Paramètres!$A$1:$I$89,5,0)</f>
        <v>298.80239999999998</v>
      </c>
      <c r="GB95" s="14">
        <f t="shared" si="103"/>
        <v>70.925342097965753</v>
      </c>
      <c r="GC95" s="22">
        <f t="shared" si="79"/>
        <v>643.94248415395703</v>
      </c>
      <c r="GD95" s="62">
        <f t="shared" si="80"/>
        <v>937.2758174872904</v>
      </c>
      <c r="GE95" s="62">
        <f ca="1">AVERAGE(OFFSET($GD$3,0,0,'Données projet'!$E$17+1,1))-AVERAGE(OFFSET($H$3,0,0,'Données projet'!$E$17+1,1))</f>
        <v>459.64120566196812</v>
      </c>
      <c r="GF95" s="62">
        <f t="shared" si="104"/>
        <v>290.39826583283588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2.8421709430404007E-14</v>
      </c>
      <c r="O96" s="14">
        <f>N96*VLOOKUP('Données projet'!$B$9,Paramètres!$A$1:$I$89,3,0)*VLOOKUP('Données projet'!$B$9,Paramètres!$A$1:$I$89,5,0)</f>
        <v>1.5518253349000589E-14</v>
      </c>
      <c r="P96" s="14">
        <f t="shared" si="87"/>
        <v>2.8958815659671149E-13</v>
      </c>
      <c r="Q96" s="22">
        <f t="shared" si="54"/>
        <v>5.3139366398878183E-13</v>
      </c>
      <c r="R96" s="62">
        <f t="shared" si="55"/>
        <v>293.33333333333383</v>
      </c>
      <c r="S96" s="62">
        <f ca="1">AVERAGE(OFFSET($R$3,0,0,'Données projet'!$E$9+1,1))-AVERAGE(OFFSET($H$3,0,0,'Données projet'!$E$9+1,1))</f>
        <v>170.27677128684815</v>
      </c>
      <c r="T96" s="62">
        <f t="shared" si="88"/>
        <v>243.47439640666289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1.4396333389430396</v>
      </c>
      <c r="AB96" s="23">
        <f>EXP(-LN(2)/2)*AB95+(1-EXP(-LN(2)/2))/(LN(2)/2)*V96*Y96*VLOOKUP('Données projet'!$B$9,Paramètres!$A$1:$I$89,3,0)*0.475*44/12</f>
        <v>2.5068775208525226E-9</v>
      </c>
      <c r="AC96" s="24">
        <f t="shared" si="57"/>
        <v>1.4396333414499172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-9.9316821433603781E-14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327.826081588335</v>
      </c>
      <c r="AO96" s="62">
        <f t="shared" si="90"/>
        <v>348.84706693879735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2.7623379696759365</v>
      </c>
      <c r="AW96" s="23">
        <f>EXP(-LN(2)/2)*AW95+(1-EXP(-LN(2)/2))/(LN(2)/2)*AQ96*AT96*VLOOKUP('Données projet'!$B$10,Paramètres!$A$1:$I$89,3,0)*0.475*44/12</f>
        <v>4.9044360136517678E-9</v>
      </c>
      <c r="AX96" s="23">
        <f t="shared" si="60"/>
        <v>2.7623379745803724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-3.4106051316484809E-13</v>
      </c>
      <c r="BE96" s="14">
        <f>BD96*VLOOKUP('Données projet'!$B$11,Paramètres!$A$1:$I$89,3,0)*VLOOKUP('Données projet'!$B$11,Paramètres!$A$1:$I$89,5,0)</f>
        <v>-2.5006556825246659E-13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376.5422416541544</v>
      </c>
      <c r="BJ96" s="62">
        <f t="shared" si="92"/>
        <v>365.76175372075869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7.0985874469731289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7.0985874469731289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405.09126081846171</v>
      </c>
      <c r="CE96" s="62">
        <f t="shared" si="94"/>
        <v>534.22295841722166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2.8288404665220446</v>
      </c>
      <c r="CL96" s="23">
        <f>EXP(-LN(2)/25)*CL95+(1-EXP(-LN(2)/25))/(LN(2)/25)*Calculateur!CG96*Calculateur!CI96*VLOOKUP('Données projet'!$B$12,Paramètres!$A$1:$I$89,3,0)*0.475*44/12</f>
        <v>2.4443521175641107</v>
      </c>
      <c r="CM96" s="23">
        <f>EXP(-LN(2)/2)*CM95+(1-EXP(-LN(2)/2))/(LN(2)/2)*CG96*CJ96*VLOOKUP('Données projet'!$B$12,Paramètres!$A$1:$I$89,3,0)*0.475*44/12</f>
        <v>5.2343491038119975E-10</v>
      </c>
      <c r="CN96" s="24">
        <f t="shared" si="66"/>
        <v>5.27319258460959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244.82163392718377</v>
      </c>
      <c r="CZ96" s="62">
        <f t="shared" si="96"/>
        <v>342.30266518164211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1.6968251562844774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1.6968251562844774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-2.2737367544323206E-13</v>
      </c>
      <c r="DP96" s="18">
        <f>DO96*VLOOKUP('Données projet'!$B$14,Paramètres!$A$1:$I$89,3,0)*VLOOKUP('Données projet'!$B$14,Paramètres!$A$1:$I$89,5,0)</f>
        <v>-1.8089849618263545E-13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298.89893065707554</v>
      </c>
      <c r="DU96" s="62">
        <f t="shared" si="98"/>
        <v>294.28794439094878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6</v>
      </c>
      <c r="EJ96" s="13">
        <f>IF('Données projet'!$A$192&gt;35,EJ95+EI96-ER95,IF(A96&lt;'Données projet'!$A$192,$EG$205^A96,IF(A96='Données projet'!$A$192,'Données projet'!$B$192,EJ95+EI96-ER95)))</f>
        <v>319.99999999999994</v>
      </c>
      <c r="EK96" s="18">
        <f>EJ96*VLOOKUP('Données projet'!$B$15,Paramètres!$A$1:$I$89,3,0)*VLOOKUP('Données projet'!$B$15,Paramètres!$A$1:$I$89,5,0)</f>
        <v>289.53599999999994</v>
      </c>
      <c r="EL96" s="14">
        <f t="shared" si="99"/>
        <v>68.97829509904436</v>
      </c>
      <c r="EM96" s="22">
        <f t="shared" si="73"/>
        <v>624.41239729750214</v>
      </c>
      <c r="EN96" s="62">
        <f t="shared" si="74"/>
        <v>917.7457306308354</v>
      </c>
      <c r="EO96" s="62">
        <f ca="1">AVERAGE(OFFSET($EN$3,0,0,'Données projet'!$E$15+1,1))-AVERAGE(OFFSET($H$3,0,0,'Données projet'!$E$15+1,1))</f>
        <v>439.06700232017681</v>
      </c>
      <c r="EP96" s="62">
        <f t="shared" si="100"/>
        <v>278.21741231699929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1.5918280333892727</v>
      </c>
      <c r="EX96" s="23">
        <f>EXP(-LN(2)/2)*EX95+(1-EXP(-LN(2)/2))/(LN(2)/2)*ER96*EU96*VLOOKUP('Données projet'!$B$15,Paramètres!$A$1:$I$89,3,0)*0.475*44/12</f>
        <v>4.9093751037167226E-9</v>
      </c>
      <c r="EY96" s="24">
        <f t="shared" si="75"/>
        <v>1.5918280382986478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6</v>
      </c>
      <c r="FE96" s="13">
        <f>IF('Données projet'!$A$218&gt;35,FE95+FD96-FM95,IF(A96&lt;'Données projet'!$A$218,$FB$205^A96,IF(A96='Données projet'!$A$218,'Données projet'!$B$218,FE95+FD96-FM95)))</f>
        <v>319.99999999999994</v>
      </c>
      <c r="FF96" s="18">
        <f>FE96*VLOOKUP('Données projet'!$B$16,Paramètres!$A$1:$I$89,3,0)*VLOOKUP('Données projet'!$B$16,Paramètres!$A$1:$I$89,5,0)</f>
        <v>309.50399999999996</v>
      </c>
      <c r="FG96" s="14">
        <f t="shared" si="101"/>
        <v>73.165235978896504</v>
      </c>
      <c r="FH96" s="22">
        <f t="shared" si="76"/>
        <v>666.48225266324471</v>
      </c>
      <c r="FI96" s="62">
        <f t="shared" si="77"/>
        <v>959.81558599657797</v>
      </c>
      <c r="FJ96" s="62">
        <f ca="1">AVERAGE(OFFSET($FI$3,0,0,'Données projet'!$E$16+1,1))-AVERAGE(OFFSET($H$3,0,0,'Données projet'!$E$16+1,1))</f>
        <v>466.4945858005575</v>
      </c>
      <c r="FK96" s="62">
        <f t="shared" si="102"/>
        <v>294.45557293177131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9.9573127627214562E-9</v>
      </c>
      <c r="FT96" s="24">
        <f t="shared" si="78"/>
        <v>9.9573127627214562E-9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6</v>
      </c>
      <c r="FZ96" s="13">
        <f>IF('Données projet'!$A$244&gt;35,FZ95+FY96-GH95,IF(A96&lt;'Données projet'!$A$244,$FW$205^A96,IF(A96='Données projet'!$A$244,'Données projet'!$B$244,FZ95+FY96-GH95)))</f>
        <v>319.99999999999994</v>
      </c>
      <c r="GA96" s="18">
        <f>FZ96*VLOOKUP('Données projet'!$B$17,Paramètres!$A$1:$I$89,3,0)*VLOOKUP('Données projet'!$B$17,Paramètres!$A$1:$I$89,5,0)</f>
        <v>304.51199999999994</v>
      </c>
      <c r="GB96" s="14">
        <f t="shared" si="103"/>
        <v>72.121528618302861</v>
      </c>
      <c r="GC96" s="22">
        <f t="shared" si="79"/>
        <v>655.9700623435441</v>
      </c>
      <c r="GD96" s="62">
        <f t="shared" si="80"/>
        <v>949.30339567687747</v>
      </c>
      <c r="GE96" s="62">
        <f ca="1">AVERAGE(OFFSET($GD$3,0,0,'Données projet'!$E$17+1,1))-AVERAGE(OFFSET($H$3,0,0,'Données projet'!$E$17+1,1))</f>
        <v>459.64120566196812</v>
      </c>
      <c r="GF96" s="62">
        <f t="shared" si="104"/>
        <v>290.39826583283588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2.8421709430404007E-14</v>
      </c>
      <c r="O97" s="14">
        <f>N97*VLOOKUP('Données projet'!$B$9,Paramètres!$A$1:$I$89,3,0)*VLOOKUP('Données projet'!$B$9,Paramètres!$A$1:$I$89,5,0)</f>
        <v>1.5518253349000589E-14</v>
      </c>
      <c r="P97" s="14">
        <f t="shared" si="87"/>
        <v>2.8958815659671149E-13</v>
      </c>
      <c r="Q97" s="22">
        <f t="shared" si="54"/>
        <v>5.3139366398878183E-13</v>
      </c>
      <c r="R97" s="62">
        <f t="shared" si="55"/>
        <v>293.33333333333383</v>
      </c>
      <c r="S97" s="62">
        <f ca="1">AVERAGE(OFFSET($R$3,0,0,'Données projet'!$E$9+1,1))-AVERAGE(OFFSET($H$3,0,0,'Données projet'!$E$9+1,1))</f>
        <v>170.27677128684815</v>
      </c>
      <c r="T97" s="62">
        <f t="shared" si="88"/>
        <v>243.47439640666289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1.4002664895826151</v>
      </c>
      <c r="AB97" s="23">
        <f>EXP(-LN(2)/2)*AB96+(1-EXP(-LN(2)/2))/(LN(2)/2)*V97*Y97*VLOOKUP('Données projet'!$B$9,Paramètres!$A$1:$I$89,3,0)*0.475*44/12</f>
        <v>1.7726300945989394E-9</v>
      </c>
      <c r="AC97" s="24">
        <f t="shared" si="57"/>
        <v>1.4002664913552452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-9.9316821433603781E-14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327.826081588335</v>
      </c>
      <c r="AO97" s="62">
        <f t="shared" si="90"/>
        <v>348.84706693879735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2.6868016926301075</v>
      </c>
      <c r="AW97" s="23">
        <f>EXP(-LN(2)/2)*AW96+(1-EXP(-LN(2)/2))/(LN(2)/2)*AQ97*AT97*VLOOKUP('Données projet'!$B$10,Paramètres!$A$1:$I$89,3,0)*0.475*44/12</f>
        <v>3.467959963148684E-9</v>
      </c>
      <c r="AX97" s="23">
        <f t="shared" si="60"/>
        <v>2.6868016960980676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-3.4106051316484809E-13</v>
      </c>
      <c r="BE97" s="14">
        <f>BD97*VLOOKUP('Données projet'!$B$11,Paramètres!$A$1:$I$89,3,0)*VLOOKUP('Données projet'!$B$11,Paramètres!$A$1:$I$89,5,0)</f>
        <v>-2.5006556825246659E-13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376.5422416541544</v>
      </c>
      <c r="BJ97" s="62">
        <f t="shared" si="92"/>
        <v>365.76175372075869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6.9593884768488055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6.9593884768488055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405.09126081846171</v>
      </c>
      <c r="CE97" s="62">
        <f t="shared" si="94"/>
        <v>534.22295841722166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2.7733686303958605</v>
      </c>
      <c r="CL97" s="23">
        <f>EXP(-LN(2)/25)*CL96+(1-EXP(-LN(2)/25))/(LN(2)/25)*Calculateur!CG97*Calculateur!CI97*VLOOKUP('Données projet'!$B$12,Paramètres!$A$1:$I$89,3,0)*0.475*44/12</f>
        <v>2.3775111803664291</v>
      </c>
      <c r="CM97" s="23">
        <f>EXP(-LN(2)/2)*CM96+(1-EXP(-LN(2)/2))/(LN(2)/2)*CG97*CJ97*VLOOKUP('Données projet'!$B$12,Paramètres!$A$1:$I$89,3,0)*0.475*44/12</f>
        <v>3.7012437464031913E-10</v>
      </c>
      <c r="CN97" s="24">
        <f t="shared" si="66"/>
        <v>5.1508798111324134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244.82163392718377</v>
      </c>
      <c r="CZ97" s="62">
        <f t="shared" si="96"/>
        <v>342.30266518164211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1.6635514499308901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1.6635514499308901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-2.2737367544323206E-13</v>
      </c>
      <c r="DP97" s="18">
        <f>DO97*VLOOKUP('Données projet'!$B$14,Paramètres!$A$1:$I$89,3,0)*VLOOKUP('Données projet'!$B$14,Paramètres!$A$1:$I$89,5,0)</f>
        <v>-1.8089849618263545E-13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298.89893065707554</v>
      </c>
      <c r="DU97" s="62">
        <f t="shared" si="98"/>
        <v>294.28794439094878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6</v>
      </c>
      <c r="EJ97" s="13">
        <f>IF('Données projet'!$A$192&gt;35,EJ96+EI97-ER96,IF(A97&lt;'Données projet'!$A$192,$EG$205^A97,IF(A97='Données projet'!$A$192,'Données projet'!$B$192,EJ96+EI97-ER96)))</f>
        <v>325.99999999999994</v>
      </c>
      <c r="EK97" s="18">
        <f>EJ97*VLOOKUP('Données projet'!$B$15,Paramètres!$A$1:$I$89,3,0)*VLOOKUP('Données projet'!$B$15,Paramètres!$A$1:$I$89,5,0)</f>
        <v>294.96479999999997</v>
      </c>
      <c r="EL97" s="14">
        <f t="shared" si="99"/>
        <v>70.119854541045001</v>
      </c>
      <c r="EM97" s="22">
        <f t="shared" si="73"/>
        <v>635.85577332565333</v>
      </c>
      <c r="EN97" s="62">
        <f t="shared" si="74"/>
        <v>929.1891066589867</v>
      </c>
      <c r="EO97" s="62">
        <f ca="1">AVERAGE(OFFSET($EN$3,0,0,'Données projet'!$E$15+1,1))-AVERAGE(OFFSET($H$3,0,0,'Données projet'!$E$15+1,1))</f>
        <v>439.06700232017681</v>
      </c>
      <c r="EP97" s="62">
        <f t="shared" si="100"/>
        <v>278.21741231699929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1.548299412105645</v>
      </c>
      <c r="EX97" s="23">
        <f>EXP(-LN(2)/2)*EX96+(1-EXP(-LN(2)/2))/(LN(2)/2)*ER97*EU97*VLOOKUP('Données projet'!$B$15,Paramètres!$A$1:$I$89,3,0)*0.475*44/12</f>
        <v>3.4714524272265047E-9</v>
      </c>
      <c r="EY97" s="24">
        <f t="shared" si="75"/>
        <v>1.5482994155770975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6</v>
      </c>
      <c r="FE97" s="13">
        <f>IF('Données projet'!$A$218&gt;35,FE96+FD97-FM96,IF(A97&lt;'Données projet'!$A$218,$FB$205^A97,IF(A97='Données projet'!$A$218,'Données projet'!$B$218,FE96+FD97-FM96)))</f>
        <v>325.99999999999994</v>
      </c>
      <c r="FF97" s="18">
        <f>FE97*VLOOKUP('Données projet'!$B$16,Paramètres!$A$1:$I$89,3,0)*VLOOKUP('Données projet'!$B$16,Paramètres!$A$1:$I$89,5,0)</f>
        <v>315.30719999999997</v>
      </c>
      <c r="FG97" s="14">
        <f t="shared" si="101"/>
        <v>74.376087390025049</v>
      </c>
      <c r="FH97" s="22">
        <f t="shared" si="76"/>
        <v>678.69839220429355</v>
      </c>
      <c r="FI97" s="62">
        <f t="shared" si="77"/>
        <v>972.03172553762693</v>
      </c>
      <c r="FJ97" s="62">
        <f ca="1">AVERAGE(OFFSET($FI$3,0,0,'Données projet'!$E$16+1,1))-AVERAGE(OFFSET($H$3,0,0,'Données projet'!$E$16+1,1))</f>
        <v>466.4945858005575</v>
      </c>
      <c r="FK97" s="62">
        <f t="shared" si="102"/>
        <v>294.45557293177131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7.0408833769156978E-9</v>
      </c>
      <c r="FT97" s="24">
        <f t="shared" si="78"/>
        <v>7.0408833769156978E-9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6</v>
      </c>
      <c r="FZ97" s="13">
        <f>IF('Données projet'!$A$244&gt;35,FZ96+FY97-GH96,IF(A97&lt;'Données projet'!$A$244,$FW$205^A97,IF(A97='Données projet'!$A$244,'Données projet'!$B$244,FZ96+FY97-GH96)))</f>
        <v>325.99999999999994</v>
      </c>
      <c r="GA97" s="18">
        <f>FZ97*VLOOKUP('Données projet'!$B$17,Paramètres!$A$1:$I$89,3,0)*VLOOKUP('Données projet'!$B$17,Paramètres!$A$1:$I$89,5,0)</f>
        <v>310.22159999999997</v>
      </c>
      <c r="GB97" s="14">
        <f t="shared" si="103"/>
        <v>73.315107146846231</v>
      </c>
      <c r="GC97" s="22">
        <f t="shared" si="79"/>
        <v>667.99309828075707</v>
      </c>
      <c r="GD97" s="62">
        <f t="shared" si="80"/>
        <v>961.32643161409032</v>
      </c>
      <c r="GE97" s="62">
        <f ca="1">AVERAGE(OFFSET($GD$3,0,0,'Données projet'!$E$17+1,1))-AVERAGE(OFFSET($H$3,0,0,'Données projet'!$E$17+1,1))</f>
        <v>459.64120566196812</v>
      </c>
      <c r="GF97" s="62">
        <f t="shared" si="104"/>
        <v>290.39826583283588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2.8421709430404007E-14</v>
      </c>
      <c r="O98" s="14">
        <f>N98*VLOOKUP('Données projet'!$B$9,Paramètres!$A$1:$I$89,3,0)*VLOOKUP('Données projet'!$B$9,Paramètres!$A$1:$I$89,5,0)</f>
        <v>1.5518253349000589E-14</v>
      </c>
      <c r="P98" s="14">
        <f t="shared" si="87"/>
        <v>2.8958815659671149E-13</v>
      </c>
      <c r="Q98" s="22">
        <f t="shared" si="54"/>
        <v>5.3139366398878183E-13</v>
      </c>
      <c r="R98" s="62">
        <f t="shared" si="55"/>
        <v>293.33333333333383</v>
      </c>
      <c r="S98" s="62">
        <f ca="1">AVERAGE(OFFSET($R$3,0,0,'Données projet'!$E$9+1,1))-AVERAGE(OFFSET($H$3,0,0,'Données projet'!$E$9+1,1))</f>
        <v>170.27677128684815</v>
      </c>
      <c r="T98" s="62">
        <f t="shared" si="88"/>
        <v>243.47439640666289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1.3619761287881642</v>
      </c>
      <c r="AB98" s="23">
        <f>EXP(-LN(2)/2)*AB97+(1-EXP(-LN(2)/2))/(LN(2)/2)*V98*Y98*VLOOKUP('Données projet'!$B$9,Paramètres!$A$1:$I$89,3,0)*0.475*44/12</f>
        <v>1.2534387604262613E-9</v>
      </c>
      <c r="AC98" s="24">
        <f t="shared" si="57"/>
        <v>1.3619761300416029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-9.9316821433603781E-14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327.826081588335</v>
      </c>
      <c r="AO98" s="62">
        <f t="shared" si="90"/>
        <v>348.84706693879735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2.613330959052377</v>
      </c>
      <c r="AW98" s="23">
        <f>EXP(-LN(2)/2)*AW97+(1-EXP(-LN(2)/2))/(LN(2)/2)*AQ98*AT98*VLOOKUP('Données projet'!$B$10,Paramètres!$A$1:$I$89,3,0)*0.475*44/12</f>
        <v>2.4522180068258839E-9</v>
      </c>
      <c r="AX98" s="23">
        <f t="shared" si="60"/>
        <v>2.613330961504595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-3.4106051316484809E-13</v>
      </c>
      <c r="BE98" s="14">
        <f>BD98*VLOOKUP('Données projet'!$B$11,Paramètres!$A$1:$I$89,3,0)*VLOOKUP('Données projet'!$B$11,Paramètres!$A$1:$I$89,5,0)</f>
        <v>-2.5006556825246659E-13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376.5422416541544</v>
      </c>
      <c r="BJ98" s="62">
        <f t="shared" si="92"/>
        <v>365.76175372075869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6.8229191136256313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6.8229191136256313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405.09126081846171</v>
      </c>
      <c r="CE98" s="62">
        <f t="shared" si="94"/>
        <v>534.22295841722166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2.7189845631416318</v>
      </c>
      <c r="CL98" s="23">
        <f>EXP(-LN(2)/25)*CL97+(1-EXP(-LN(2)/25))/(LN(2)/25)*Calculateur!CG98*Calculateur!CI98*VLOOKUP('Données projet'!$B$12,Paramètres!$A$1:$I$89,3,0)*0.475*44/12</f>
        <v>2.3124980121114298</v>
      </c>
      <c r="CM98" s="23">
        <f>EXP(-LN(2)/2)*CM97+(1-EXP(-LN(2)/2))/(LN(2)/2)*CG98*CJ98*VLOOKUP('Données projet'!$B$12,Paramètres!$A$1:$I$89,3,0)*0.475*44/12</f>
        <v>2.6171745519059987E-10</v>
      </c>
      <c r="CN98" s="24">
        <f t="shared" si="66"/>
        <v>5.0314825755147794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244.82163392718377</v>
      </c>
      <c r="CZ98" s="62">
        <f t="shared" si="96"/>
        <v>342.30266518164211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1.6309302206639398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1.6309302206639398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-2.2737367544323206E-13</v>
      </c>
      <c r="DP98" s="18">
        <f>DO98*VLOOKUP('Données projet'!$B$14,Paramètres!$A$1:$I$89,3,0)*VLOOKUP('Données projet'!$B$14,Paramètres!$A$1:$I$89,5,0)</f>
        <v>-1.8089849618263545E-13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298.89893065707554</v>
      </c>
      <c r="DU98" s="62">
        <f t="shared" si="98"/>
        <v>294.28794439094878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332</v>
      </c>
      <c r="EH98" s="13">
        <f>VLOOKUP(A98,'Données projet'!$A$191:$I$211,9,0)</f>
        <v>6</v>
      </c>
      <c r="EI98" s="13">
        <f t="array" ref="EI98">INDEX(EH:EH,MIN(IF(ISNUMBER(EH98:EH294),ROW(EH98:EH294),"")))</f>
        <v>6</v>
      </c>
      <c r="EJ98" s="13">
        <f>IF('Données projet'!$A$192&gt;35,EJ97+EI98-ER97,IF(A98&lt;'Données projet'!$A$192,$EG$205^A98,IF(A98='Données projet'!$A$192,'Données projet'!$B$192,EJ97+EI98-ER97)))</f>
        <v>331.99999999999994</v>
      </c>
      <c r="EK98" s="18">
        <f>EJ98*VLOOKUP('Données projet'!$B$15,Paramètres!$A$1:$I$89,3,0)*VLOOKUP('Données projet'!$B$15,Paramètres!$A$1:$I$89,5,0)</f>
        <v>300.39359999999994</v>
      </c>
      <c r="EL98" s="14">
        <f t="shared" si="99"/>
        <v>71.258970856492667</v>
      </c>
      <c r="EM98" s="22">
        <f t="shared" si="73"/>
        <v>647.29489424172459</v>
      </c>
      <c r="EN98" s="62">
        <f t="shared" si="74"/>
        <v>940.62822757505796</v>
      </c>
      <c r="EO98" s="62">
        <f ca="1">AVERAGE(OFFSET($EN$3,0,0,'Données projet'!$E$15+1,1))-AVERAGE(OFFSET($H$3,0,0,'Données projet'!$E$15+1,1))</f>
        <v>439.06700232017681</v>
      </c>
      <c r="EP98" s="62">
        <f t="shared" si="100"/>
        <v>278.21741231699929</v>
      </c>
      <c r="EQ98" s="16">
        <f>IF(ISNA(VLOOKUP(A98,'Données projet'!$A$191:$I$211,3,0)),0,VLOOKUP(A98,'Données projet'!$A$191:$I$211,3,0))</f>
        <v>16</v>
      </c>
      <c r="ER98" s="16">
        <f>IF(ISNA(VLOOKUP(A98,'Données projet'!$A$191:$I$211,4,0)),0,VLOOKUP(A98,'Données projet'!$A$191:$I$211,4,0))</f>
        <v>28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1.5059610832600887</v>
      </c>
      <c r="EX98" s="23">
        <f>EXP(-LN(2)/2)*EX97+(1-EXP(-LN(2)/2))/(LN(2)/2)*ER98*EU98*VLOOKUP('Données projet'!$B$15,Paramètres!$A$1:$I$89,3,0)*0.475*44/12</f>
        <v>2.4546875518583613E-9</v>
      </c>
      <c r="EY98" s="24">
        <f t="shared" si="75"/>
        <v>1.5059610857147763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332</v>
      </c>
      <c r="FC98" s="13">
        <f>VLOOKUP(A98,'Données projet'!$A$217:$I$237,9,0)</f>
        <v>6</v>
      </c>
      <c r="FD98" s="13">
        <f t="array" ref="FD98">INDEX(FC:FC,MIN(IF(ISNUMBER(FC98:FC294),ROW(FC98:FC294),"")))</f>
        <v>6</v>
      </c>
      <c r="FE98" s="13">
        <f>IF('Données projet'!$A$218&gt;35,FE97+FD98-FM97,IF(A98&lt;'Données projet'!$A$218,$FB$205^A98,IF(A98='Données projet'!$A$218,'Données projet'!$B$218,FE97+FD98-FM97)))</f>
        <v>331.99999999999994</v>
      </c>
      <c r="FF98" s="18">
        <f>FE98*VLOOKUP('Données projet'!$B$16,Paramètres!$A$1:$I$89,3,0)*VLOOKUP('Données projet'!$B$16,Paramètres!$A$1:$I$89,5,0)</f>
        <v>321.11039999999997</v>
      </c>
      <c r="FG98" s="14">
        <f t="shared" si="101"/>
        <v>75.584347378293316</v>
      </c>
      <c r="FH98" s="22">
        <f t="shared" si="76"/>
        <v>690.91001835052748</v>
      </c>
      <c r="FI98" s="62">
        <f t="shared" si="77"/>
        <v>984.24335168386074</v>
      </c>
      <c r="FJ98" s="62">
        <f ca="1">AVERAGE(OFFSET($FI$3,0,0,'Données projet'!$E$16+1,1))-AVERAGE(OFFSET($H$3,0,0,'Données projet'!$E$16+1,1))</f>
        <v>466.4945858005575</v>
      </c>
      <c r="FK98" s="62">
        <f t="shared" si="102"/>
        <v>294.45557293177131</v>
      </c>
      <c r="FL98" s="16">
        <f>IF(ISNA(VLOOKUP(A98,'Données projet'!$A$217:$I$237,3,0)),0,VLOOKUP(A98,'Données projet'!$A$217:$I$237,3,0))</f>
        <v>16</v>
      </c>
      <c r="FM98" s="16">
        <f>IF(ISNA(VLOOKUP(A98,'Données projet'!$A$217:$I$237,4,0)),0,VLOOKUP(A98,'Données projet'!$A$217:$I$237,4,0))</f>
        <v>28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4.9786563813607281E-9</v>
      </c>
      <c r="FT98" s="24">
        <f t="shared" si="78"/>
        <v>4.9786563813607281E-9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332</v>
      </c>
      <c r="FX98" s="13">
        <f>VLOOKUP(A98,'Données projet'!$A$243:$I$263,9,0)</f>
        <v>6</v>
      </c>
      <c r="FY98" s="13">
        <f t="array" ref="FY98">INDEX(FX:FX,MIN(IF(ISNUMBER(FX98:FX294),ROW(FX98:FX294),"")))</f>
        <v>6</v>
      </c>
      <c r="FZ98" s="13">
        <f>IF('Données projet'!$A$244&gt;35,FZ97+FY98-GH97,IF(A98&lt;'Données projet'!$A$244,$FW$205^A98,IF(A98='Données projet'!$A$244,'Données projet'!$B$244,FZ97+FY98-GH97)))</f>
        <v>331.99999999999994</v>
      </c>
      <c r="GA98" s="18">
        <f>FZ98*VLOOKUP('Données projet'!$B$17,Paramètres!$A$1:$I$89,3,0)*VLOOKUP('Données projet'!$B$17,Paramètres!$A$1:$I$89,5,0)</f>
        <v>315.93119999999993</v>
      </c>
      <c r="GB98" s="14">
        <f t="shared" si="103"/>
        <v>74.506131219363056</v>
      </c>
      <c r="GC98" s="22">
        <f t="shared" si="79"/>
        <v>680.0116852070571</v>
      </c>
      <c r="GD98" s="62">
        <f t="shared" si="80"/>
        <v>973.34501854039036</v>
      </c>
      <c r="GE98" s="62">
        <f ca="1">AVERAGE(OFFSET($GD$3,0,0,'Données projet'!$E$17+1,1))-AVERAGE(OFFSET($H$3,0,0,'Données projet'!$E$17+1,1))</f>
        <v>459.64120566196812</v>
      </c>
      <c r="GF98" s="62">
        <f t="shared" si="104"/>
        <v>290.39826583283588</v>
      </c>
      <c r="GG98" s="16">
        <f>IF(ISNA(VLOOKUP(A98,'Données projet'!$A$243:$I$263,3,0)),0,VLOOKUP(A98,'Données projet'!$A$243:$I$263,3,0))</f>
        <v>16</v>
      </c>
      <c r="GH98" s="16">
        <f>IF(ISNA(VLOOKUP(A98,'Données projet'!$A$243:$I$263,4,0)),0,VLOOKUP(A98,'Données projet'!$A$243:$I$263,4,0))</f>
        <v>28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2.8421709430404007E-14</v>
      </c>
      <c r="O99" s="14">
        <f>N99*VLOOKUP('Données projet'!$B$9,Paramètres!$A$1:$I$89,3,0)*VLOOKUP('Données projet'!$B$9,Paramètres!$A$1:$I$89,5,0)</f>
        <v>1.5518253349000589E-14</v>
      </c>
      <c r="P99" s="14">
        <f t="shared" si="87"/>
        <v>2.8958815659671149E-13</v>
      </c>
      <c r="Q99" s="22">
        <f t="shared" ref="Q99:Q130" si="107">(O99+P99)*0.475*44/12</f>
        <v>5.3139366398878183E-13</v>
      </c>
      <c r="R99" s="62">
        <f t="shared" si="55"/>
        <v>293.33333333333383</v>
      </c>
      <c r="S99" s="62">
        <f ca="1">AVERAGE(OFFSET($R$3,0,0,'Données projet'!$E$9+1,1))-AVERAGE(OFFSET($H$3,0,0,'Données projet'!$E$9+1,1))</f>
        <v>170.27677128684815</v>
      </c>
      <c r="T99" s="62">
        <f t="shared" si="88"/>
        <v>243.47439640666289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1.32473281992324</v>
      </c>
      <c r="AB99" s="23">
        <f>EXP(-LN(2)/2)*AB98+(1-EXP(-LN(2)/2))/(LN(2)/2)*V99*Y99*VLOOKUP('Données projet'!$B$9,Paramètres!$A$1:$I$89,3,0)*0.475*44/12</f>
        <v>8.8631504729946972E-10</v>
      </c>
      <c r="AC99" s="24">
        <f t="shared" si="57"/>
        <v>1.324732820809555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-9.9316821433603781E-14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327.826081588335</v>
      </c>
      <c r="AO99" s="62">
        <f t="shared" si="90"/>
        <v>348.84706693879735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2.5418692865479873</v>
      </c>
      <c r="AW99" s="23">
        <f>EXP(-LN(2)/2)*AW98+(1-EXP(-LN(2)/2))/(LN(2)/2)*AQ99*AT99*VLOOKUP('Données projet'!$B$10,Paramètres!$A$1:$I$89,3,0)*0.475*44/12</f>
        <v>1.733979981574342E-9</v>
      </c>
      <c r="AX99" s="23">
        <f t="shared" si="60"/>
        <v>2.5418692882819673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-3.4106051316484809E-13</v>
      </c>
      <c r="BE99" s="14">
        <f>BD99*VLOOKUP('Données projet'!$B$11,Paramètres!$A$1:$I$89,3,0)*VLOOKUP('Données projet'!$B$11,Paramètres!$A$1:$I$89,5,0)</f>
        <v>-2.5006556825246659E-13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376.5422416541544</v>
      </c>
      <c r="BJ99" s="62">
        <f t="shared" si="92"/>
        <v>365.76175372075869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6.6891258313771713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6.6891258313771713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405.09126081846171</v>
      </c>
      <c r="CE99" s="62">
        <f t="shared" si="94"/>
        <v>534.22295841722166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2.665666934275253</v>
      </c>
      <c r="CL99" s="23">
        <f>EXP(-LN(2)/25)*CL98+(1-EXP(-LN(2)/25))/(LN(2)/25)*Calculateur!CG99*Calculateur!CI99*VLOOKUP('Données projet'!$B$12,Paramètres!$A$1:$I$89,3,0)*0.475*44/12</f>
        <v>2.2492626323612575</v>
      </c>
      <c r="CM99" s="23">
        <f>EXP(-LN(2)/2)*CM98+(1-EXP(-LN(2)/2))/(LN(2)/2)*CG99*CJ99*VLOOKUP('Données projet'!$B$12,Paramètres!$A$1:$I$89,3,0)*0.475*44/12</f>
        <v>1.8506218732015957E-10</v>
      </c>
      <c r="CN99" s="24">
        <f t="shared" si="66"/>
        <v>4.9149295668215727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244.82163392718377</v>
      </c>
      <c r="CZ99" s="62">
        <f t="shared" si="96"/>
        <v>342.30266518164211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1.5989486738059293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1.5989486738059293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-2.2737367544323206E-13</v>
      </c>
      <c r="DP99" s="18">
        <f>DO99*VLOOKUP('Données projet'!$B$14,Paramètres!$A$1:$I$89,3,0)*VLOOKUP('Données projet'!$B$14,Paramètres!$A$1:$I$89,5,0)</f>
        <v>-1.8089849618263545E-13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298.89893065707554</v>
      </c>
      <c r="DU99" s="62">
        <f t="shared" si="98"/>
        <v>294.28794439094878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5.8</v>
      </c>
      <c r="EJ99" s="13">
        <f>IF('Données projet'!$A$192&gt;35,EJ98+EI99-ER98,IF(A99&lt;'Données projet'!$A$192,$EG$205^A99,IF(A99='Données projet'!$A$192,'Données projet'!$B$192,EJ98+EI99-ER98)))</f>
        <v>309.79999999999995</v>
      </c>
      <c r="EK99" s="18">
        <f>EJ99*VLOOKUP('Données projet'!$B$15,Paramètres!$A$1:$I$89,3,0)*VLOOKUP('Données projet'!$B$15,Paramètres!$A$1:$I$89,5,0)</f>
        <v>280.30703999999997</v>
      </c>
      <c r="EL99" s="14">
        <f t="shared" si="99"/>
        <v>67.03189112007388</v>
      </c>
      <c r="EM99" s="22">
        <f t="shared" si="73"/>
        <v>604.94863836746197</v>
      </c>
      <c r="EN99" s="62">
        <f t="shared" si="74"/>
        <v>898.28197170079534</v>
      </c>
      <c r="EO99" s="62">
        <f ca="1">AVERAGE(OFFSET($EN$3,0,0,'Données projet'!$E$15+1,1))-AVERAGE(OFFSET($H$3,0,0,'Données projet'!$E$15+1,1))</f>
        <v>439.06700232017681</v>
      </c>
      <c r="EP99" s="62">
        <f t="shared" si="100"/>
        <v>278.21741231699929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1.4647804982432902</v>
      </c>
      <c r="EX99" s="23">
        <f>EXP(-LN(2)/2)*EX98+(1-EXP(-LN(2)/2))/(LN(2)/2)*ER99*EU99*VLOOKUP('Données projet'!$B$15,Paramètres!$A$1:$I$89,3,0)*0.475*44/12</f>
        <v>1.7357262136132523E-9</v>
      </c>
      <c r="EY99" s="24">
        <f t="shared" si="75"/>
        <v>1.4647804999790164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5.8</v>
      </c>
      <c r="FE99" s="13">
        <f>IF('Données projet'!$A$218&gt;35,FE98+FD99-FM98,IF(A99&lt;'Données projet'!$A$218,$FB$205^A99,IF(A99='Données projet'!$A$218,'Données projet'!$B$218,FE98+FD99-FM98)))</f>
        <v>309.79999999999995</v>
      </c>
      <c r="FF99" s="18">
        <f>FE99*VLOOKUP('Données projet'!$B$16,Paramètres!$A$1:$I$89,3,0)*VLOOKUP('Données projet'!$B$16,Paramètres!$A$1:$I$89,5,0)</f>
        <v>299.63855999999998</v>
      </c>
      <c r="FG99" s="14">
        <f t="shared" si="101"/>
        <v>71.100686453177502</v>
      </c>
      <c r="FH99" s="22">
        <f t="shared" si="76"/>
        <v>645.70418757261734</v>
      </c>
      <c r="FI99" s="62">
        <f t="shared" si="77"/>
        <v>939.03752090595071</v>
      </c>
      <c r="FJ99" s="62">
        <f ca="1">AVERAGE(OFFSET($FI$3,0,0,'Données projet'!$E$16+1,1))-AVERAGE(OFFSET($H$3,0,0,'Données projet'!$E$16+1,1))</f>
        <v>466.4945858005575</v>
      </c>
      <c r="FK99" s="62">
        <f t="shared" si="102"/>
        <v>294.45557293177131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3.5204416884578489E-9</v>
      </c>
      <c r="FT99" s="24">
        <f t="shared" si="78"/>
        <v>3.5204416884578489E-9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5.8</v>
      </c>
      <c r="FZ99" s="13">
        <f>IF('Données projet'!$A$244&gt;35,FZ98+FY99-GH98,IF(A99&lt;'Données projet'!$A$244,$FW$205^A99,IF(A99='Données projet'!$A$244,'Données projet'!$B$244,FZ98+FY99-GH98)))</f>
        <v>309.79999999999995</v>
      </c>
      <c r="GA99" s="18">
        <f>FZ99*VLOOKUP('Données projet'!$B$17,Paramètres!$A$1:$I$89,3,0)*VLOOKUP('Données projet'!$B$17,Paramètres!$A$1:$I$89,5,0)</f>
        <v>294.80568</v>
      </c>
      <c r="GB99" s="14">
        <f t="shared" si="103"/>
        <v>70.086430040256928</v>
      </c>
      <c r="GC99" s="22">
        <f t="shared" si="79"/>
        <v>635.52042498678077</v>
      </c>
      <c r="GD99" s="62">
        <f t="shared" si="80"/>
        <v>928.85375832011414</v>
      </c>
      <c r="GE99" s="62">
        <f ca="1">AVERAGE(OFFSET($GD$3,0,0,'Données projet'!$E$17+1,1))-AVERAGE(OFFSET($H$3,0,0,'Données projet'!$E$17+1,1))</f>
        <v>459.64120566196812</v>
      </c>
      <c r="GF99" s="62">
        <f t="shared" si="104"/>
        <v>290.39826583283588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2.8421709430404007E-14</v>
      </c>
      <c r="O100" s="14">
        <f>N100*VLOOKUP('Données projet'!$B$9,Paramètres!$A$1:$I$89,3,0)*VLOOKUP('Données projet'!$B$9,Paramètres!$A$1:$I$89,5,0)</f>
        <v>1.5518253349000589E-14</v>
      </c>
      <c r="P100" s="14">
        <f t="shared" si="87"/>
        <v>2.8958815659671149E-13</v>
      </c>
      <c r="Q100" s="22">
        <f t="shared" si="107"/>
        <v>5.3139366398878183E-13</v>
      </c>
      <c r="R100" s="62">
        <f t="shared" si="55"/>
        <v>293.33333333333383</v>
      </c>
      <c r="S100" s="62">
        <f ca="1">AVERAGE(OFFSET($R$3,0,0,'Données projet'!$E$9+1,1))-AVERAGE(OFFSET($H$3,0,0,'Données projet'!$E$9+1,1))</f>
        <v>170.27677128684815</v>
      </c>
      <c r="T100" s="62">
        <f t="shared" si="88"/>
        <v>243.47439640666289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1.2885079312977676</v>
      </c>
      <c r="AB100" s="23">
        <f>EXP(-LN(2)/2)*AB99+(1-EXP(-LN(2)/2))/(LN(2)/2)*V100*Y100*VLOOKUP('Données projet'!$B$9,Paramètres!$A$1:$I$89,3,0)*0.475*44/12</f>
        <v>6.2671938021313065E-10</v>
      </c>
      <c r="AC100" s="24">
        <f t="shared" si="57"/>
        <v>1.288507931924487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-9.9316821433603781E-14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327.826081588335</v>
      </c>
      <c r="AO100" s="62">
        <f t="shared" si="90"/>
        <v>348.84706693879735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2.4723617372362363</v>
      </c>
      <c r="AW100" s="23">
        <f>EXP(-LN(2)/2)*AW99+(1-EXP(-LN(2)/2))/(LN(2)/2)*AQ100*AT100*VLOOKUP('Données projet'!$B$10,Paramètres!$A$1:$I$89,3,0)*0.475*44/12</f>
        <v>1.2261090034129419E-9</v>
      </c>
      <c r="AX100" s="23">
        <f t="shared" si="60"/>
        <v>2.4723617384623453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-3.4106051316484809E-13</v>
      </c>
      <c r="BE100" s="14">
        <f>BD100*VLOOKUP('Données projet'!$B$11,Paramètres!$A$1:$I$89,3,0)*VLOOKUP('Données projet'!$B$11,Paramètres!$A$1:$I$89,5,0)</f>
        <v>-2.5006556825246659E-13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376.5422416541544</v>
      </c>
      <c r="BJ100" s="62">
        <f t="shared" si="92"/>
        <v>365.76175372075869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6.5579561537877593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6.5579561537877593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405.09126081846171</v>
      </c>
      <c r="CE100" s="62">
        <f t="shared" si="94"/>
        <v>534.22295841722166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2.6133948315904014</v>
      </c>
      <c r="CL100" s="23">
        <f>EXP(-LN(2)/25)*CL99+(1-EXP(-LN(2)/25))/(LN(2)/25)*Calculateur!CG100*Calculateur!CI100*VLOOKUP('Données projet'!$B$12,Paramètres!$A$1:$I$89,3,0)*0.475*44/12</f>
        <v>2.1877564273957577</v>
      </c>
      <c r="CM100" s="23">
        <f>EXP(-LN(2)/2)*CM99+(1-EXP(-LN(2)/2))/(LN(2)/2)*CG100*CJ100*VLOOKUP('Données projet'!$B$12,Paramètres!$A$1:$I$89,3,0)*0.475*44/12</f>
        <v>1.3085872759529994E-10</v>
      </c>
      <c r="CN100" s="24">
        <f t="shared" si="66"/>
        <v>4.8011512591170185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244.82163392718377</v>
      </c>
      <c r="CZ100" s="62">
        <f t="shared" si="96"/>
        <v>342.30266518164211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1.5675942655749868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1.5675942655749868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-2.2737367544323206E-13</v>
      </c>
      <c r="DP100" s="18">
        <f>DO100*VLOOKUP('Données projet'!$B$14,Paramètres!$A$1:$I$89,3,0)*VLOOKUP('Données projet'!$B$14,Paramètres!$A$1:$I$89,5,0)</f>
        <v>-1.8089849618263545E-13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298.89893065707554</v>
      </c>
      <c r="DU100" s="62">
        <f t="shared" si="98"/>
        <v>294.28794439094878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5.8</v>
      </c>
      <c r="EJ100" s="13">
        <f>IF('Données projet'!$A$192&gt;35,EJ99+EI100-ER99,IF(A100&lt;'Données projet'!$A$192,$EG$205^A100,IF(A100='Données projet'!$A$192,'Données projet'!$B$192,EJ99+EI100-ER99)))</f>
        <v>315.59999999999997</v>
      </c>
      <c r="EK100" s="18">
        <f>EJ100*VLOOKUP('Données projet'!$B$15,Paramètres!$A$1:$I$89,3,0)*VLOOKUP('Données projet'!$B$15,Paramètres!$A$1:$I$89,5,0)</f>
        <v>285.55487999999997</v>
      </c>
      <c r="EL100" s="14">
        <f t="shared" si="99"/>
        <v>68.139569194998018</v>
      </c>
      <c r="EM100" s="22">
        <f t="shared" si="73"/>
        <v>616.01783234795482</v>
      </c>
      <c r="EN100" s="62">
        <f t="shared" si="74"/>
        <v>909.35116568128819</v>
      </c>
      <c r="EO100" s="62">
        <f ca="1">AVERAGE(OFFSET($EN$3,0,0,'Données projet'!$E$15+1,1))-AVERAGE(OFFSET($H$3,0,0,'Données projet'!$E$15+1,1))</f>
        <v>439.06700232017681</v>
      </c>
      <c r="EP100" s="62">
        <f t="shared" si="100"/>
        <v>278.21741231699929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1.4247259984893688</v>
      </c>
      <c r="EX100" s="23">
        <f>EXP(-LN(2)/2)*EX99+(1-EXP(-LN(2)/2))/(LN(2)/2)*ER100*EU100*VLOOKUP('Données projet'!$B$15,Paramètres!$A$1:$I$89,3,0)*0.475*44/12</f>
        <v>1.2273437759291807E-9</v>
      </c>
      <c r="EY100" s="24">
        <f t="shared" si="75"/>
        <v>1.4247259997167125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5.8</v>
      </c>
      <c r="FE100" s="13">
        <f>IF('Données projet'!$A$218&gt;35,FE99+FD100-FM99,IF(A100&lt;'Données projet'!$A$218,$FB$205^A100,IF(A100='Données projet'!$A$218,'Données projet'!$B$218,FE99+FD100-FM99)))</f>
        <v>315.59999999999997</v>
      </c>
      <c r="FF100" s="18">
        <f>FE100*VLOOKUP('Données projet'!$B$16,Paramètres!$A$1:$I$89,3,0)*VLOOKUP('Données projet'!$B$16,Paramètres!$A$1:$I$89,5,0)</f>
        <v>305.24831999999998</v>
      </c>
      <c r="FG100" s="14">
        <f t="shared" si="101"/>
        <v>72.275599918697424</v>
      </c>
      <c r="FH100" s="22">
        <f t="shared" si="76"/>
        <v>657.5208271917312</v>
      </c>
      <c r="FI100" s="62">
        <f t="shared" si="77"/>
        <v>950.85416052506457</v>
      </c>
      <c r="FJ100" s="62">
        <f ca="1">AVERAGE(OFFSET($FI$3,0,0,'Données projet'!$E$16+1,1))-AVERAGE(OFFSET($H$3,0,0,'Données projet'!$E$16+1,1))</f>
        <v>466.4945858005575</v>
      </c>
      <c r="FK100" s="62">
        <f t="shared" si="102"/>
        <v>294.45557293177131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2.489328190680364E-9</v>
      </c>
      <c r="FT100" s="24">
        <f t="shared" si="78"/>
        <v>2.489328190680364E-9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5.8</v>
      </c>
      <c r="FZ100" s="13">
        <f>IF('Données projet'!$A$244&gt;35,FZ99+FY100-GH99,IF(A100&lt;'Données projet'!$A$244,$FW$205^A100,IF(A100='Données projet'!$A$244,'Données projet'!$B$244,FZ99+FY100-GH99)))</f>
        <v>315.59999999999997</v>
      </c>
      <c r="GA100" s="18">
        <f>FZ100*VLOOKUP('Données projet'!$B$17,Paramètres!$A$1:$I$89,3,0)*VLOOKUP('Données projet'!$B$17,Paramètres!$A$1:$I$89,5,0)</f>
        <v>300.32495999999998</v>
      </c>
      <c r="GB100" s="14">
        <f t="shared" si="103"/>
        <v>71.244583280574048</v>
      </c>
      <c r="GC100" s="22">
        <f t="shared" si="79"/>
        <v>647.15028788033305</v>
      </c>
      <c r="GD100" s="62">
        <f t="shared" si="80"/>
        <v>940.48362121366631</v>
      </c>
      <c r="GE100" s="62">
        <f ca="1">AVERAGE(OFFSET($GD$3,0,0,'Données projet'!$E$17+1,1))-AVERAGE(OFFSET($H$3,0,0,'Données projet'!$E$17+1,1))</f>
        <v>459.64120566196812</v>
      </c>
      <c r="GF100" s="62">
        <f t="shared" si="104"/>
        <v>290.39826583283588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2.8421709430404007E-14</v>
      </c>
      <c r="O101" s="14">
        <f>N101*VLOOKUP('Données projet'!$B$9,Paramètres!$A$1:$I$89,3,0)*VLOOKUP('Données projet'!$B$9,Paramètres!$A$1:$I$89,5,0)</f>
        <v>1.5518253349000589E-14</v>
      </c>
      <c r="P101" s="14">
        <f t="shared" si="87"/>
        <v>2.8958815659671149E-13</v>
      </c>
      <c r="Q101" s="22">
        <f t="shared" si="107"/>
        <v>5.3139366398878183E-13</v>
      </c>
      <c r="R101" s="62">
        <f t="shared" si="55"/>
        <v>293.33333333333383</v>
      </c>
      <c r="S101" s="62">
        <f ca="1">AVERAGE(OFFSET($R$3,0,0,'Données projet'!$E$9+1,1))-AVERAGE(OFFSET($H$3,0,0,'Données projet'!$E$9+1,1))</f>
        <v>170.27677128684815</v>
      </c>
      <c r="T101" s="62">
        <f t="shared" si="88"/>
        <v>243.47439640666289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1.2532736141567431</v>
      </c>
      <c r="AB101" s="23">
        <f>EXP(-LN(2)/2)*AB100+(1-EXP(-LN(2)/2))/(LN(2)/2)*V101*Y101*VLOOKUP('Données projet'!$B$9,Paramètres!$A$1:$I$89,3,0)*0.475*44/12</f>
        <v>4.4315752364973486E-10</v>
      </c>
      <c r="AC101" s="24">
        <f t="shared" si="57"/>
        <v>1.2532736145999006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-9.9316821433603781E-14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327.826081588335</v>
      </c>
      <c r="AO101" s="62">
        <f t="shared" si="90"/>
        <v>348.84706693879735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2.4047548755156583</v>
      </c>
      <c r="AW101" s="23">
        <f>EXP(-LN(2)/2)*AW100+(1-EXP(-LN(2)/2))/(LN(2)/2)*AQ101*AT101*VLOOKUP('Données projet'!$B$10,Paramètres!$A$1:$I$89,3,0)*0.475*44/12</f>
        <v>8.66989990787171E-10</v>
      </c>
      <c r="AX101" s="23">
        <f t="shared" si="60"/>
        <v>2.4047548763826483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-3.4106051316484809E-13</v>
      </c>
      <c r="BE101" s="14">
        <f>BD101*VLOOKUP('Données projet'!$B$11,Paramètres!$A$1:$I$89,3,0)*VLOOKUP('Données projet'!$B$11,Paramètres!$A$1:$I$89,5,0)</f>
        <v>-2.5006556825246659E-13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376.5422416541544</v>
      </c>
      <c r="BJ101" s="62">
        <f t="shared" si="92"/>
        <v>365.76175372075869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6.4293586335702724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6.4293586335702724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405.09126081846171</v>
      </c>
      <c r="CE101" s="62">
        <f t="shared" si="94"/>
        <v>534.22295841722166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2.5621477529563652</v>
      </c>
      <c r="CL101" s="23">
        <f>EXP(-LN(2)/25)*CL100+(1-EXP(-LN(2)/25))/(LN(2)/25)*Calculateur!CG101*Calculateur!CI101*VLOOKUP('Données projet'!$B$12,Paramètres!$A$1:$I$89,3,0)*0.475*44/12</f>
        <v>2.1279321128395106</v>
      </c>
      <c r="CM101" s="23">
        <f>EXP(-LN(2)/2)*CM100+(1-EXP(-LN(2)/2))/(LN(2)/2)*CG101*CJ101*VLOOKUP('Données projet'!$B$12,Paramètres!$A$1:$I$89,3,0)*0.475*44/12</f>
        <v>9.2531093660079783E-11</v>
      </c>
      <c r="CN101" s="24">
        <f t="shared" si="66"/>
        <v>4.6900798658884071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244.82163392718377</v>
      </c>
      <c r="CZ101" s="62">
        <f t="shared" si="96"/>
        <v>342.30266518164211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1.5368546981651525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1.5368546981651525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-2.2737367544323206E-13</v>
      </c>
      <c r="DP101" s="18">
        <f>DO101*VLOOKUP('Données projet'!$B$14,Paramètres!$A$1:$I$89,3,0)*VLOOKUP('Données projet'!$B$14,Paramètres!$A$1:$I$89,5,0)</f>
        <v>-1.8089849618263545E-13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298.89893065707554</v>
      </c>
      <c r="DU101" s="62">
        <f t="shared" si="98"/>
        <v>294.28794439094878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5.8</v>
      </c>
      <c r="EJ101" s="13">
        <f>IF('Données projet'!$A$192&gt;35,EJ100+EI101-ER100,IF(A101&lt;'Données projet'!$A$192,$EG$205^A101,IF(A101='Données projet'!$A$192,'Données projet'!$B$192,EJ100+EI101-ER100)))</f>
        <v>321.39999999999998</v>
      </c>
      <c r="EK101" s="18">
        <f>EJ101*VLOOKUP('Données projet'!$B$15,Paramètres!$A$1:$I$89,3,0)*VLOOKUP('Données projet'!$B$15,Paramètres!$A$1:$I$89,5,0)</f>
        <v>290.80271999999997</v>
      </c>
      <c r="EL101" s="14">
        <f t="shared" si="99"/>
        <v>69.244880157128961</v>
      </c>
      <c r="EM101" s="22">
        <f t="shared" si="73"/>
        <v>627.08290360699959</v>
      </c>
      <c r="EN101" s="62">
        <f t="shared" si="74"/>
        <v>920.41623694033296</v>
      </c>
      <c r="EO101" s="62">
        <f ca="1">AVERAGE(OFFSET($EN$3,0,0,'Données projet'!$E$15+1,1))-AVERAGE(OFFSET($H$3,0,0,'Données projet'!$E$15+1,1))</f>
        <v>439.06700232017681</v>
      </c>
      <c r="EP101" s="62">
        <f t="shared" si="100"/>
        <v>278.21741231699929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1.385766791137593</v>
      </c>
      <c r="EX101" s="23">
        <f>EXP(-LN(2)/2)*EX100+(1-EXP(-LN(2)/2))/(LN(2)/2)*ER101*EU101*VLOOKUP('Données projet'!$B$15,Paramètres!$A$1:$I$89,3,0)*0.475*44/12</f>
        <v>8.6786310680662617E-10</v>
      </c>
      <c r="EY101" s="24">
        <f t="shared" si="75"/>
        <v>1.3857667920054562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5.8</v>
      </c>
      <c r="FE101" s="13">
        <f>IF('Données projet'!$A$218&gt;35,FE100+FD101-FM100,IF(A101&lt;'Données projet'!$A$218,$FB$205^A101,IF(A101='Données projet'!$A$218,'Données projet'!$B$218,FE100+FD101-FM100)))</f>
        <v>321.39999999999998</v>
      </c>
      <c r="FF101" s="18">
        <f>FE101*VLOOKUP('Données projet'!$B$16,Paramètres!$A$1:$I$89,3,0)*VLOOKUP('Données projet'!$B$16,Paramètres!$A$1:$I$89,5,0)</f>
        <v>310.85807999999997</v>
      </c>
      <c r="FG101" s="14">
        <f t="shared" si="101"/>
        <v>73.448002589106309</v>
      </c>
      <c r="FH101" s="22">
        <f t="shared" si="76"/>
        <v>669.33309384269342</v>
      </c>
      <c r="FI101" s="62">
        <f t="shared" si="77"/>
        <v>962.66642717602667</v>
      </c>
      <c r="FJ101" s="62">
        <f ca="1">AVERAGE(OFFSET($FI$3,0,0,'Données projet'!$E$16+1,1))-AVERAGE(OFFSET($H$3,0,0,'Données projet'!$E$16+1,1))</f>
        <v>466.4945858005575</v>
      </c>
      <c r="FK101" s="62">
        <f t="shared" si="102"/>
        <v>294.45557293177131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1.7602208442289245E-9</v>
      </c>
      <c r="FT101" s="24">
        <f t="shared" si="78"/>
        <v>1.7602208442289245E-9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5.8</v>
      </c>
      <c r="FZ101" s="13">
        <f>IF('Données projet'!$A$244&gt;35,FZ100+FY101-GH100,IF(A101&lt;'Données projet'!$A$244,$FW$205^A101,IF(A101='Données projet'!$A$244,'Données projet'!$B$244,FZ100+FY101-GH100)))</f>
        <v>321.39999999999998</v>
      </c>
      <c r="GA101" s="18">
        <f>FZ101*VLOOKUP('Données projet'!$B$17,Paramètres!$A$1:$I$89,3,0)*VLOOKUP('Données projet'!$B$17,Paramètres!$A$1:$I$89,5,0)</f>
        <v>305.84423999999996</v>
      </c>
      <c r="GB101" s="14">
        <f t="shared" si="103"/>
        <v>72.400261542453194</v>
      </c>
      <c r="GC101" s="22">
        <f t="shared" si="79"/>
        <v>658.77584018643915</v>
      </c>
      <c r="GD101" s="62">
        <f t="shared" si="80"/>
        <v>952.10917351977241</v>
      </c>
      <c r="GE101" s="62">
        <f ca="1">AVERAGE(OFFSET($GD$3,0,0,'Données projet'!$E$17+1,1))-AVERAGE(OFFSET($H$3,0,0,'Données projet'!$E$17+1,1))</f>
        <v>459.64120566196812</v>
      </c>
      <c r="GF101" s="62">
        <f t="shared" si="104"/>
        <v>290.39826583283588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2.8421709430404007E-14</v>
      </c>
      <c r="O102" s="14">
        <f>N102*VLOOKUP('Données projet'!$B$9,Paramètres!$A$1:$I$89,3,0)*VLOOKUP('Données projet'!$B$9,Paramètres!$A$1:$I$89,5,0)</f>
        <v>1.5518253349000589E-14</v>
      </c>
      <c r="P102" s="14">
        <f t="shared" si="87"/>
        <v>2.8958815659671149E-13</v>
      </c>
      <c r="Q102" s="22">
        <f t="shared" si="107"/>
        <v>5.3139366398878183E-13</v>
      </c>
      <c r="R102" s="62">
        <f t="shared" si="55"/>
        <v>293.33333333333383</v>
      </c>
      <c r="S102" s="62">
        <f ca="1">AVERAGE(OFFSET($R$3,0,0,'Données projet'!$E$9+1,1))-AVERAGE(OFFSET($H$3,0,0,'Données projet'!$E$9+1,1))</f>
        <v>170.27677128684815</v>
      </c>
      <c r="T102" s="62">
        <f t="shared" si="88"/>
        <v>243.47439640666289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1.2190027812708319</v>
      </c>
      <c r="AB102" s="23">
        <f>EXP(-LN(2)/2)*AB101+(1-EXP(-LN(2)/2))/(LN(2)/2)*V102*Y102*VLOOKUP('Données projet'!$B$9,Paramètres!$A$1:$I$89,3,0)*0.475*44/12</f>
        <v>3.1335969010656532E-10</v>
      </c>
      <c r="AC102" s="24">
        <f t="shared" si="57"/>
        <v>1.2190027815841917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-9.9316821433603781E-14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327.826081588335</v>
      </c>
      <c r="AO102" s="62">
        <f t="shared" si="90"/>
        <v>348.84706693879735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2.3389967269841199</v>
      </c>
      <c r="AW102" s="23">
        <f>EXP(-LN(2)/2)*AW101+(1-EXP(-LN(2)/2))/(LN(2)/2)*AQ102*AT102*VLOOKUP('Données projet'!$B$10,Paramètres!$A$1:$I$89,3,0)*0.475*44/12</f>
        <v>6.1305450170647097E-10</v>
      </c>
      <c r="AX102" s="23">
        <f t="shared" si="60"/>
        <v>2.3389967275971744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-3.4106051316484809E-13</v>
      </c>
      <c r="BE102" s="14">
        <f>BD102*VLOOKUP('Données projet'!$B$11,Paramètres!$A$1:$I$89,3,0)*VLOOKUP('Données projet'!$B$11,Paramètres!$A$1:$I$89,5,0)</f>
        <v>-2.5006556825246659E-13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376.5422416541544</v>
      </c>
      <c r="BJ102" s="62">
        <f t="shared" si="92"/>
        <v>365.76175372075869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6.3032828322875076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6.3032828322875076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405.09126081846171</v>
      </c>
      <c r="CE102" s="62">
        <f t="shared" si="94"/>
        <v>534.22295841722166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2.5119055982767109</v>
      </c>
      <c r="CL102" s="23">
        <f>EXP(-LN(2)/25)*CL101+(1-EXP(-LN(2)/25))/(LN(2)/25)*Calculateur!CG102*Calculateur!CI102*VLOOKUP('Données projet'!$B$12,Paramètres!$A$1:$I$89,3,0)*0.475*44/12</f>
        <v>2.0697436973108276</v>
      </c>
      <c r="CM102" s="23">
        <f>EXP(-LN(2)/2)*CM101+(1-EXP(-LN(2)/2))/(LN(2)/2)*CG102*CJ102*VLOOKUP('Données projet'!$B$12,Paramètres!$A$1:$I$89,3,0)*0.475*44/12</f>
        <v>6.5429363797649969E-11</v>
      </c>
      <c r="CN102" s="24">
        <f t="shared" si="66"/>
        <v>4.5816492956529684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244.82163392718377</v>
      </c>
      <c r="CZ102" s="62">
        <f t="shared" si="96"/>
        <v>342.30266518164211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1.5067179149229404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1.5067179149229404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-2.2737367544323206E-13</v>
      </c>
      <c r="DP102" s="18">
        <f>DO102*VLOOKUP('Données projet'!$B$14,Paramètres!$A$1:$I$89,3,0)*VLOOKUP('Données projet'!$B$14,Paramètres!$A$1:$I$89,5,0)</f>
        <v>-1.8089849618263545E-13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298.89893065707554</v>
      </c>
      <c r="DU102" s="62">
        <f t="shared" si="98"/>
        <v>294.28794439094878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5.8</v>
      </c>
      <c r="EJ102" s="13">
        <f>IF('Données projet'!$A$192&gt;35,EJ101+EI102-ER101,IF(A102&lt;'Données projet'!$A$192,$EG$205^A102,IF(A102='Données projet'!$A$192,'Données projet'!$B$192,EJ101+EI102-ER101)))</f>
        <v>327.2</v>
      </c>
      <c r="EK102" s="18">
        <f>EJ102*VLOOKUP('Données projet'!$B$15,Paramètres!$A$1:$I$89,3,0)*VLOOKUP('Données projet'!$B$15,Paramètres!$A$1:$I$89,5,0)</f>
        <v>296.05055999999996</v>
      </c>
      <c r="EL102" s="14">
        <f t="shared" si="99"/>
        <v>70.34787165092402</v>
      </c>
      <c r="EM102" s="22">
        <f t="shared" si="73"/>
        <v>638.14393512535923</v>
      </c>
      <c r="EN102" s="62">
        <f t="shared" si="74"/>
        <v>931.47726845869261</v>
      </c>
      <c r="EO102" s="62">
        <f ca="1">AVERAGE(OFFSET($EN$3,0,0,'Données projet'!$E$15+1,1))-AVERAGE(OFFSET($H$3,0,0,'Données projet'!$E$15+1,1))</f>
        <v>439.06700232017681</v>
      </c>
      <c r="EP102" s="62">
        <f t="shared" si="100"/>
        <v>278.21741231699929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1.3478729253596273</v>
      </c>
      <c r="EX102" s="23">
        <f>EXP(-LN(2)/2)*EX101+(1-EXP(-LN(2)/2))/(LN(2)/2)*ER102*EU102*VLOOKUP('Données projet'!$B$15,Paramètres!$A$1:$I$89,3,0)*0.475*44/12</f>
        <v>6.1367188796459033E-10</v>
      </c>
      <c r="EY102" s="24">
        <f t="shared" si="75"/>
        <v>1.3478729259732991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5.8</v>
      </c>
      <c r="FE102" s="13">
        <f>IF('Données projet'!$A$218&gt;35,FE101+FD102-FM101,IF(A102&lt;'Données projet'!$A$218,$FB$205^A102,IF(A102='Données projet'!$A$218,'Données projet'!$B$218,FE101+FD102-FM101)))</f>
        <v>327.2</v>
      </c>
      <c r="FF102" s="18">
        <f>FE102*VLOOKUP('Données projet'!$B$16,Paramètres!$A$1:$I$89,3,0)*VLOOKUP('Données projet'!$B$16,Paramètres!$A$1:$I$89,5,0)</f>
        <v>316.46784000000002</v>
      </c>
      <c r="FG102" s="14">
        <f t="shared" si="101"/>
        <v>74.617945000851194</v>
      </c>
      <c r="FH102" s="22">
        <f t="shared" si="76"/>
        <v>681.14107554314921</v>
      </c>
      <c r="FI102" s="62">
        <f t="shared" si="77"/>
        <v>974.47440887648258</v>
      </c>
      <c r="FJ102" s="62">
        <f ca="1">AVERAGE(OFFSET($FI$3,0,0,'Données projet'!$E$16+1,1))-AVERAGE(OFFSET($H$3,0,0,'Données projet'!$E$16+1,1))</f>
        <v>466.4945858005575</v>
      </c>
      <c r="FK102" s="62">
        <f t="shared" si="102"/>
        <v>294.45557293177131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1.244664095340182E-9</v>
      </c>
      <c r="FT102" s="24">
        <f t="shared" si="78"/>
        <v>1.244664095340182E-9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5.8</v>
      </c>
      <c r="FZ102" s="13">
        <f>IF('Données projet'!$A$244&gt;35,FZ101+FY102-GH101,IF(A102&lt;'Données projet'!$A$244,$FW$205^A102,IF(A102='Données projet'!$A$244,'Données projet'!$B$244,FZ101+FY102-GH101)))</f>
        <v>327.2</v>
      </c>
      <c r="GA102" s="18">
        <f>FZ102*VLOOKUP('Données projet'!$B$17,Paramètres!$A$1:$I$89,3,0)*VLOOKUP('Données projet'!$B$17,Paramètres!$A$1:$I$89,5,0)</f>
        <v>311.36351999999999</v>
      </c>
      <c r="GB102" s="14">
        <f t="shared" si="103"/>
        <v>73.55351464143537</v>
      </c>
      <c r="GC102" s="22">
        <f t="shared" si="79"/>
        <v>670.39716866716651</v>
      </c>
      <c r="GD102" s="62">
        <f t="shared" si="80"/>
        <v>963.73050200049988</v>
      </c>
      <c r="GE102" s="62">
        <f ca="1">AVERAGE(OFFSET($GD$3,0,0,'Données projet'!$E$17+1,1))-AVERAGE(OFFSET($H$3,0,0,'Données projet'!$E$17+1,1))</f>
        <v>459.64120566196812</v>
      </c>
      <c r="GF102" s="62">
        <f t="shared" si="104"/>
        <v>290.39826583283588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2.8421709430404007E-14</v>
      </c>
      <c r="O103" s="14">
        <f>N103*VLOOKUP('Données projet'!$B$9,Paramètres!$A$1:$I$89,3,0)*VLOOKUP('Données projet'!$B$9,Paramètres!$A$1:$I$89,5,0)</f>
        <v>1.5518253349000589E-14</v>
      </c>
      <c r="P103" s="14">
        <f t="shared" si="87"/>
        <v>2.8958815659671149E-13</v>
      </c>
      <c r="Q103" s="22">
        <f t="shared" si="107"/>
        <v>5.3139366398878183E-13</v>
      </c>
      <c r="R103" s="62">
        <f t="shared" si="55"/>
        <v>293.33333333333383</v>
      </c>
      <c r="S103" s="62">
        <f ca="1">AVERAGE(OFFSET($R$3,0,0,'Données projet'!$E$9+1,1))-AVERAGE(OFFSET($H$3,0,0,'Données projet'!$E$9+1,1))</f>
        <v>170.27677128684815</v>
      </c>
      <c r="T103" s="62">
        <f t="shared" si="88"/>
        <v>243.47439640666289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1.1856690861124108</v>
      </c>
      <c r="AB103" s="23">
        <f>EXP(-LN(2)/2)*AB102+(1-EXP(-LN(2)/2))/(LN(2)/2)*V103*Y103*VLOOKUP('Données projet'!$B$9,Paramètres!$A$1:$I$89,3,0)*0.475*44/12</f>
        <v>2.2157876182486743E-10</v>
      </c>
      <c r="AC103" s="24">
        <f t="shared" si="57"/>
        <v>1.1856690863339896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-9.9316821433603781E-14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327.826081588335</v>
      </c>
      <c r="AO103" s="62">
        <f t="shared" si="90"/>
        <v>348.84706693879735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2.275036738482247</v>
      </c>
      <c r="AW103" s="23">
        <f>EXP(-LN(2)/2)*AW102+(1-EXP(-LN(2)/2))/(LN(2)/2)*AQ103*AT103*VLOOKUP('Données projet'!$B$10,Paramètres!$A$1:$I$89,3,0)*0.475*44/12</f>
        <v>4.334949953935855E-10</v>
      </c>
      <c r="AX103" s="23">
        <f t="shared" si="60"/>
        <v>2.275036738915742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-3.4106051316484809E-13</v>
      </c>
      <c r="BE103" s="14">
        <f>BD103*VLOOKUP('Données projet'!$B$11,Paramètres!$A$1:$I$89,3,0)*VLOOKUP('Données projet'!$B$11,Paramètres!$A$1:$I$89,5,0)</f>
        <v>-2.5006556825246659E-13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376.5422416541544</v>
      </c>
      <c r="BJ103" s="62">
        <f t="shared" si="92"/>
        <v>365.76175372075869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6.1796793005692523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6.1796793005692523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405.09126081846171</v>
      </c>
      <c r="CE103" s="62">
        <f t="shared" si="94"/>
        <v>534.22295841722166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2.4626486616056362</v>
      </c>
      <c r="CL103" s="23">
        <f>EXP(-LN(2)/25)*CL102+(1-EXP(-LN(2)/25))/(LN(2)/25)*Calculateur!CG103*Calculateur!CI103*VLOOKUP('Données projet'!$B$12,Paramètres!$A$1:$I$89,3,0)*0.475*44/12</f>
        <v>2.0131464470647726</v>
      </c>
      <c r="CM103" s="23">
        <f>EXP(-LN(2)/2)*CM102+(1-EXP(-LN(2)/2))/(LN(2)/2)*CG103*CJ103*VLOOKUP('Données projet'!$B$12,Paramètres!$A$1:$I$89,3,0)*0.475*44/12</f>
        <v>4.6265546830039891E-11</v>
      </c>
      <c r="CN103" s="24">
        <f t="shared" si="66"/>
        <v>4.4757951087166745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244.82163392718377</v>
      </c>
      <c r="CZ103" s="62">
        <f t="shared" si="96"/>
        <v>342.30266518164211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1.4771720956184853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1.4771720956184853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-2.2737367544323206E-13</v>
      </c>
      <c r="DP103" s="18">
        <f>DO103*VLOOKUP('Données projet'!$B$14,Paramètres!$A$1:$I$89,3,0)*VLOOKUP('Données projet'!$B$14,Paramètres!$A$1:$I$89,5,0)</f>
        <v>-1.8089849618263545E-13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298.89893065707554</v>
      </c>
      <c r="DU103" s="62">
        <f t="shared" si="98"/>
        <v>294.28794439094878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333</v>
      </c>
      <c r="EH103" s="13">
        <f>VLOOKUP(A103,'Données projet'!$A$191:$I$211,9,0)</f>
        <v>5.8</v>
      </c>
      <c r="EI103" s="13">
        <f t="array" ref="EI103">INDEX(EH:EH,MIN(IF(ISNUMBER(EH103:EH299),ROW(EH103:EH299),"")))</f>
        <v>5.8</v>
      </c>
      <c r="EJ103" s="13">
        <f>IF('Données projet'!$A$192&gt;35,EJ102+EI103-ER102,IF(A103&lt;'Données projet'!$A$192,$EG$205^A103,IF(A103='Données projet'!$A$192,'Données projet'!$B$192,EJ102+EI103-ER102)))</f>
        <v>333</v>
      </c>
      <c r="EK103" s="18">
        <f>EJ103*VLOOKUP('Données projet'!$B$15,Paramètres!$A$1:$I$89,3,0)*VLOOKUP('Données projet'!$B$15,Paramètres!$A$1:$I$89,5,0)</f>
        <v>301.29840000000002</v>
      </c>
      <c r="EL103" s="14">
        <f t="shared" si="99"/>
        <v>71.448589534990518</v>
      </c>
      <c r="EM103" s="22">
        <f t="shared" si="73"/>
        <v>649.2010067734418</v>
      </c>
      <c r="EN103" s="62">
        <f t="shared" si="74"/>
        <v>942.53434010677506</v>
      </c>
      <c r="EO103" s="62">
        <f ca="1">AVERAGE(OFFSET($EN$3,0,0,'Données projet'!$E$15+1,1))-AVERAGE(OFFSET($H$3,0,0,'Données projet'!$E$15+1,1))</f>
        <v>439.06700232017681</v>
      </c>
      <c r="EP103" s="62">
        <f t="shared" si="100"/>
        <v>278.21741231699929</v>
      </c>
      <c r="EQ103" s="16">
        <f>IF(ISNA(VLOOKUP(A103,'Données projet'!$A$191:$I$211,3,0)),0,VLOOKUP(A103,'Données projet'!$A$191:$I$211,3,0))</f>
        <v>17</v>
      </c>
      <c r="ER103" s="16">
        <f>IF(ISNA(VLOOKUP(A103,'Données projet'!$A$191:$I$211,4,0)),0,VLOOKUP(A103,'Données projet'!$A$191:$I$211,4,0))</f>
        <v>27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1.3110152693341117</v>
      </c>
      <c r="EX103" s="23">
        <f>EXP(-LN(2)/2)*EX102+(1-EXP(-LN(2)/2))/(LN(2)/2)*ER103*EU103*VLOOKUP('Données projet'!$B$15,Paramètres!$A$1:$I$89,3,0)*0.475*44/12</f>
        <v>4.3393155340331308E-10</v>
      </c>
      <c r="EY103" s="24">
        <f t="shared" si="75"/>
        <v>1.3110152697680433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333</v>
      </c>
      <c r="FC103" s="13">
        <f>VLOOKUP(A103,'Données projet'!$A$217:$I$237,9,0)</f>
        <v>5.8</v>
      </c>
      <c r="FD103" s="13">
        <f t="array" ref="FD103">INDEX(FC:FC,MIN(IF(ISNUMBER(FC103:FC299),ROW(FC103:FC299),"")))</f>
        <v>5.8</v>
      </c>
      <c r="FE103" s="13">
        <f>IF('Données projet'!$A$218&gt;35,FE102+FD103-FM102,IF(A103&lt;'Données projet'!$A$218,$FB$205^A103,IF(A103='Données projet'!$A$218,'Données projet'!$B$218,FE102+FD103-FM102)))</f>
        <v>333</v>
      </c>
      <c r="FF103" s="18">
        <f>FE103*VLOOKUP('Données projet'!$B$16,Paramètres!$A$1:$I$89,3,0)*VLOOKUP('Données projet'!$B$16,Paramètres!$A$1:$I$89,5,0)</f>
        <v>322.07760000000002</v>
      </c>
      <c r="FG103" s="14">
        <f t="shared" si="101"/>
        <v>75.785475796129461</v>
      </c>
      <c r="FH103" s="22">
        <f t="shared" si="76"/>
        <v>692.94485701159203</v>
      </c>
      <c r="FI103" s="62">
        <f t="shared" si="77"/>
        <v>986.27819034492541</v>
      </c>
      <c r="FJ103" s="62">
        <f ca="1">AVERAGE(OFFSET($FI$3,0,0,'Données projet'!$E$16+1,1))-AVERAGE(OFFSET($H$3,0,0,'Données projet'!$E$16+1,1))</f>
        <v>466.4945858005575</v>
      </c>
      <c r="FK103" s="62">
        <f t="shared" si="102"/>
        <v>294.45557293177131</v>
      </c>
      <c r="FL103" s="16">
        <f>IF(ISNA(VLOOKUP(A103,'Données projet'!$A$217:$I$237,3,0)),0,VLOOKUP(A103,'Données projet'!$A$217:$I$237,3,0))</f>
        <v>17</v>
      </c>
      <c r="FM103" s="16">
        <f>IF(ISNA(VLOOKUP(A103,'Données projet'!$A$217:$I$237,4,0)),0,VLOOKUP(A103,'Données projet'!$A$217:$I$237,4,0))</f>
        <v>27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8.8011042211446223E-10</v>
      </c>
      <c r="FT103" s="24">
        <f t="shared" si="78"/>
        <v>8.8011042211446223E-10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333</v>
      </c>
      <c r="FX103" s="13">
        <f>VLOOKUP(A103,'Données projet'!$A$243:$I$263,9,0)</f>
        <v>5.8</v>
      </c>
      <c r="FY103" s="13">
        <f t="array" ref="FY103">INDEX(FX:FX,MIN(IF(ISNUMBER(FX103:FX299),ROW(FX103:FX299),"")))</f>
        <v>5.8</v>
      </c>
      <c r="FZ103" s="13">
        <f>IF('Données projet'!$A$244&gt;35,FZ102+FY103-GH102,IF(A103&lt;'Données projet'!$A$244,$FW$205^A103,IF(A103='Données projet'!$A$244,'Données projet'!$B$244,FZ102+FY103-GH102)))</f>
        <v>333</v>
      </c>
      <c r="GA103" s="18">
        <f>FZ103*VLOOKUP('Données projet'!$B$17,Paramètres!$A$1:$I$89,3,0)*VLOOKUP('Données projet'!$B$17,Paramètres!$A$1:$I$89,5,0)</f>
        <v>316.88280000000003</v>
      </c>
      <c r="GB103" s="14">
        <f t="shared" si="103"/>
        <v>74.70439052583346</v>
      </c>
      <c r="GC103" s="22">
        <f t="shared" si="79"/>
        <v>682.01435683249326</v>
      </c>
      <c r="GD103" s="62">
        <f t="shared" si="80"/>
        <v>975.34769016582663</v>
      </c>
      <c r="GE103" s="62">
        <f ca="1">AVERAGE(OFFSET($GD$3,0,0,'Données projet'!$E$17+1,1))-AVERAGE(OFFSET($H$3,0,0,'Données projet'!$E$17+1,1))</f>
        <v>459.64120566196812</v>
      </c>
      <c r="GF103" s="62">
        <f t="shared" si="104"/>
        <v>290.39826583283588</v>
      </c>
      <c r="GG103" s="16">
        <f>IF(ISNA(VLOOKUP(A103,'Données projet'!$A$243:$I$263,3,0)),0,VLOOKUP(A103,'Données projet'!$A$243:$I$263,3,0))</f>
        <v>17</v>
      </c>
      <c r="GH103" s="16">
        <f>IF(ISNA(VLOOKUP(A103,'Données projet'!$A$243:$I$263,4,0)),0,VLOOKUP(A103,'Données projet'!$A$243:$I$263,4,0))</f>
        <v>27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2.8421709430404007E-14</v>
      </c>
      <c r="O104" s="14">
        <f>N104*VLOOKUP('Données projet'!$B$9,Paramètres!$A$1:$I$89,3,0)*VLOOKUP('Données projet'!$B$9,Paramètres!$A$1:$I$89,5,0)</f>
        <v>1.5518253349000589E-14</v>
      </c>
      <c r="P104" s="14">
        <f t="shared" si="87"/>
        <v>2.8958815659671149E-13</v>
      </c>
      <c r="Q104" s="22">
        <f t="shared" si="107"/>
        <v>5.3139366398878183E-13</v>
      </c>
      <c r="R104" s="62">
        <f t="shared" si="55"/>
        <v>293.33333333333383</v>
      </c>
      <c r="S104" s="62">
        <f ca="1">AVERAGE(OFFSET($R$3,0,0,'Données projet'!$E$9+1,1))-AVERAGE(OFFSET($H$3,0,0,'Données projet'!$E$9+1,1))</f>
        <v>170.27677128684815</v>
      </c>
      <c r="T104" s="62">
        <f t="shared" si="88"/>
        <v>243.47439640666289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1.1532469026010397</v>
      </c>
      <c r="AB104" s="23">
        <f>EXP(-LN(2)/2)*AB103+(1-EXP(-LN(2)/2))/(LN(2)/2)*V104*Y104*VLOOKUP('Données projet'!$B$9,Paramètres!$A$1:$I$89,3,0)*0.475*44/12</f>
        <v>1.5667984505328266E-10</v>
      </c>
      <c r="AC104" s="24">
        <f t="shared" si="57"/>
        <v>1.1532469027577195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-9.9316821433603781E-14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327.826081588335</v>
      </c>
      <c r="AO104" s="62">
        <f t="shared" si="90"/>
        <v>348.84706693879735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2.2128257392294675</v>
      </c>
      <c r="AW104" s="23">
        <f>EXP(-LN(2)/2)*AW103+(1-EXP(-LN(2)/2))/(LN(2)/2)*AQ104*AT104*VLOOKUP('Données projet'!$B$10,Paramètres!$A$1:$I$89,3,0)*0.475*44/12</f>
        <v>3.0652725085323549E-10</v>
      </c>
      <c r="AX104" s="23">
        <f t="shared" si="60"/>
        <v>2.2128257395359947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-3.4106051316484809E-13</v>
      </c>
      <c r="BE104" s="14">
        <f>BD104*VLOOKUP('Données projet'!$B$11,Paramètres!$A$1:$I$89,3,0)*VLOOKUP('Données projet'!$B$11,Paramètres!$A$1:$I$89,5,0)</f>
        <v>-2.5006556825246659E-13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376.5422416541544</v>
      </c>
      <c r="BJ104" s="62">
        <f t="shared" si="92"/>
        <v>365.76175372075869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6.0584995587172816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6.0584995587172816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405.09126081846171</v>
      </c>
      <c r="CE104" s="62">
        <f t="shared" si="94"/>
        <v>534.22295841722166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2.4143576234189164</v>
      </c>
      <c r="CL104" s="23">
        <f>EXP(-LN(2)/25)*CL103+(1-EXP(-LN(2)/25))/(LN(2)/25)*Calculateur!CG104*Calculateur!CI104*VLOOKUP('Données projet'!$B$12,Paramètres!$A$1:$I$89,3,0)*0.475*44/12</f>
        <v>1.9580968516030159</v>
      </c>
      <c r="CM104" s="23">
        <f>EXP(-LN(2)/2)*CM103+(1-EXP(-LN(2)/2))/(LN(2)/2)*CG104*CJ104*VLOOKUP('Données projet'!$B$12,Paramètres!$A$1:$I$89,3,0)*0.475*44/12</f>
        <v>3.2714681898824984E-11</v>
      </c>
      <c r="CN104" s="24">
        <f t="shared" si="66"/>
        <v>4.3724544750546466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244.82163392718377</v>
      </c>
      <c r="CZ104" s="62">
        <f t="shared" si="96"/>
        <v>342.30266518164211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1.4482056518094202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1.4482056518094202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-2.2737367544323206E-13</v>
      </c>
      <c r="DP104" s="18">
        <f>DO104*VLOOKUP('Données projet'!$B$14,Paramètres!$A$1:$I$89,3,0)*VLOOKUP('Données projet'!$B$14,Paramètres!$A$1:$I$89,5,0)</f>
        <v>-1.8089849618263545E-13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298.89893065707554</v>
      </c>
      <c r="DU104" s="62">
        <f t="shared" si="98"/>
        <v>294.28794439094878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5.4</v>
      </c>
      <c r="EJ104" s="13">
        <f>IF('Données projet'!$A$192&gt;35,EJ103+EI104-ER103,IF(A104&lt;'Données projet'!$A$192,$EG$205^A104,IF(A104='Données projet'!$A$192,'Données projet'!$B$192,EJ103+EI104-ER103)))</f>
        <v>311.39999999999998</v>
      </c>
      <c r="EK104" s="18">
        <f>EJ104*VLOOKUP('Données projet'!$B$15,Paramètres!$A$1:$I$89,3,0)*VLOOKUP('Données projet'!$B$15,Paramètres!$A$1:$I$89,5,0)</f>
        <v>281.75471999999996</v>
      </c>
      <c r="EL104" s="14">
        <f t="shared" si="99"/>
        <v>67.337696723120317</v>
      </c>
      <c r="EM104" s="22">
        <f t="shared" si="73"/>
        <v>608.00262579276773</v>
      </c>
      <c r="EN104" s="62">
        <f t="shared" si="74"/>
        <v>901.33595912610099</v>
      </c>
      <c r="EO104" s="62">
        <f ca="1">AVERAGE(OFFSET($EN$3,0,0,'Données projet'!$E$15+1,1))-AVERAGE(OFFSET($H$3,0,0,'Données projet'!$E$15+1,1))</f>
        <v>439.06700232017681</v>
      </c>
      <c r="EP104" s="62">
        <f t="shared" si="100"/>
        <v>278.21741231699929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1.2751654878508738</v>
      </c>
      <c r="EX104" s="23">
        <f>EXP(-LN(2)/2)*EX103+(1-EXP(-LN(2)/2))/(LN(2)/2)*ER104*EU104*VLOOKUP('Données projet'!$B$15,Paramètres!$A$1:$I$89,3,0)*0.475*44/12</f>
        <v>3.0683594398229516E-10</v>
      </c>
      <c r="EY104" s="24">
        <f t="shared" si="75"/>
        <v>1.2751654881577097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5.4</v>
      </c>
      <c r="FE104" s="13">
        <f>IF('Données projet'!$A$218&gt;35,FE103+FD104-FM103,IF(A104&lt;'Données projet'!$A$218,$FB$205^A104,IF(A104='Données projet'!$A$218,'Données projet'!$B$218,FE103+FD104-FM103)))</f>
        <v>311.39999999999998</v>
      </c>
      <c r="FF104" s="18">
        <f>FE104*VLOOKUP('Données projet'!$B$16,Paramètres!$A$1:$I$89,3,0)*VLOOKUP('Données projet'!$B$16,Paramètres!$A$1:$I$89,5,0)</f>
        <v>301.18608</v>
      </c>
      <c r="FG104" s="14">
        <f t="shared" si="101"/>
        <v>71.425054271756295</v>
      </c>
      <c r="FH104" s="22">
        <f t="shared" si="76"/>
        <v>648.96439218997557</v>
      </c>
      <c r="FI104" s="62">
        <f t="shared" si="77"/>
        <v>942.29772552330883</v>
      </c>
      <c r="FJ104" s="62">
        <f ca="1">AVERAGE(OFFSET($FI$3,0,0,'Données projet'!$E$16+1,1))-AVERAGE(OFFSET($H$3,0,0,'Données projet'!$E$16+1,1))</f>
        <v>466.4945858005575</v>
      </c>
      <c r="FK104" s="62">
        <f t="shared" si="102"/>
        <v>294.45557293177131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6.2233204767009101E-10</v>
      </c>
      <c r="FT104" s="24">
        <f t="shared" si="78"/>
        <v>6.2233204767009101E-10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5.4</v>
      </c>
      <c r="FZ104" s="13">
        <f>IF('Données projet'!$A$244&gt;35,FZ103+FY104-GH103,IF(A104&lt;'Données projet'!$A$244,$FW$205^A104,IF(A104='Données projet'!$A$244,'Données projet'!$B$244,FZ103+FY104-GH103)))</f>
        <v>311.39999999999998</v>
      </c>
      <c r="GA104" s="18">
        <f>FZ104*VLOOKUP('Données projet'!$B$17,Paramètres!$A$1:$I$89,3,0)*VLOOKUP('Données projet'!$B$17,Paramètres!$A$1:$I$89,5,0)</f>
        <v>296.32823999999999</v>
      </c>
      <c r="GB104" s="14">
        <f t="shared" si="103"/>
        <v>70.406170728542762</v>
      </c>
      <c r="GC104" s="22">
        <f t="shared" si="79"/>
        <v>638.72909868554518</v>
      </c>
      <c r="GD104" s="62">
        <f t="shared" si="80"/>
        <v>932.06243201887855</v>
      </c>
      <c r="GE104" s="62">
        <f ca="1">AVERAGE(OFFSET($GD$3,0,0,'Données projet'!$E$17+1,1))-AVERAGE(OFFSET($H$3,0,0,'Données projet'!$E$17+1,1))</f>
        <v>459.64120566196812</v>
      </c>
      <c r="GF104" s="62">
        <f t="shared" si="104"/>
        <v>290.39826583283588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2.8421709430404007E-14</v>
      </c>
      <c r="O105" s="14">
        <f>N105*VLOOKUP('Données projet'!$B$9,Paramètres!$A$1:$I$89,3,0)*VLOOKUP('Données projet'!$B$9,Paramètres!$A$1:$I$89,5,0)</f>
        <v>1.5518253349000589E-14</v>
      </c>
      <c r="P105" s="14">
        <f t="shared" si="87"/>
        <v>2.8958815659671149E-13</v>
      </c>
      <c r="Q105" s="22">
        <f t="shared" si="107"/>
        <v>5.3139366398878183E-13</v>
      </c>
      <c r="R105" s="62">
        <f t="shared" si="55"/>
        <v>293.33333333333383</v>
      </c>
      <c r="S105" s="62">
        <f ca="1">AVERAGE(OFFSET($R$3,0,0,'Données projet'!$E$9+1,1))-AVERAGE(OFFSET($H$3,0,0,'Données projet'!$E$9+1,1))</f>
        <v>170.27677128684815</v>
      </c>
      <c r="T105" s="62">
        <f t="shared" si="88"/>
        <v>243.47439640666289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1.1217113054027954</v>
      </c>
      <c r="AB105" s="23">
        <f>EXP(-LN(2)/2)*AB104+(1-EXP(-LN(2)/2))/(LN(2)/2)*V105*Y105*VLOOKUP('Données projet'!$B$9,Paramètres!$A$1:$I$89,3,0)*0.475*44/12</f>
        <v>1.1078938091243371E-10</v>
      </c>
      <c r="AC105" s="24">
        <f t="shared" si="57"/>
        <v>1.1217113055135848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-9.9316821433603781E-14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327.826081588335</v>
      </c>
      <c r="AO105" s="62">
        <f t="shared" si="90"/>
        <v>348.84706693879735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2.1523159030227896</v>
      </c>
      <c r="AW105" s="23">
        <f>EXP(-LN(2)/2)*AW104+(1-EXP(-LN(2)/2))/(LN(2)/2)*AQ105*AT105*VLOOKUP('Données projet'!$B$10,Paramètres!$A$1:$I$89,3,0)*0.475*44/12</f>
        <v>2.1674749769679275E-10</v>
      </c>
      <c r="AX105" s="23">
        <f t="shared" si="60"/>
        <v>2.1523159032395371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-3.4106051316484809E-13</v>
      </c>
      <c r="BE105" s="14">
        <f>BD105*VLOOKUP('Données projet'!$B$11,Paramètres!$A$1:$I$89,3,0)*VLOOKUP('Données projet'!$B$11,Paramètres!$A$1:$I$89,5,0)</f>
        <v>-2.5006556825246659E-13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376.5422416541544</v>
      </c>
      <c r="BJ105" s="62">
        <f t="shared" si="92"/>
        <v>365.76175372075869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5.9396960776906838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5.9396960776906838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405.09126081846171</v>
      </c>
      <c r="CE105" s="62">
        <f t="shared" si="94"/>
        <v>534.22295841722166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2.3670135430364132</v>
      </c>
      <c r="CL105" s="23">
        <f>EXP(-LN(2)/25)*CL104+(1-EXP(-LN(2)/25))/(LN(2)/25)*Calculateur!CG105*Calculateur!CI105*VLOOKUP('Données projet'!$B$12,Paramètres!$A$1:$I$89,3,0)*0.475*44/12</f>
        <v>1.9045525902240934</v>
      </c>
      <c r="CM105" s="23">
        <f>EXP(-LN(2)/2)*CM104+(1-EXP(-LN(2)/2))/(LN(2)/2)*CG105*CJ105*VLOOKUP('Données projet'!$B$12,Paramètres!$A$1:$I$89,3,0)*0.475*44/12</f>
        <v>2.3132773415019946E-11</v>
      </c>
      <c r="CN105" s="24">
        <f t="shared" si="66"/>
        <v>4.2715661332836392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244.82163392718377</v>
      </c>
      <c r="CZ105" s="62">
        <f t="shared" si="96"/>
        <v>342.30266518164211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1.4198072222956646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1.4198072222956646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-2.2737367544323206E-13</v>
      </c>
      <c r="DP105" s="18">
        <f>DO105*VLOOKUP('Données projet'!$B$14,Paramètres!$A$1:$I$89,3,0)*VLOOKUP('Données projet'!$B$14,Paramètres!$A$1:$I$89,5,0)</f>
        <v>-1.8089849618263545E-13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298.89893065707554</v>
      </c>
      <c r="DU105" s="62">
        <f t="shared" si="98"/>
        <v>294.28794439094878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5.4</v>
      </c>
      <c r="EJ105" s="13">
        <f>IF('Données projet'!$A$192&gt;35,EJ104+EI105-ER104,IF(A105&lt;'Données projet'!$A$192,$EG$205^A105,IF(A105='Données projet'!$A$192,'Données projet'!$B$192,EJ104+EI105-ER104)))</f>
        <v>316.79999999999995</v>
      </c>
      <c r="EK105" s="18">
        <f>EJ105*VLOOKUP('Données projet'!$B$15,Paramètres!$A$1:$I$89,3,0)*VLOOKUP('Données projet'!$B$15,Paramètres!$A$1:$I$89,5,0)</f>
        <v>286.64063999999996</v>
      </c>
      <c r="EL105" s="14">
        <f t="shared" si="99"/>
        <v>68.368446832003599</v>
      </c>
      <c r="EM105" s="22">
        <f t="shared" si="73"/>
        <v>618.30749289907283</v>
      </c>
      <c r="EN105" s="62">
        <f t="shared" si="74"/>
        <v>911.6408262324062</v>
      </c>
      <c r="EO105" s="62">
        <f ca="1">AVERAGE(OFFSET($EN$3,0,0,'Données projet'!$E$15+1,1))-AVERAGE(OFFSET($H$3,0,0,'Données projet'!$E$15+1,1))</f>
        <v>439.06700232017681</v>
      </c>
      <c r="EP105" s="62">
        <f t="shared" si="100"/>
        <v>278.21741231699929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1.2402960205275531</v>
      </c>
      <c r="EX105" s="23">
        <f>EXP(-LN(2)/2)*EX104+(1-EXP(-LN(2)/2))/(LN(2)/2)*ER105*EU105*VLOOKUP('Données projet'!$B$15,Paramètres!$A$1:$I$89,3,0)*0.475*44/12</f>
        <v>2.1696577670165654E-10</v>
      </c>
      <c r="EY105" s="24">
        <f t="shared" si="75"/>
        <v>1.2402960207445188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5.4</v>
      </c>
      <c r="FE105" s="13">
        <f>IF('Données projet'!$A$218&gt;35,FE104+FD105-FM104,IF(A105&lt;'Données projet'!$A$218,$FB$205^A105,IF(A105='Données projet'!$A$218,'Données projet'!$B$218,FE104+FD105-FM104)))</f>
        <v>316.79999999999995</v>
      </c>
      <c r="FF105" s="18">
        <f>FE105*VLOOKUP('Données projet'!$B$16,Paramètres!$A$1:$I$89,3,0)*VLOOKUP('Données projet'!$B$16,Paramètres!$A$1:$I$89,5,0)</f>
        <v>306.40895999999998</v>
      </c>
      <c r="FG105" s="14">
        <f t="shared" si="101"/>
        <v>72.518370290127464</v>
      </c>
      <c r="FH105" s="22">
        <f t="shared" si="76"/>
        <v>659.96510025530517</v>
      </c>
      <c r="FI105" s="62">
        <f t="shared" si="77"/>
        <v>953.29843358863855</v>
      </c>
      <c r="FJ105" s="62">
        <f ca="1">AVERAGE(OFFSET($FI$3,0,0,'Données projet'!$E$16+1,1))-AVERAGE(OFFSET($H$3,0,0,'Données projet'!$E$16+1,1))</f>
        <v>466.4945858005575</v>
      </c>
      <c r="FK105" s="62">
        <f t="shared" si="102"/>
        <v>294.45557293177131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4.4005521105723111E-10</v>
      </c>
      <c r="FT105" s="24">
        <f t="shared" si="78"/>
        <v>4.4005521105723111E-10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5.4</v>
      </c>
      <c r="FZ105" s="13">
        <f>IF('Données projet'!$A$244&gt;35,FZ104+FY105-GH104,IF(A105&lt;'Données projet'!$A$244,$FW$205^A105,IF(A105='Données projet'!$A$244,'Données projet'!$B$244,FZ104+FY105-GH104)))</f>
        <v>316.79999999999995</v>
      </c>
      <c r="GA105" s="18">
        <f>FZ105*VLOOKUP('Données projet'!$B$17,Paramètres!$A$1:$I$89,3,0)*VLOOKUP('Données projet'!$B$17,Paramètres!$A$1:$I$89,5,0)</f>
        <v>301.46687999999995</v>
      </c>
      <c r="GB105" s="14">
        <f t="shared" si="103"/>
        <v>71.483890515171325</v>
      </c>
      <c r="GC105" s="22">
        <f t="shared" si="79"/>
        <v>649.55592531392324</v>
      </c>
      <c r="GD105" s="62">
        <f t="shared" si="80"/>
        <v>942.88925864725661</v>
      </c>
      <c r="GE105" s="62">
        <f ca="1">AVERAGE(OFFSET($GD$3,0,0,'Données projet'!$E$17+1,1))-AVERAGE(OFFSET($H$3,0,0,'Données projet'!$E$17+1,1))</f>
        <v>459.64120566196812</v>
      </c>
      <c r="GF105" s="62">
        <f t="shared" si="104"/>
        <v>290.39826583283588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2.8421709430404007E-14</v>
      </c>
      <c r="O106" s="14">
        <f>N106*VLOOKUP('Données projet'!$B$9,Paramètres!$A$1:$I$89,3,0)*VLOOKUP('Données projet'!$B$9,Paramètres!$A$1:$I$89,5,0)</f>
        <v>1.5518253349000589E-14</v>
      </c>
      <c r="P106" s="14">
        <f t="shared" si="87"/>
        <v>2.8958815659671149E-13</v>
      </c>
      <c r="Q106" s="22">
        <f t="shared" si="107"/>
        <v>5.3139366398878183E-13</v>
      </c>
      <c r="R106" s="62">
        <f t="shared" si="55"/>
        <v>293.33333333333383</v>
      </c>
      <c r="S106" s="62">
        <f ca="1">AVERAGE(OFFSET($R$3,0,0,'Données projet'!$E$9+1,1))-AVERAGE(OFFSET($H$3,0,0,'Données projet'!$E$9+1,1))</f>
        <v>170.27677128684815</v>
      </c>
      <c r="T106" s="62">
        <f t="shared" si="88"/>
        <v>243.47439640666289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1.0910380507683222</v>
      </c>
      <c r="AB106" s="23">
        <f>EXP(-LN(2)/2)*AB105+(1-EXP(-LN(2)/2))/(LN(2)/2)*V106*Y106*VLOOKUP('Données projet'!$B$9,Paramètres!$A$1:$I$89,3,0)*0.475*44/12</f>
        <v>7.8339922526641331E-11</v>
      </c>
      <c r="AC106" s="24">
        <f t="shared" si="57"/>
        <v>1.0910380508466622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-9.9316821433603781E-14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327.826081588335</v>
      </c>
      <c r="AO106" s="62">
        <f t="shared" si="90"/>
        <v>348.84706693879735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2.0934607114692572</v>
      </c>
      <c r="AW106" s="23">
        <f>EXP(-LN(2)/2)*AW105+(1-EXP(-LN(2)/2))/(LN(2)/2)*AQ106*AT106*VLOOKUP('Données projet'!$B$10,Paramètres!$A$1:$I$89,3,0)*0.475*44/12</f>
        <v>1.5326362542661774E-10</v>
      </c>
      <c r="AX106" s="23">
        <f t="shared" si="60"/>
        <v>2.0934607116225208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-3.4106051316484809E-13</v>
      </c>
      <c r="BE106" s="14">
        <f>BD106*VLOOKUP('Données projet'!$B$11,Paramètres!$A$1:$I$89,3,0)*VLOOKUP('Données projet'!$B$11,Paramètres!$A$1:$I$89,5,0)</f>
        <v>-2.5006556825246659E-13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376.5422416541544</v>
      </c>
      <c r="BJ106" s="62">
        <f t="shared" si="92"/>
        <v>365.76175372075869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5.8232222604640498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5.8232222604640498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405.09126081846171</v>
      </c>
      <c r="CE106" s="62">
        <f t="shared" si="94"/>
        <v>534.22295841722166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2.3205978511931735</v>
      </c>
      <c r="CL106" s="23">
        <f>EXP(-LN(2)/25)*CL105+(1-EXP(-LN(2)/25))/(LN(2)/25)*Calculateur!CG106*Calculateur!CI106*VLOOKUP('Données projet'!$B$12,Paramètres!$A$1:$I$89,3,0)*0.475*44/12</f>
        <v>1.8524724994883477</v>
      </c>
      <c r="CM106" s="23">
        <f>EXP(-LN(2)/2)*CM105+(1-EXP(-LN(2)/2))/(LN(2)/2)*CG106*CJ106*VLOOKUP('Données projet'!$B$12,Paramètres!$A$1:$I$89,3,0)*0.475*44/12</f>
        <v>1.6357340949412492E-11</v>
      </c>
      <c r="CN106" s="24">
        <f t="shared" si="66"/>
        <v>4.1730703506978788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244.82163392718377</v>
      </c>
      <c r="CZ106" s="62">
        <f t="shared" si="96"/>
        <v>342.30266518164211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1.3919656686633421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1.3919656686633421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-2.2737367544323206E-13</v>
      </c>
      <c r="DP106" s="18">
        <f>DO106*VLOOKUP('Données projet'!$B$14,Paramètres!$A$1:$I$89,3,0)*VLOOKUP('Données projet'!$B$14,Paramètres!$A$1:$I$89,5,0)</f>
        <v>-1.8089849618263545E-13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298.89893065707554</v>
      </c>
      <c r="DU106" s="62">
        <f t="shared" si="98"/>
        <v>294.28794439094878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5.4</v>
      </c>
      <c r="EJ106" s="13">
        <f>IF('Données projet'!$A$192&gt;35,EJ105+EI106-ER105,IF(A106&lt;'Données projet'!$A$192,$EG$205^A106,IF(A106='Données projet'!$A$192,'Données projet'!$B$192,EJ105+EI106-ER105)))</f>
        <v>322.19999999999993</v>
      </c>
      <c r="EK106" s="18">
        <f>EJ106*VLOOKUP('Données projet'!$B$15,Paramètres!$A$1:$I$89,3,0)*VLOOKUP('Données projet'!$B$15,Paramètres!$A$1:$I$89,5,0)</f>
        <v>291.5265599999999</v>
      </c>
      <c r="EL106" s="14">
        <f t="shared" si="99"/>
        <v>69.397153761857183</v>
      </c>
      <c r="EM106" s="22">
        <f t="shared" si="73"/>
        <v>628.60880146856778</v>
      </c>
      <c r="EN106" s="62">
        <f t="shared" si="74"/>
        <v>921.94213480190115</v>
      </c>
      <c r="EO106" s="62">
        <f ca="1">AVERAGE(OFFSET($EN$3,0,0,'Données projet'!$E$15+1,1))-AVERAGE(OFFSET($H$3,0,0,'Données projet'!$E$15+1,1))</f>
        <v>439.06700232017681</v>
      </c>
      <c r="EP106" s="62">
        <f t="shared" si="100"/>
        <v>278.21741231699929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1.2063800606218942</v>
      </c>
      <c r="EX106" s="23">
        <f>EXP(-LN(2)/2)*EX105+(1-EXP(-LN(2)/2))/(LN(2)/2)*ER106*EU106*VLOOKUP('Données projet'!$B$15,Paramètres!$A$1:$I$89,3,0)*0.475*44/12</f>
        <v>1.5341797199114758E-10</v>
      </c>
      <c r="EY106" s="24">
        <f t="shared" si="75"/>
        <v>1.2063800607753121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5.4</v>
      </c>
      <c r="FE106" s="13">
        <f>IF('Données projet'!$A$218&gt;35,FE105+FD106-FM105,IF(A106&lt;'Données projet'!$A$218,$FB$205^A106,IF(A106='Données projet'!$A$218,'Données projet'!$B$218,FE105+FD106-FM105)))</f>
        <v>322.19999999999993</v>
      </c>
      <c r="FF106" s="18">
        <f>FE106*VLOOKUP('Données projet'!$B$16,Paramètres!$A$1:$I$89,3,0)*VLOOKUP('Données projet'!$B$16,Paramètres!$A$1:$I$89,5,0)</f>
        <v>311.63183999999995</v>
      </c>
      <c r="FG106" s="14">
        <f t="shared" si="101"/>
        <v>73.609519109735089</v>
      </c>
      <c r="FH106" s="22">
        <f t="shared" si="76"/>
        <v>670.96203378278858</v>
      </c>
      <c r="FI106" s="62">
        <f t="shared" si="77"/>
        <v>964.29536711612195</v>
      </c>
      <c r="FJ106" s="62">
        <f ca="1">AVERAGE(OFFSET($FI$3,0,0,'Données projet'!$E$16+1,1))-AVERAGE(OFFSET($H$3,0,0,'Données projet'!$E$16+1,1))</f>
        <v>466.4945858005575</v>
      </c>
      <c r="FK106" s="62">
        <f t="shared" si="102"/>
        <v>294.45557293177131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3.1116602383504551E-10</v>
      </c>
      <c r="FT106" s="24">
        <f t="shared" si="78"/>
        <v>3.1116602383504551E-10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5.4</v>
      </c>
      <c r="FZ106" s="13">
        <f>IF('Données projet'!$A$244&gt;35,FZ105+FY106-GH105,IF(A106&lt;'Données projet'!$A$244,$FW$205^A106,IF(A106='Données projet'!$A$244,'Données projet'!$B$244,FZ105+FY106-GH105)))</f>
        <v>322.19999999999993</v>
      </c>
      <c r="GA106" s="18">
        <f>FZ106*VLOOKUP('Données projet'!$B$17,Paramètres!$A$1:$I$89,3,0)*VLOOKUP('Données projet'!$B$17,Paramètres!$A$1:$I$89,5,0)</f>
        <v>306.6055199999999</v>
      </c>
      <c r="GB106" s="14">
        <f t="shared" si="103"/>
        <v>72.559474018282785</v>
      </c>
      <c r="GC106" s="22">
        <f t="shared" si="79"/>
        <v>660.37903124850902</v>
      </c>
      <c r="GD106" s="62">
        <f t="shared" si="80"/>
        <v>953.71236458184239</v>
      </c>
      <c r="GE106" s="62">
        <f ca="1">AVERAGE(OFFSET($GD$3,0,0,'Données projet'!$E$17+1,1))-AVERAGE(OFFSET($H$3,0,0,'Données projet'!$E$17+1,1))</f>
        <v>459.64120566196812</v>
      </c>
      <c r="GF106" s="62">
        <f t="shared" si="104"/>
        <v>290.39826583283588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2.8421709430404007E-14</v>
      </c>
      <c r="O107" s="14">
        <f>N107*VLOOKUP('Données projet'!$B$9,Paramètres!$A$1:$I$89,3,0)*VLOOKUP('Données projet'!$B$9,Paramètres!$A$1:$I$89,5,0)</f>
        <v>1.5518253349000589E-14</v>
      </c>
      <c r="P107" s="14">
        <f t="shared" si="87"/>
        <v>2.8958815659671149E-13</v>
      </c>
      <c r="Q107" s="22">
        <f t="shared" si="107"/>
        <v>5.3139366398878183E-13</v>
      </c>
      <c r="R107" s="62">
        <f t="shared" si="55"/>
        <v>293.33333333333383</v>
      </c>
      <c r="S107" s="62">
        <f ca="1">AVERAGE(OFFSET($R$3,0,0,'Données projet'!$E$9+1,1))-AVERAGE(OFFSET($H$3,0,0,'Données projet'!$E$9+1,1))</f>
        <v>170.27677128684815</v>
      </c>
      <c r="T107" s="62">
        <f t="shared" si="88"/>
        <v>243.47439640666289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1.0612035578948649</v>
      </c>
      <c r="AB107" s="23">
        <f>EXP(-LN(2)/2)*AB106+(1-EXP(-LN(2)/2))/(LN(2)/2)*V107*Y107*VLOOKUP('Données projet'!$B$9,Paramètres!$A$1:$I$89,3,0)*0.475*44/12</f>
        <v>5.5394690456216857E-11</v>
      </c>
      <c r="AC107" s="24">
        <f t="shared" si="57"/>
        <v>1.0612035579502597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-9.9316821433603781E-14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327.826081588335</v>
      </c>
      <c r="AO107" s="62">
        <f t="shared" si="90"/>
        <v>348.84706693879735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2.0362149182238163</v>
      </c>
      <c r="AW107" s="23">
        <f>EXP(-LN(2)/2)*AW106+(1-EXP(-LN(2)/2))/(LN(2)/2)*AQ107*AT107*VLOOKUP('Données projet'!$B$10,Paramètres!$A$1:$I$89,3,0)*0.475*44/12</f>
        <v>1.0837374884839638E-10</v>
      </c>
      <c r="AX107" s="23">
        <f t="shared" si="60"/>
        <v>2.03621491833219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-3.4106051316484809E-13</v>
      </c>
      <c r="BE107" s="14">
        <f>BD107*VLOOKUP('Données projet'!$B$11,Paramètres!$A$1:$I$89,3,0)*VLOOKUP('Données projet'!$B$11,Paramètres!$A$1:$I$89,5,0)</f>
        <v>-2.5006556825246659E-13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376.5422416541544</v>
      </c>
      <c r="BJ107" s="62">
        <f t="shared" si="92"/>
        <v>365.76175372075869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5.709032423751216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5.709032423751216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405.09126081846171</v>
      </c>
      <c r="CE107" s="62">
        <f t="shared" si="94"/>
        <v>534.22295841722166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2.2750923427562029</v>
      </c>
      <c r="CL107" s="23">
        <f>EXP(-LN(2)/25)*CL106+(1-EXP(-LN(2)/25))/(LN(2)/25)*Calculateur!CG107*Calculateur!CI107*VLOOKUP('Données projet'!$B$12,Paramètres!$A$1:$I$89,3,0)*0.475*44/12</f>
        <v>1.801816541572544</v>
      </c>
      <c r="CM107" s="23">
        <f>EXP(-LN(2)/2)*CM106+(1-EXP(-LN(2)/2))/(LN(2)/2)*CG107*CJ107*VLOOKUP('Données projet'!$B$12,Paramètres!$A$1:$I$89,3,0)*0.475*44/12</f>
        <v>1.1566386707509973E-11</v>
      </c>
      <c r="CN107" s="24">
        <f t="shared" si="66"/>
        <v>4.0769088843403134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244.82163392718377</v>
      </c>
      <c r="CZ107" s="62">
        <f t="shared" si="96"/>
        <v>342.30266518164211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1.3646700709160786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1.3646700709160786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-2.2737367544323206E-13</v>
      </c>
      <c r="DP107" s="18">
        <f>DO107*VLOOKUP('Données projet'!$B$14,Paramètres!$A$1:$I$89,3,0)*VLOOKUP('Données projet'!$B$14,Paramètres!$A$1:$I$89,5,0)</f>
        <v>-1.8089849618263545E-13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298.89893065707554</v>
      </c>
      <c r="DU107" s="62">
        <f t="shared" si="98"/>
        <v>294.28794439094878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5.4</v>
      </c>
      <c r="EJ107" s="13">
        <f>IF('Données projet'!$A$192&gt;35,EJ106+EI107-ER106,IF(A107&lt;'Données projet'!$A$192,$EG$205^A107,IF(A107='Données projet'!$A$192,'Données projet'!$B$192,EJ106+EI107-ER106)))</f>
        <v>327.59999999999991</v>
      </c>
      <c r="EK107" s="18">
        <f>EJ107*VLOOKUP('Données projet'!$B$15,Paramètres!$A$1:$I$89,3,0)*VLOOKUP('Données projet'!$B$15,Paramètres!$A$1:$I$89,5,0)</f>
        <v>296.4124799999999</v>
      </c>
      <c r="EL107" s="14">
        <f t="shared" si="99"/>
        <v>70.423855708154704</v>
      </c>
      <c r="EM107" s="22">
        <f t="shared" si="73"/>
        <v>638.90661802503598</v>
      </c>
      <c r="EN107" s="62">
        <f t="shared" si="74"/>
        <v>932.23995135836935</v>
      </c>
      <c r="EO107" s="62">
        <f ca="1">AVERAGE(OFFSET($EN$3,0,0,'Données projet'!$E$15+1,1))-AVERAGE(OFFSET($H$3,0,0,'Données projet'!$E$15+1,1))</f>
        <v>439.06700232017681</v>
      </c>
      <c r="EP107" s="62">
        <f t="shared" si="100"/>
        <v>278.21741231699929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1.1733915344234183</v>
      </c>
      <c r="EX107" s="23">
        <f>EXP(-LN(2)/2)*EX106+(1-EXP(-LN(2)/2))/(LN(2)/2)*ER107*EU107*VLOOKUP('Données projet'!$B$15,Paramètres!$A$1:$I$89,3,0)*0.475*44/12</f>
        <v>1.0848288835082827E-10</v>
      </c>
      <c r="EY107" s="24">
        <f t="shared" si="75"/>
        <v>1.173391534531901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5.4</v>
      </c>
      <c r="FE107" s="13">
        <f>IF('Données projet'!$A$218&gt;35,FE106+FD107-FM106,IF(A107&lt;'Données projet'!$A$218,$FB$205^A107,IF(A107='Données projet'!$A$218,'Données projet'!$B$218,FE106+FD107-FM106)))</f>
        <v>327.59999999999991</v>
      </c>
      <c r="FF107" s="18">
        <f>FE107*VLOOKUP('Données projet'!$B$16,Paramètres!$A$1:$I$89,3,0)*VLOOKUP('Données projet'!$B$16,Paramètres!$A$1:$I$89,5,0)</f>
        <v>316.85471999999993</v>
      </c>
      <c r="FG107" s="14">
        <f t="shared" si="101"/>
        <v>74.698541244494848</v>
      </c>
      <c r="FH107" s="22">
        <f t="shared" si="76"/>
        <v>681.95526333416171</v>
      </c>
      <c r="FI107" s="62">
        <f t="shared" si="77"/>
        <v>975.28859666749509</v>
      </c>
      <c r="FJ107" s="62">
        <f ca="1">AVERAGE(OFFSET($FI$3,0,0,'Données projet'!$E$16+1,1))-AVERAGE(OFFSET($H$3,0,0,'Données projet'!$E$16+1,1))</f>
        <v>466.4945858005575</v>
      </c>
      <c r="FK107" s="62">
        <f t="shared" si="102"/>
        <v>294.45557293177131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2.2002760552861556E-10</v>
      </c>
      <c r="FT107" s="24">
        <f t="shared" si="78"/>
        <v>2.2002760552861556E-10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5.4</v>
      </c>
      <c r="FZ107" s="13">
        <f>IF('Données projet'!$A$244&gt;35,FZ106+FY107-GH106,IF(A107&lt;'Données projet'!$A$244,$FW$205^A107,IF(A107='Données projet'!$A$244,'Données projet'!$B$244,FZ106+FY107-GH106)))</f>
        <v>327.59999999999991</v>
      </c>
      <c r="GA107" s="18">
        <f>FZ107*VLOOKUP('Données projet'!$B$17,Paramètres!$A$1:$I$89,3,0)*VLOOKUP('Données projet'!$B$17,Paramètres!$A$1:$I$89,5,0)</f>
        <v>311.74415999999991</v>
      </c>
      <c r="GB107" s="14">
        <f t="shared" si="103"/>
        <v>73.632961173858902</v>
      </c>
      <c r="GC107" s="22">
        <f t="shared" si="79"/>
        <v>671.19848604447077</v>
      </c>
      <c r="GD107" s="62">
        <f t="shared" si="80"/>
        <v>964.53181937780414</v>
      </c>
      <c r="GE107" s="62">
        <f ca="1">AVERAGE(OFFSET($GD$3,0,0,'Données projet'!$E$17+1,1))-AVERAGE(OFFSET($H$3,0,0,'Données projet'!$E$17+1,1))</f>
        <v>459.64120566196812</v>
      </c>
      <c r="GF107" s="62">
        <f t="shared" si="104"/>
        <v>290.39826583283588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2.8421709430404007E-14</v>
      </c>
      <c r="O108" s="14">
        <f>N108*VLOOKUP('Données projet'!$B$9,Paramètres!$A$1:$I$89,3,0)*VLOOKUP('Données projet'!$B$9,Paramètres!$A$1:$I$89,5,0)</f>
        <v>1.5518253349000589E-14</v>
      </c>
      <c r="P108" s="14">
        <f t="shared" si="87"/>
        <v>2.8958815659671149E-13</v>
      </c>
      <c r="Q108" s="22">
        <f t="shared" si="107"/>
        <v>5.3139366398878183E-13</v>
      </c>
      <c r="R108" s="62">
        <f t="shared" si="55"/>
        <v>293.33333333333383</v>
      </c>
      <c r="S108" s="62">
        <f ca="1">AVERAGE(OFFSET($R$3,0,0,'Données projet'!$E$9+1,1))-AVERAGE(OFFSET($H$3,0,0,'Données projet'!$E$9+1,1))</f>
        <v>170.27677128684815</v>
      </c>
      <c r="T108" s="62">
        <f t="shared" si="88"/>
        <v>243.47439640666289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1.0321848907979601</v>
      </c>
      <c r="AB108" s="23">
        <f>EXP(-LN(2)/2)*AB107+(1-EXP(-LN(2)/2))/(LN(2)/2)*V108*Y108*VLOOKUP('Données projet'!$B$9,Paramètres!$A$1:$I$89,3,0)*0.475*44/12</f>
        <v>3.9169961263320665E-11</v>
      </c>
      <c r="AC108" s="24">
        <f t="shared" si="57"/>
        <v>1.0321848908371301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-9.9316821433603781E-14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327.826081588335</v>
      </c>
      <c r="AO108" s="62">
        <f t="shared" si="90"/>
        <v>348.84706693879735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1.9805345142050974</v>
      </c>
      <c r="AW108" s="23">
        <f>EXP(-LN(2)/2)*AW107+(1-EXP(-LN(2)/2))/(LN(2)/2)*AQ108*AT108*VLOOKUP('Données projet'!$B$10,Paramètres!$A$1:$I$89,3,0)*0.475*44/12</f>
        <v>7.6631812713308872E-11</v>
      </c>
      <c r="AX108" s="23">
        <f t="shared" si="60"/>
        <v>1.9805345142817292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-3.4106051316484809E-13</v>
      </c>
      <c r="BE108" s="14">
        <f>BD108*VLOOKUP('Données projet'!$B$11,Paramètres!$A$1:$I$89,3,0)*VLOOKUP('Données projet'!$B$11,Paramètres!$A$1:$I$89,5,0)</f>
        <v>-2.5006556825246659E-13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376.5422416541544</v>
      </c>
      <c r="BJ108" s="62">
        <f t="shared" si="92"/>
        <v>365.76175372075869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5.5970817800873975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5.5970817800873975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405.09126081846171</v>
      </c>
      <c r="CE108" s="62">
        <f t="shared" si="94"/>
        <v>534.22295841722166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2.2304791695840618</v>
      </c>
      <c r="CL108" s="23">
        <f>EXP(-LN(2)/25)*CL107+(1-EXP(-LN(2)/25))/(LN(2)/25)*Calculateur!CG108*Calculateur!CI108*VLOOKUP('Données projet'!$B$12,Paramètres!$A$1:$I$89,3,0)*0.475*44/12</f>
        <v>1.7525457734898289</v>
      </c>
      <c r="CM108" s="23">
        <f>EXP(-LN(2)/2)*CM107+(1-EXP(-LN(2)/2))/(LN(2)/2)*CG108*CJ108*VLOOKUP('Données projet'!$B$12,Paramètres!$A$1:$I$89,3,0)*0.475*44/12</f>
        <v>8.1786704747062461E-12</v>
      </c>
      <c r="CN108" s="24">
        <f t="shared" si="66"/>
        <v>3.9830249430820692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244.82163392718377</v>
      </c>
      <c r="CZ108" s="62">
        <f t="shared" si="96"/>
        <v>342.30266518164211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1.3379097231919681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1.3379097231919681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-2.2737367544323206E-13</v>
      </c>
      <c r="DP108" s="18">
        <f>DO108*VLOOKUP('Données projet'!$B$14,Paramètres!$A$1:$I$89,3,0)*VLOOKUP('Données projet'!$B$14,Paramètres!$A$1:$I$89,5,0)</f>
        <v>-1.8089849618263545E-13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298.89893065707554</v>
      </c>
      <c r="DU108" s="62">
        <f t="shared" si="98"/>
        <v>294.28794439094878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333</v>
      </c>
      <c r="EH108" s="13">
        <f>VLOOKUP(A108,'Données projet'!$A$191:$I$211,9,0)</f>
        <v>5.4</v>
      </c>
      <c r="EI108" s="13">
        <f t="array" ref="EI108">INDEX(EH:EH,MIN(IF(ISNUMBER(EH108:EH304),ROW(EH108:EH304),"")))</f>
        <v>5.4</v>
      </c>
      <c r="EJ108" s="13">
        <f>IF('Données projet'!$A$192&gt;35,EJ107+EI108-ER107,IF(A108&lt;'Données projet'!$A$192,$EG$205^A108,IF(A108='Données projet'!$A$192,'Données projet'!$B$192,EJ107+EI108-ER107)))</f>
        <v>332.99999999999989</v>
      </c>
      <c r="EK108" s="18">
        <f>EJ108*VLOOKUP('Données projet'!$B$15,Paramètres!$A$1:$I$89,3,0)*VLOOKUP('Données projet'!$B$15,Paramètres!$A$1:$I$89,5,0)</f>
        <v>301.2983999999999</v>
      </c>
      <c r="EL108" s="14">
        <f t="shared" si="99"/>
        <v>71.448589534990518</v>
      </c>
      <c r="EM108" s="22">
        <f t="shared" si="73"/>
        <v>649.20100677344158</v>
      </c>
      <c r="EN108" s="62">
        <f t="shared" si="74"/>
        <v>942.53434010677483</v>
      </c>
      <c r="EO108" s="62">
        <f ca="1">AVERAGE(OFFSET($EN$3,0,0,'Données projet'!$E$15+1,1))-AVERAGE(OFFSET($H$3,0,0,'Données projet'!$E$15+1,1))</f>
        <v>439.06700232017681</v>
      </c>
      <c r="EP108" s="62">
        <f t="shared" si="100"/>
        <v>278.21741231699929</v>
      </c>
      <c r="EQ108" s="16">
        <f>IF(ISNA(VLOOKUP(A108,'Données projet'!$A$191:$I$211,3,0)),0,VLOOKUP(A108,'Données projet'!$A$191:$I$211,3,0))</f>
        <v>18</v>
      </c>
      <c r="ER108" s="16">
        <f>IF(ISNA(VLOOKUP(A108,'Données projet'!$A$191:$I$211,4,0)),0,VLOOKUP(A108,'Données projet'!$A$191:$I$211,4,0))</f>
        <v>26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1.1413050812086309</v>
      </c>
      <c r="EX108" s="23">
        <f>EXP(-LN(2)/2)*EX107+(1-EXP(-LN(2)/2))/(LN(2)/2)*ER108*EU108*VLOOKUP('Données projet'!$B$15,Paramètres!$A$1:$I$89,3,0)*0.475*44/12</f>
        <v>7.6708985995573791E-11</v>
      </c>
      <c r="EY108" s="24">
        <f t="shared" si="75"/>
        <v>1.14130508128534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333</v>
      </c>
      <c r="FC108" s="13">
        <f>VLOOKUP(A108,'Données projet'!$A$217:$I$237,9,0)</f>
        <v>5.4</v>
      </c>
      <c r="FD108" s="13">
        <f t="array" ref="FD108">INDEX(FC:FC,MIN(IF(ISNUMBER(FC108:FC304),ROW(FC108:FC304),"")))</f>
        <v>5.4</v>
      </c>
      <c r="FE108" s="13">
        <f>IF('Données projet'!$A$218&gt;35,FE107+FD108-FM107,IF(A108&lt;'Données projet'!$A$218,$FB$205^A108,IF(A108='Données projet'!$A$218,'Données projet'!$B$218,FE107+FD108-FM107)))</f>
        <v>332.99999999999989</v>
      </c>
      <c r="FF108" s="18">
        <f>FE108*VLOOKUP('Données projet'!$B$16,Paramètres!$A$1:$I$89,3,0)*VLOOKUP('Données projet'!$B$16,Paramètres!$A$1:$I$89,5,0)</f>
        <v>322.0775999999999</v>
      </c>
      <c r="FG108" s="14">
        <f t="shared" si="101"/>
        <v>75.785475796129404</v>
      </c>
      <c r="FH108" s="22">
        <f t="shared" si="76"/>
        <v>692.94485701159181</v>
      </c>
      <c r="FI108" s="62">
        <f t="shared" si="77"/>
        <v>986.27819034492518</v>
      </c>
      <c r="FJ108" s="62">
        <f ca="1">AVERAGE(OFFSET($FI$3,0,0,'Données projet'!$E$16+1,1))-AVERAGE(OFFSET($H$3,0,0,'Données projet'!$E$16+1,1))</f>
        <v>466.4945858005575</v>
      </c>
      <c r="FK108" s="62">
        <f t="shared" si="102"/>
        <v>294.45557293177131</v>
      </c>
      <c r="FL108" s="16">
        <f>IF(ISNA(VLOOKUP(A108,'Données projet'!$A$217:$I$237,3,0)),0,VLOOKUP(A108,'Données projet'!$A$217:$I$237,3,0))</f>
        <v>18</v>
      </c>
      <c r="FM108" s="16">
        <f>IF(ISNA(VLOOKUP(A108,'Données projet'!$A$217:$I$237,4,0)),0,VLOOKUP(A108,'Données projet'!$A$217:$I$237,4,0))</f>
        <v>26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1.5558301191752275E-10</v>
      </c>
      <c r="FT108" s="24">
        <f t="shared" si="78"/>
        <v>1.5558301191752275E-10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>
        <f>VLOOKUP(A108,'Données projet'!$A$243:$I$263,2,0)</f>
        <v>333</v>
      </c>
      <c r="FX108" s="13">
        <f>VLOOKUP(A108,'Données projet'!$A$243:$I$263,9,0)</f>
        <v>5.4</v>
      </c>
      <c r="FY108" s="13">
        <f t="array" ref="FY108">INDEX(FX:FX,MIN(IF(ISNUMBER(FX108:FX304),ROW(FX108:FX304),"")))</f>
        <v>5.4</v>
      </c>
      <c r="FZ108" s="13">
        <f>IF('Données projet'!$A$244&gt;35,FZ107+FY108-GH107,IF(A108&lt;'Données projet'!$A$244,$FW$205^A108,IF(A108='Données projet'!$A$244,'Données projet'!$B$244,FZ107+FY108-GH107)))</f>
        <v>332.99999999999989</v>
      </c>
      <c r="GA108" s="18">
        <f>FZ108*VLOOKUP('Données projet'!$B$17,Paramètres!$A$1:$I$89,3,0)*VLOOKUP('Données projet'!$B$17,Paramètres!$A$1:$I$89,5,0)</f>
        <v>316.88279999999992</v>
      </c>
      <c r="GB108" s="14">
        <f t="shared" si="103"/>
        <v>74.70439052583346</v>
      </c>
      <c r="GC108" s="22">
        <f t="shared" si="79"/>
        <v>682.01435683249304</v>
      </c>
      <c r="GD108" s="62">
        <f t="shared" si="80"/>
        <v>975.34769016582641</v>
      </c>
      <c r="GE108" s="62">
        <f ca="1">AVERAGE(OFFSET($GD$3,0,0,'Données projet'!$E$17+1,1))-AVERAGE(OFFSET($H$3,0,0,'Données projet'!$E$17+1,1))</f>
        <v>459.64120566196812</v>
      </c>
      <c r="GF108" s="62">
        <f t="shared" si="104"/>
        <v>290.39826583283588</v>
      </c>
      <c r="GG108" s="16">
        <f>IF(ISNA(VLOOKUP(A108,'Données projet'!$A$243:$I$263,3,0)),0,VLOOKUP(A108,'Données projet'!$A$243:$I$263,3,0))</f>
        <v>18</v>
      </c>
      <c r="GH108" s="16">
        <f>IF(ISNA(VLOOKUP(A108,'Données projet'!$A$243:$I$263,4,0)),0,VLOOKUP(A108,'Données projet'!$A$243:$I$263,4,0))</f>
        <v>26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2.8421709430404007E-14</v>
      </c>
      <c r="O109" s="14">
        <f>N109*VLOOKUP('Données projet'!$B$9,Paramètres!$A$1:$I$89,3,0)*VLOOKUP('Données projet'!$B$9,Paramètres!$A$1:$I$89,5,0)</f>
        <v>1.5518253349000589E-14</v>
      </c>
      <c r="P109" s="14">
        <f t="shared" si="87"/>
        <v>2.8958815659671149E-13</v>
      </c>
      <c r="Q109" s="22">
        <f t="shared" si="107"/>
        <v>5.3139366398878183E-13</v>
      </c>
      <c r="R109" s="62">
        <f t="shared" si="55"/>
        <v>293.33333333333383</v>
      </c>
      <c r="S109" s="62">
        <f ca="1">AVERAGE(OFFSET($R$3,0,0,'Données projet'!$E$9+1,1))-AVERAGE(OFFSET($H$3,0,0,'Données projet'!$E$9+1,1))</f>
        <v>170.27677128684815</v>
      </c>
      <c r="T109" s="62">
        <f t="shared" si="88"/>
        <v>243.47439640666289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1.0039597406788454</v>
      </c>
      <c r="AB109" s="23">
        <f>EXP(-LN(2)/2)*AB108+(1-EXP(-LN(2)/2))/(LN(2)/2)*V109*Y109*VLOOKUP('Données projet'!$B$9,Paramètres!$A$1:$I$89,3,0)*0.475*44/12</f>
        <v>2.7697345228108429E-11</v>
      </c>
      <c r="AC109" s="24">
        <f t="shared" si="57"/>
        <v>1.0039597407065428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-9.9316821433603781E-14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327.826081588335</v>
      </c>
      <c r="AO109" s="62">
        <f t="shared" si="90"/>
        <v>348.84706693879735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1.9263766937623754</v>
      </c>
      <c r="AW109" s="23">
        <f>EXP(-LN(2)/2)*AW108+(1-EXP(-LN(2)/2))/(LN(2)/2)*AQ109*AT109*VLOOKUP('Données projet'!$B$10,Paramètres!$A$1:$I$89,3,0)*0.475*44/12</f>
        <v>5.4186874424198188E-11</v>
      </c>
      <c r="AX109" s="23">
        <f t="shared" si="60"/>
        <v>1.9263766938165623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-3.4106051316484809E-13</v>
      </c>
      <c r="BE109" s="14">
        <f>BD109*VLOOKUP('Données projet'!$B$11,Paramètres!$A$1:$I$89,3,0)*VLOOKUP('Données projet'!$B$11,Paramètres!$A$1:$I$89,5,0)</f>
        <v>-2.5006556825246659E-13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376.5422416541544</v>
      </c>
      <c r="BJ109" s="62">
        <f t="shared" si="92"/>
        <v>365.76175372075869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5.4873264202626766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5.4873264202626766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405.09126081846171</v>
      </c>
      <c r="CE109" s="62">
        <f t="shared" si="94"/>
        <v>534.22295841722166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2.1867408335264775</v>
      </c>
      <c r="CL109" s="23">
        <f>EXP(-LN(2)/25)*CL108+(1-EXP(-LN(2)/25))/(LN(2)/25)*Calculateur!CG109*Calculateur!CI109*VLOOKUP('Données projet'!$B$12,Paramètres!$A$1:$I$89,3,0)*0.475*44/12</f>
        <v>1.7046223171513728</v>
      </c>
      <c r="CM109" s="23">
        <f>EXP(-LN(2)/2)*CM108+(1-EXP(-LN(2)/2))/(LN(2)/2)*CG109*CJ109*VLOOKUP('Données projet'!$B$12,Paramètres!$A$1:$I$89,3,0)*0.475*44/12</f>
        <v>5.7831933537549864E-12</v>
      </c>
      <c r="CN109" s="24">
        <f t="shared" si="66"/>
        <v>3.8913631506836337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244.82163392718377</v>
      </c>
      <c r="CZ109" s="62">
        <f t="shared" si="96"/>
        <v>342.30266518164211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1.3116741295645271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1.3116741295645271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-2.2737367544323206E-13</v>
      </c>
      <c r="DP109" s="18">
        <f>DO109*VLOOKUP('Données projet'!$B$14,Paramètres!$A$1:$I$89,3,0)*VLOOKUP('Données projet'!$B$14,Paramètres!$A$1:$I$89,5,0)</f>
        <v>-1.8089849618263545E-13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298.89893065707554</v>
      </c>
      <c r="DU109" s="62">
        <f t="shared" si="98"/>
        <v>294.28794439094878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5</v>
      </c>
      <c r="EJ109" s="13">
        <f>IF('Données projet'!$A$192&gt;35,EJ108+EI109-ER108,IF(A109&lt;'Données projet'!$A$192,$EG$205^A109,IF(A109='Données projet'!$A$192,'Données projet'!$B$192,EJ108+EI109-ER108)))</f>
        <v>311.99999999999989</v>
      </c>
      <c r="EK109" s="18">
        <f>EJ109*VLOOKUP('Données projet'!$B$15,Paramètres!$A$1:$I$89,3,0)*VLOOKUP('Données projet'!$B$15,Paramètres!$A$1:$I$89,5,0)</f>
        <v>282.29759999999987</v>
      </c>
      <c r="EL109" s="14">
        <f t="shared" si="99"/>
        <v>67.452326629470178</v>
      </c>
      <c r="EM109" s="22">
        <f t="shared" si="73"/>
        <v>609.14778887966042</v>
      </c>
      <c r="EN109" s="62">
        <f t="shared" si="74"/>
        <v>902.4811222129938</v>
      </c>
      <c r="EO109" s="62">
        <f ca="1">AVERAGE(OFFSET($EN$3,0,0,'Données projet'!$E$15+1,1))-AVERAGE(OFFSET($H$3,0,0,'Données projet'!$E$15+1,1))</f>
        <v>439.06700232017681</v>
      </c>
      <c r="EP109" s="62">
        <f t="shared" si="100"/>
        <v>278.21741231699929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1.1100960337443553</v>
      </c>
      <c r="EX109" s="23">
        <f>EXP(-LN(2)/2)*EX108+(1-EXP(-LN(2)/2))/(LN(2)/2)*ER109*EU109*VLOOKUP('Données projet'!$B$15,Paramètres!$A$1:$I$89,3,0)*0.475*44/12</f>
        <v>5.4241444175414136E-11</v>
      </c>
      <c r="EY109" s="24">
        <f t="shared" si="75"/>
        <v>1.1100960337985968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5</v>
      </c>
      <c r="FE109" s="13">
        <f>IF('Données projet'!$A$218&gt;35,FE108+FD109-FM108,IF(A109&lt;'Données projet'!$A$218,$FB$205^A109,IF(A109='Données projet'!$A$218,'Données projet'!$B$218,FE108+FD109-FM108)))</f>
        <v>311.99999999999989</v>
      </c>
      <c r="FF109" s="18">
        <f>FE109*VLOOKUP('Données projet'!$B$16,Paramètres!$A$1:$I$89,3,0)*VLOOKUP('Données projet'!$B$16,Paramètres!$A$1:$I$89,5,0)</f>
        <v>301.76639999999992</v>
      </c>
      <c r="FG109" s="14">
        <f t="shared" si="101"/>
        <v>71.546642144235292</v>
      </c>
      <c r="FH109" s="22">
        <f t="shared" si="76"/>
        <v>650.18688173454302</v>
      </c>
      <c r="FI109" s="62">
        <f t="shared" si="77"/>
        <v>943.52021506787628</v>
      </c>
      <c r="FJ109" s="62">
        <f ca="1">AVERAGE(OFFSET($FI$3,0,0,'Données projet'!$E$16+1,1))-AVERAGE(OFFSET($H$3,0,0,'Données projet'!$E$16+1,1))</f>
        <v>466.4945858005575</v>
      </c>
      <c r="FK109" s="62">
        <f t="shared" si="102"/>
        <v>294.45557293177131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1.1001380276430778E-10</v>
      </c>
      <c r="FT109" s="24">
        <f t="shared" si="78"/>
        <v>1.1001380276430778E-10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5</v>
      </c>
      <c r="FZ109" s="13">
        <f>IF('Données projet'!$A$244&gt;35,FZ108+FY109-GH108,IF(A109&lt;'Données projet'!$A$244,$FW$205^A109,IF(A109='Données projet'!$A$244,'Données projet'!$B$244,FZ108+FY109-GH108)))</f>
        <v>311.99999999999989</v>
      </c>
      <c r="GA109" s="18">
        <f>FZ109*VLOOKUP('Données projet'!$B$17,Paramètres!$A$1:$I$89,3,0)*VLOOKUP('Données projet'!$B$17,Paramètres!$A$1:$I$89,5,0)</f>
        <v>296.89919999999989</v>
      </c>
      <c r="GB109" s="14">
        <f t="shared" si="103"/>
        <v>70.526024141264102</v>
      </c>
      <c r="GC109" s="22">
        <f t="shared" si="79"/>
        <v>639.932265379368</v>
      </c>
      <c r="GD109" s="62">
        <f t="shared" si="80"/>
        <v>933.26559871270138</v>
      </c>
      <c r="GE109" s="62">
        <f ca="1">AVERAGE(OFFSET($GD$3,0,0,'Données projet'!$E$17+1,1))-AVERAGE(OFFSET($H$3,0,0,'Données projet'!$E$17+1,1))</f>
        <v>459.64120566196812</v>
      </c>
      <c r="GF109" s="62">
        <f t="shared" si="104"/>
        <v>290.39826583283588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2.8421709430404007E-14</v>
      </c>
      <c r="O110" s="14">
        <f>N110*VLOOKUP('Données projet'!$B$9,Paramètres!$A$1:$I$89,3,0)*VLOOKUP('Données projet'!$B$9,Paramètres!$A$1:$I$89,5,0)</f>
        <v>1.5518253349000589E-14</v>
      </c>
      <c r="P110" s="14">
        <f t="shared" si="87"/>
        <v>2.8958815659671149E-13</v>
      </c>
      <c r="Q110" s="22">
        <f t="shared" si="107"/>
        <v>5.3139366398878183E-13</v>
      </c>
      <c r="R110" s="62">
        <f t="shared" si="55"/>
        <v>293.33333333333383</v>
      </c>
      <c r="S110" s="62">
        <f ca="1">AVERAGE(OFFSET($R$3,0,0,'Données projet'!$E$9+1,1))-AVERAGE(OFFSET($H$3,0,0,'Données projet'!$E$9+1,1))</f>
        <v>170.27677128684815</v>
      </c>
      <c r="T110" s="62">
        <f t="shared" si="88"/>
        <v>243.47439640666289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0.97650640877403416</v>
      </c>
      <c r="AB110" s="23">
        <f>EXP(-LN(2)/2)*AB109+(1-EXP(-LN(2)/2))/(LN(2)/2)*V110*Y110*VLOOKUP('Données projet'!$B$9,Paramètres!$A$1:$I$89,3,0)*0.475*44/12</f>
        <v>1.9584980631660333E-11</v>
      </c>
      <c r="AC110" s="24">
        <f t="shared" si="57"/>
        <v>0.97650640879361916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-9.9316821433603781E-14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327.826081588335</v>
      </c>
      <c r="AO110" s="62">
        <f t="shared" si="90"/>
        <v>348.84706693879735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1.8736998217676957</v>
      </c>
      <c r="AW110" s="23">
        <f>EXP(-LN(2)/2)*AW109+(1-EXP(-LN(2)/2))/(LN(2)/2)*AQ110*AT110*VLOOKUP('Données projet'!$B$10,Paramètres!$A$1:$I$89,3,0)*0.475*44/12</f>
        <v>3.8315906356654436E-11</v>
      </c>
      <c r="AX110" s="23">
        <f t="shared" si="60"/>
        <v>1.8736998218060117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-3.4106051316484809E-13</v>
      </c>
      <c r="BE110" s="14">
        <f>BD110*VLOOKUP('Données projet'!$B$11,Paramètres!$A$1:$I$89,3,0)*VLOOKUP('Données projet'!$B$11,Paramètres!$A$1:$I$89,5,0)</f>
        <v>-2.5006556825246659E-13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376.5422416541544</v>
      </c>
      <c r="BJ110" s="62">
        <f t="shared" si="92"/>
        <v>365.76175372075869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5.379723296099959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5.379723296099959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405.09126081846171</v>
      </c>
      <c r="CE110" s="62">
        <f t="shared" si="94"/>
        <v>534.22295841722166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2.1438601795612318</v>
      </c>
      <c r="CL110" s="23">
        <f>EXP(-LN(2)/25)*CL109+(1-EXP(-LN(2)/25))/(LN(2)/25)*Calculateur!CG110*Calculateur!CI110*VLOOKUP('Données projet'!$B$12,Paramètres!$A$1:$I$89,3,0)*0.475*44/12</f>
        <v>1.6580093302466767</v>
      </c>
      <c r="CM110" s="23">
        <f>EXP(-LN(2)/2)*CM109+(1-EXP(-LN(2)/2))/(LN(2)/2)*CG110*CJ110*VLOOKUP('Données projet'!$B$12,Paramètres!$A$1:$I$89,3,0)*0.475*44/12</f>
        <v>4.089335237353123E-12</v>
      </c>
      <c r="CN110" s="24">
        <f t="shared" si="66"/>
        <v>3.8018695098119979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244.82163392718377</v>
      </c>
      <c r="CZ110" s="62">
        <f t="shared" si="96"/>
        <v>342.30266518164211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1.2859529999259882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1.2859529999259882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-2.2737367544323206E-13</v>
      </c>
      <c r="DP110" s="18">
        <f>DO110*VLOOKUP('Données projet'!$B$14,Paramètres!$A$1:$I$89,3,0)*VLOOKUP('Données projet'!$B$14,Paramètres!$A$1:$I$89,5,0)</f>
        <v>-1.8089849618263545E-13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298.89893065707554</v>
      </c>
      <c r="DU110" s="62">
        <f t="shared" si="98"/>
        <v>294.28794439094878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5</v>
      </c>
      <c r="EJ110" s="13">
        <f>IF('Données projet'!$A$192&gt;35,EJ109+EI110-ER109,IF(A110&lt;'Données projet'!$A$192,$EG$205^A110,IF(A110='Données projet'!$A$192,'Données projet'!$B$192,EJ109+EI110-ER109)))</f>
        <v>316.99999999999989</v>
      </c>
      <c r="EK110" s="18">
        <f>EJ110*VLOOKUP('Données projet'!$B$15,Paramètres!$A$1:$I$89,3,0)*VLOOKUP('Données projet'!$B$15,Paramètres!$A$1:$I$89,5,0)</f>
        <v>286.82159999999988</v>
      </c>
      <c r="EL110" s="14">
        <f t="shared" si="99"/>
        <v>68.406583284351413</v>
      </c>
      <c r="EM110" s="22">
        <f t="shared" si="73"/>
        <v>618.68908588691181</v>
      </c>
      <c r="EN110" s="62">
        <f t="shared" si="74"/>
        <v>912.02241922024518</v>
      </c>
      <c r="EO110" s="62">
        <f ca="1">AVERAGE(OFFSET($EN$3,0,0,'Données projet'!$E$15+1,1))-AVERAGE(OFFSET($H$3,0,0,'Données projet'!$E$15+1,1))</f>
        <v>439.06700232017681</v>
      </c>
      <c r="EP110" s="62">
        <f t="shared" si="100"/>
        <v>278.21741231699929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1.0797403993242027</v>
      </c>
      <c r="EX110" s="23">
        <f>EXP(-LN(2)/2)*EX109+(1-EXP(-LN(2)/2))/(LN(2)/2)*ER110*EU110*VLOOKUP('Données projet'!$B$15,Paramètres!$A$1:$I$89,3,0)*0.475*44/12</f>
        <v>3.8354492997786895E-11</v>
      </c>
      <c r="EY110" s="24">
        <f t="shared" si="75"/>
        <v>1.0797403993625572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5</v>
      </c>
      <c r="FE110" s="13">
        <f>IF('Données projet'!$A$218&gt;35,FE109+FD110-FM109,IF(A110&lt;'Données projet'!$A$218,$FB$205^A110,IF(A110='Données projet'!$A$218,'Données projet'!$B$218,FE109+FD110-FM109)))</f>
        <v>316.99999999999989</v>
      </c>
      <c r="FF110" s="18">
        <f>FE110*VLOOKUP('Données projet'!$B$16,Paramètres!$A$1:$I$89,3,0)*VLOOKUP('Données projet'!$B$16,Paramètres!$A$1:$I$89,5,0)</f>
        <v>306.60239999999993</v>
      </c>
      <c r="FG110" s="14">
        <f t="shared" si="101"/>
        <v>72.558821602115088</v>
      </c>
      <c r="FH110" s="22">
        <f t="shared" si="76"/>
        <v>660.37246095701687</v>
      </c>
      <c r="FI110" s="62">
        <f t="shared" si="77"/>
        <v>953.70579429035024</v>
      </c>
      <c r="FJ110" s="62">
        <f ca="1">AVERAGE(OFFSET($FI$3,0,0,'Données projet'!$E$16+1,1))-AVERAGE(OFFSET($H$3,0,0,'Données projet'!$E$16+1,1))</f>
        <v>466.4945858005575</v>
      </c>
      <c r="FK110" s="62">
        <f t="shared" si="102"/>
        <v>294.45557293177131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7.7791505958761376E-11</v>
      </c>
      <c r="FT110" s="24">
        <f t="shared" si="78"/>
        <v>7.7791505958761376E-11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5</v>
      </c>
      <c r="FZ110" s="13">
        <f>IF('Données projet'!$A$244&gt;35,FZ109+FY110-GH109,IF(A110&lt;'Données projet'!$A$244,$FW$205^A110,IF(A110='Données projet'!$A$244,'Données projet'!$B$244,FZ109+FY110-GH109)))</f>
        <v>316.99999999999989</v>
      </c>
      <c r="GA110" s="18">
        <f>FZ110*VLOOKUP('Données projet'!$B$17,Paramètres!$A$1:$I$89,3,0)*VLOOKUP('Données projet'!$B$17,Paramètres!$A$1:$I$89,5,0)</f>
        <v>301.65719999999988</v>
      </c>
      <c r="GB110" s="14">
        <f t="shared" si="103"/>
        <v>71.523764786280154</v>
      </c>
      <c r="GC110" s="22">
        <f t="shared" si="79"/>
        <v>649.95684700277104</v>
      </c>
      <c r="GD110" s="62">
        <f t="shared" si="80"/>
        <v>943.29018033610441</v>
      </c>
      <c r="GE110" s="62">
        <f ca="1">AVERAGE(OFFSET($GD$3,0,0,'Données projet'!$E$17+1,1))-AVERAGE(OFFSET($H$3,0,0,'Données projet'!$E$17+1,1))</f>
        <v>459.64120566196812</v>
      </c>
      <c r="GF110" s="62">
        <f t="shared" si="104"/>
        <v>290.39826583283588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2.8421709430404007E-14</v>
      </c>
      <c r="O111" s="14">
        <f>N111*VLOOKUP('Données projet'!$B$9,Paramètres!$A$1:$I$89,3,0)*VLOOKUP('Données projet'!$B$9,Paramètres!$A$1:$I$89,5,0)</f>
        <v>1.5518253349000589E-14</v>
      </c>
      <c r="P111" s="14">
        <f t="shared" si="87"/>
        <v>2.8958815659671149E-13</v>
      </c>
      <c r="Q111" s="22">
        <f t="shared" si="107"/>
        <v>5.3139366398878183E-13</v>
      </c>
      <c r="R111" s="62">
        <f t="shared" si="55"/>
        <v>293.33333333333383</v>
      </c>
      <c r="S111" s="62">
        <f ca="1">AVERAGE(OFFSET($R$3,0,0,'Données projet'!$E$9+1,1))-AVERAGE(OFFSET($H$3,0,0,'Données projet'!$E$9+1,1))</f>
        <v>170.27677128684815</v>
      </c>
      <c r="T111" s="62">
        <f t="shared" si="88"/>
        <v>243.47439640666289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0.94980378967386803</v>
      </c>
      <c r="AB111" s="23">
        <f>EXP(-LN(2)/2)*AB110+(1-EXP(-LN(2)/2))/(LN(2)/2)*V111*Y111*VLOOKUP('Données projet'!$B$9,Paramètres!$A$1:$I$89,3,0)*0.475*44/12</f>
        <v>1.3848672614054214E-11</v>
      </c>
      <c r="AC111" s="24">
        <f t="shared" si="57"/>
        <v>0.94980378968771673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-9.9316821433603781E-14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327.826081588335</v>
      </c>
      <c r="AO111" s="62">
        <f t="shared" si="90"/>
        <v>348.84706693879735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1.8224634016078669</v>
      </c>
      <c r="AW111" s="23">
        <f>EXP(-LN(2)/2)*AW110+(1-EXP(-LN(2)/2))/(LN(2)/2)*AQ111*AT111*VLOOKUP('Données projet'!$B$10,Paramètres!$A$1:$I$89,3,0)*0.475*44/12</f>
        <v>2.7093437212099094E-11</v>
      </c>
      <c r="AX111" s="23">
        <f t="shared" si="60"/>
        <v>1.8224634016349603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-3.4106051316484809E-13</v>
      </c>
      <c r="BE111" s="14">
        <f>BD111*VLOOKUP('Données projet'!$B$11,Paramètres!$A$1:$I$89,3,0)*VLOOKUP('Données projet'!$B$11,Paramètres!$A$1:$I$89,5,0)</f>
        <v>-2.5006556825246659E-13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376.5422416541544</v>
      </c>
      <c r="BJ111" s="62">
        <f t="shared" si="92"/>
        <v>365.76175372075869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5.2742302035706476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5.2742302035706476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405.09126081846171</v>
      </c>
      <c r="CE111" s="62">
        <f t="shared" si="94"/>
        <v>534.22295841722166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2.1018203890656282</v>
      </c>
      <c r="CL111" s="23">
        <f>EXP(-LN(2)/25)*CL110+(1-EXP(-LN(2)/25))/(LN(2)/25)*Calculateur!CG111*Calculateur!CI111*VLOOKUP('Données projet'!$B$12,Paramètres!$A$1:$I$89,3,0)*0.475*44/12</f>
        <v>1.61267097792016</v>
      </c>
      <c r="CM111" s="23">
        <f>EXP(-LN(2)/2)*CM110+(1-EXP(-LN(2)/2))/(LN(2)/2)*CG111*CJ111*VLOOKUP('Données projet'!$B$12,Paramètres!$A$1:$I$89,3,0)*0.475*44/12</f>
        <v>2.8915966768774932E-12</v>
      </c>
      <c r="CN111" s="24">
        <f t="shared" si="66"/>
        <v>3.7144913669886797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244.82163392718377</v>
      </c>
      <c r="CZ111" s="62">
        <f t="shared" si="96"/>
        <v>342.30266518164211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1.2607362459513209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1.2607362459513209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-2.2737367544323206E-13</v>
      </c>
      <c r="DP111" s="18">
        <f>DO111*VLOOKUP('Données projet'!$B$14,Paramètres!$A$1:$I$89,3,0)*VLOOKUP('Données projet'!$B$14,Paramètres!$A$1:$I$89,5,0)</f>
        <v>-1.8089849618263545E-13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298.89893065707554</v>
      </c>
      <c r="DU111" s="62">
        <f t="shared" si="98"/>
        <v>294.28794439094878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5</v>
      </c>
      <c r="EJ111" s="13">
        <f>IF('Données projet'!$A$192&gt;35,EJ110+EI111-ER110,IF(A111&lt;'Données projet'!$A$192,$EG$205^A111,IF(A111='Données projet'!$A$192,'Données projet'!$B$192,EJ110+EI111-ER110)))</f>
        <v>321.99999999999989</v>
      </c>
      <c r="EK111" s="18">
        <f>EJ111*VLOOKUP('Données projet'!$B$15,Paramètres!$A$1:$I$89,3,0)*VLOOKUP('Données projet'!$B$15,Paramètres!$A$1:$I$89,5,0)</f>
        <v>291.34559999999993</v>
      </c>
      <c r="EL111" s="14">
        <f t="shared" si="99"/>
        <v>69.359089490698707</v>
      </c>
      <c r="EM111" s="22">
        <f t="shared" si="73"/>
        <v>628.22733419630015</v>
      </c>
      <c r="EN111" s="62">
        <f t="shared" si="74"/>
        <v>921.56066752963352</v>
      </c>
      <c r="EO111" s="62">
        <f ca="1">AVERAGE(OFFSET($EN$3,0,0,'Données projet'!$E$15+1,1))-AVERAGE(OFFSET($H$3,0,0,'Données projet'!$E$15+1,1))</f>
        <v>439.06700232017681</v>
      </c>
      <c r="EP111" s="62">
        <f t="shared" si="100"/>
        <v>278.21741231699929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1.0502148413236025</v>
      </c>
      <c r="EX111" s="23">
        <f>EXP(-LN(2)/2)*EX110+(1-EXP(-LN(2)/2))/(LN(2)/2)*ER111*EU111*VLOOKUP('Données projet'!$B$15,Paramètres!$A$1:$I$89,3,0)*0.475*44/12</f>
        <v>2.7120722087707068E-11</v>
      </c>
      <c r="EY111" s="24">
        <f t="shared" si="75"/>
        <v>1.0502148413507233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5</v>
      </c>
      <c r="FE111" s="13">
        <f>IF('Données projet'!$A$218&gt;35,FE110+FD111-FM110,IF(A111&lt;'Données projet'!$A$218,$FB$205^A111,IF(A111='Données projet'!$A$218,'Données projet'!$B$218,FE110+FD111-FM110)))</f>
        <v>321.99999999999989</v>
      </c>
      <c r="FF111" s="18">
        <f>FE111*VLOOKUP('Données projet'!$B$16,Paramètres!$A$1:$I$89,3,0)*VLOOKUP('Données projet'!$B$16,Paramètres!$A$1:$I$89,5,0)</f>
        <v>311.43839999999989</v>
      </c>
      <c r="FG111" s="14">
        <f t="shared" si="101"/>
        <v>73.569144360291361</v>
      </c>
      <c r="FH111" s="22">
        <f t="shared" si="76"/>
        <v>670.55480642750729</v>
      </c>
      <c r="FI111" s="62">
        <f t="shared" si="77"/>
        <v>963.88813976084066</v>
      </c>
      <c r="FJ111" s="62">
        <f ca="1">AVERAGE(OFFSET($FI$3,0,0,'Données projet'!$E$16+1,1))-AVERAGE(OFFSET($H$3,0,0,'Données projet'!$E$16+1,1))</f>
        <v>466.4945858005575</v>
      </c>
      <c r="FK111" s="62">
        <f t="shared" si="102"/>
        <v>294.45557293177131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5.5006901382153889E-11</v>
      </c>
      <c r="FT111" s="24">
        <f t="shared" si="78"/>
        <v>5.5006901382153889E-11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5</v>
      </c>
      <c r="FZ111" s="13">
        <f>IF('Données projet'!$A$244&gt;35,FZ110+FY111-GH110,IF(A111&lt;'Données projet'!$A$244,$FW$205^A111,IF(A111='Données projet'!$A$244,'Données projet'!$B$244,FZ110+FY111-GH110)))</f>
        <v>321.99999999999989</v>
      </c>
      <c r="GA111" s="18">
        <f>FZ111*VLOOKUP('Données projet'!$B$17,Paramètres!$A$1:$I$89,3,0)*VLOOKUP('Données projet'!$B$17,Paramètres!$A$1:$I$89,5,0)</f>
        <v>306.41519999999991</v>
      </c>
      <c r="GB111" s="14">
        <f t="shared" si="103"/>
        <v>72.519675217547672</v>
      </c>
      <c r="GC111" s="22">
        <f t="shared" si="79"/>
        <v>659.97824100389539</v>
      </c>
      <c r="GD111" s="62">
        <f t="shared" si="80"/>
        <v>953.31157433722865</v>
      </c>
      <c r="GE111" s="62">
        <f ca="1">AVERAGE(OFFSET($GD$3,0,0,'Données projet'!$E$17+1,1))-AVERAGE(OFFSET($H$3,0,0,'Données projet'!$E$17+1,1))</f>
        <v>459.64120566196812</v>
      </c>
      <c r="GF111" s="62">
        <f t="shared" si="104"/>
        <v>290.39826583283588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2.8421709430404007E-14</v>
      </c>
      <c r="O112" s="14">
        <f>N112*VLOOKUP('Données projet'!$B$9,Paramètres!$A$1:$I$89,3,0)*VLOOKUP('Données projet'!$B$9,Paramètres!$A$1:$I$89,5,0)</f>
        <v>1.5518253349000589E-14</v>
      </c>
      <c r="P112" s="14">
        <f t="shared" si="87"/>
        <v>2.8958815659671149E-13</v>
      </c>
      <c r="Q112" s="22">
        <f t="shared" si="107"/>
        <v>5.3139366398878183E-13</v>
      </c>
      <c r="R112" s="62">
        <f t="shared" si="55"/>
        <v>293.33333333333383</v>
      </c>
      <c r="S112" s="62">
        <f ca="1">AVERAGE(OFFSET($R$3,0,0,'Données projet'!$E$9+1,1))-AVERAGE(OFFSET($H$3,0,0,'Données projet'!$E$9+1,1))</f>
        <v>170.27677128684815</v>
      </c>
      <c r="T112" s="62">
        <f t="shared" si="88"/>
        <v>243.47439640666289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0.92383135509722558</v>
      </c>
      <c r="AB112" s="23">
        <f>EXP(-LN(2)/2)*AB111+(1-EXP(-LN(2)/2))/(LN(2)/2)*V112*Y112*VLOOKUP('Données projet'!$B$9,Paramètres!$A$1:$I$89,3,0)*0.475*44/12</f>
        <v>9.7924903158301663E-12</v>
      </c>
      <c r="AC112" s="24">
        <f t="shared" si="57"/>
        <v>0.92383135510701808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-9.9316821433603781E-14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327.826081588335</v>
      </c>
      <c r="AO112" s="62">
        <f t="shared" si="90"/>
        <v>348.84706693879735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1.7726280440517148</v>
      </c>
      <c r="AW112" s="23">
        <f>EXP(-LN(2)/2)*AW111+(1-EXP(-LN(2)/2))/(LN(2)/2)*AQ112*AT112*VLOOKUP('Données projet'!$B$10,Paramètres!$A$1:$I$89,3,0)*0.475*44/12</f>
        <v>1.9157953178327218E-11</v>
      </c>
      <c r="AX112" s="23">
        <f t="shared" si="60"/>
        <v>1.7726280440708728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-3.4106051316484809E-13</v>
      </c>
      <c r="BE112" s="14">
        <f>BD112*VLOOKUP('Données projet'!$B$11,Paramètres!$A$1:$I$89,3,0)*VLOOKUP('Données projet'!$B$11,Paramètres!$A$1:$I$89,5,0)</f>
        <v>-2.5006556825246659E-13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376.5422416541544</v>
      </c>
      <c r="BJ112" s="62">
        <f t="shared" si="92"/>
        <v>365.76175372075869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5.1708057662414024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5.1708057662414024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405.09126081846171</v>
      </c>
      <c r="CE112" s="62">
        <f t="shared" si="94"/>
        <v>534.22295841722166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2.060604973219903</v>
      </c>
      <c r="CL112" s="23">
        <f>EXP(-LN(2)/25)*CL111+(1-EXP(-LN(2)/25))/(LN(2)/25)*Calculateur!CG112*Calculateur!CI112*VLOOKUP('Données projet'!$B$12,Paramètres!$A$1:$I$89,3,0)*0.475*44/12</f>
        <v>1.5685724052222523</v>
      </c>
      <c r="CM112" s="23">
        <f>EXP(-LN(2)/2)*CM111+(1-EXP(-LN(2)/2))/(LN(2)/2)*CG112*CJ112*VLOOKUP('Données projet'!$B$12,Paramètres!$A$1:$I$89,3,0)*0.475*44/12</f>
        <v>2.0446676186765615E-12</v>
      </c>
      <c r="CN112" s="24">
        <f t="shared" si="66"/>
        <v>3.6291773784441999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244.82163392718377</v>
      </c>
      <c r="CZ112" s="62">
        <f t="shared" si="96"/>
        <v>342.30266518164211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1.2360139771413958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1.2360139771413958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-2.2737367544323206E-13</v>
      </c>
      <c r="DP112" s="18">
        <f>DO112*VLOOKUP('Données projet'!$B$14,Paramètres!$A$1:$I$89,3,0)*VLOOKUP('Données projet'!$B$14,Paramètres!$A$1:$I$89,5,0)</f>
        <v>-1.8089849618263545E-13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298.89893065707554</v>
      </c>
      <c r="DU112" s="62">
        <f t="shared" si="98"/>
        <v>294.28794439094878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5</v>
      </c>
      <c r="EJ112" s="13">
        <f>IF('Données projet'!$A$192&gt;35,EJ111+EI112-ER111,IF(A112&lt;'Données projet'!$A$192,$EG$205^A112,IF(A112='Données projet'!$A$192,'Données projet'!$B$192,EJ111+EI112-ER111)))</f>
        <v>326.99999999999989</v>
      </c>
      <c r="EK112" s="18">
        <f>EJ112*VLOOKUP('Données projet'!$B$15,Paramètres!$A$1:$I$89,3,0)*VLOOKUP('Données projet'!$B$15,Paramètres!$A$1:$I$89,5,0)</f>
        <v>295.86959999999988</v>
      </c>
      <c r="EL112" s="14">
        <f t="shared" si="99"/>
        <v>70.309875568291218</v>
      </c>
      <c r="EM112" s="22">
        <f t="shared" si="73"/>
        <v>637.76258661477357</v>
      </c>
      <c r="EN112" s="62">
        <f t="shared" si="74"/>
        <v>931.09591994810694</v>
      </c>
      <c r="EO112" s="62">
        <f ca="1">AVERAGE(OFFSET($EN$3,0,0,'Données projet'!$E$15+1,1))-AVERAGE(OFFSET($H$3,0,0,'Données projet'!$E$15+1,1))</f>
        <v>439.06700232017681</v>
      </c>
      <c r="EP112" s="62">
        <f t="shared" si="100"/>
        <v>278.21741231699929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1.0214966612592105</v>
      </c>
      <c r="EX112" s="23">
        <f>EXP(-LN(2)/2)*EX111+(1-EXP(-LN(2)/2))/(LN(2)/2)*ER112*EU112*VLOOKUP('Données projet'!$B$15,Paramètres!$A$1:$I$89,3,0)*0.475*44/12</f>
        <v>1.9177246498893448E-11</v>
      </c>
      <c r="EY112" s="24">
        <f t="shared" si="75"/>
        <v>1.0214966612783878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5</v>
      </c>
      <c r="FE112" s="13">
        <f>IF('Données projet'!$A$218&gt;35,FE111+FD112-FM111,IF(A112&lt;'Données projet'!$A$218,$FB$205^A112,IF(A112='Données projet'!$A$218,'Données projet'!$B$218,FE111+FD112-FM111)))</f>
        <v>326.99999999999989</v>
      </c>
      <c r="FF112" s="18">
        <f>FE112*VLOOKUP('Données projet'!$B$16,Paramètres!$A$1:$I$89,3,0)*VLOOKUP('Données projet'!$B$16,Paramètres!$A$1:$I$89,5,0)</f>
        <v>316.2743999999999</v>
      </c>
      <c r="FG112" s="14">
        <f t="shared" si="101"/>
        <v>74.577642578935567</v>
      </c>
      <c r="FH112" s="22">
        <f t="shared" si="76"/>
        <v>680.73397415831266</v>
      </c>
      <c r="FI112" s="62">
        <f t="shared" si="77"/>
        <v>974.06730749164603</v>
      </c>
      <c r="FJ112" s="62">
        <f ca="1">AVERAGE(OFFSET($FI$3,0,0,'Données projet'!$E$16+1,1))-AVERAGE(OFFSET($H$3,0,0,'Données projet'!$E$16+1,1))</f>
        <v>466.4945858005575</v>
      </c>
      <c r="FK112" s="62">
        <f t="shared" si="102"/>
        <v>294.45557293177131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3.8895752979380688E-11</v>
      </c>
      <c r="FT112" s="24">
        <f t="shared" si="78"/>
        <v>3.8895752979380688E-11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5</v>
      </c>
      <c r="FZ112" s="13">
        <f>IF('Données projet'!$A$244&gt;35,FZ111+FY112-GH111,IF(A112&lt;'Données projet'!$A$244,$FW$205^A112,IF(A112='Données projet'!$A$244,'Données projet'!$B$244,FZ111+FY112-GH111)))</f>
        <v>326.99999999999989</v>
      </c>
      <c r="GA112" s="18">
        <f>FZ112*VLOOKUP('Données projet'!$B$17,Paramètres!$A$1:$I$89,3,0)*VLOOKUP('Données projet'!$B$17,Paramètres!$A$1:$I$89,5,0)</f>
        <v>311.17319999999989</v>
      </c>
      <c r="GB112" s="14">
        <f t="shared" si="103"/>
        <v>73.513787136470953</v>
      </c>
      <c r="GC112" s="22">
        <f t="shared" si="79"/>
        <v>669.99650259602015</v>
      </c>
      <c r="GD112" s="62">
        <f t="shared" si="80"/>
        <v>963.32983592935352</v>
      </c>
      <c r="GE112" s="62">
        <f ca="1">AVERAGE(OFFSET($GD$3,0,0,'Données projet'!$E$17+1,1))-AVERAGE(OFFSET($H$3,0,0,'Données projet'!$E$17+1,1))</f>
        <v>459.64120566196812</v>
      </c>
      <c r="GF112" s="62">
        <f t="shared" si="104"/>
        <v>290.39826583283588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2.8421709430404007E-14</v>
      </c>
      <c r="O113" s="14">
        <f>N113*VLOOKUP('Données projet'!$B$9,Paramètres!$A$1:$I$89,3,0)*VLOOKUP('Données projet'!$B$9,Paramètres!$A$1:$I$89,5,0)</f>
        <v>1.5518253349000589E-14</v>
      </c>
      <c r="P113" s="14">
        <f t="shared" si="87"/>
        <v>2.8958815659671149E-13</v>
      </c>
      <c r="Q113" s="22">
        <f t="shared" si="107"/>
        <v>5.3139366398878183E-13</v>
      </c>
      <c r="R113" s="62">
        <f t="shared" si="55"/>
        <v>293.33333333333383</v>
      </c>
      <c r="S113" s="62">
        <f ca="1">AVERAGE(OFFSET($R$3,0,0,'Données projet'!$E$9+1,1))-AVERAGE(OFFSET($H$3,0,0,'Données projet'!$E$9+1,1))</f>
        <v>170.27677128684815</v>
      </c>
      <c r="T113" s="62">
        <f t="shared" si="88"/>
        <v>243.47439640666289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0.89856913810991246</v>
      </c>
      <c r="AB113" s="23">
        <f>EXP(-LN(2)/2)*AB112+(1-EXP(-LN(2)/2))/(LN(2)/2)*V113*Y113*VLOOKUP('Données projet'!$B$9,Paramètres!$A$1:$I$89,3,0)*0.475*44/12</f>
        <v>6.9243363070271072E-12</v>
      </c>
      <c r="AC113" s="24">
        <f t="shared" si="57"/>
        <v>0.89856913811683681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-9.9316821433603781E-14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327.826081588335</v>
      </c>
      <c r="AO113" s="62">
        <f t="shared" si="90"/>
        <v>348.84706693879735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1.7241554369686631</v>
      </c>
      <c r="AW113" s="23">
        <f>EXP(-LN(2)/2)*AW112+(1-EXP(-LN(2)/2))/(LN(2)/2)*AQ113*AT113*VLOOKUP('Données projet'!$B$10,Paramètres!$A$1:$I$89,3,0)*0.475*44/12</f>
        <v>1.3546718606049547E-11</v>
      </c>
      <c r="AX113" s="23">
        <f t="shared" si="60"/>
        <v>1.7241554369822099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-3.4106051316484809E-13</v>
      </c>
      <c r="BE113" s="14">
        <f>BD113*VLOOKUP('Données projet'!$B$11,Paramètres!$A$1:$I$89,3,0)*VLOOKUP('Données projet'!$B$11,Paramètres!$A$1:$I$89,5,0)</f>
        <v>-2.5006556825246659E-13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376.5422416541544</v>
      </c>
      <c r="BJ113" s="62">
        <f t="shared" si="92"/>
        <v>365.76175372075869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5.0694094190455061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5.0694094190455061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405.09126081846171</v>
      </c>
      <c r="CE113" s="62">
        <f t="shared" si="94"/>
        <v>534.22295841722166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2.0201977665399911</v>
      </c>
      <c r="CL113" s="23">
        <f>EXP(-LN(2)/25)*CL112+(1-EXP(-LN(2)/25))/(LN(2)/25)*Calculateur!CG113*Calculateur!CI113*VLOOKUP('Données projet'!$B$12,Paramètres!$A$1:$I$89,3,0)*0.475*44/12</f>
        <v>1.525679710313812</v>
      </c>
      <c r="CM113" s="23">
        <f>EXP(-LN(2)/2)*CM112+(1-EXP(-LN(2)/2))/(LN(2)/2)*CG113*CJ113*VLOOKUP('Données projet'!$B$12,Paramètres!$A$1:$I$89,3,0)*0.475*44/12</f>
        <v>1.4457983384387466E-12</v>
      </c>
      <c r="CN113" s="24">
        <f t="shared" si="66"/>
        <v>3.545877476855249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244.82163392718377</v>
      </c>
      <c r="CZ113" s="62">
        <f t="shared" si="96"/>
        <v>342.30266518164211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1.2117764969437383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1.2117764969437383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-2.2737367544323206E-13</v>
      </c>
      <c r="DP113" s="18">
        <f>DO113*VLOOKUP('Données projet'!$B$14,Paramètres!$A$1:$I$89,3,0)*VLOOKUP('Données projet'!$B$14,Paramètres!$A$1:$I$89,5,0)</f>
        <v>-1.8089849618263545E-13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298.89893065707554</v>
      </c>
      <c r="DU113" s="62">
        <f t="shared" si="98"/>
        <v>294.28794439094878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332</v>
      </c>
      <c r="EH113" s="13">
        <f>VLOOKUP(A113,'Données projet'!$A$191:$I$211,9,0)</f>
        <v>5</v>
      </c>
      <c r="EI113" s="13">
        <f t="array" ref="EI113">INDEX(EH:EH,MIN(IF(ISNUMBER(EH113:EH309),ROW(EH113:EH309),"")))</f>
        <v>5</v>
      </c>
      <c r="EJ113" s="13">
        <f>IF('Données projet'!$A$192&gt;35,EJ112+EI113-ER112,IF(A113&lt;'Données projet'!$A$192,$EG$205^A113,IF(A113='Données projet'!$A$192,'Données projet'!$B$192,EJ112+EI113-ER112)))</f>
        <v>331.99999999999989</v>
      </c>
      <c r="EK113" s="18">
        <f>EJ113*VLOOKUP('Données projet'!$B$15,Paramètres!$A$1:$I$89,3,0)*VLOOKUP('Données projet'!$B$15,Paramètres!$A$1:$I$89,5,0)</f>
        <v>300.39359999999988</v>
      </c>
      <c r="EL113" s="14">
        <f t="shared" si="99"/>
        <v>71.258970856492667</v>
      </c>
      <c r="EM113" s="22">
        <f t="shared" si="73"/>
        <v>647.29489424172459</v>
      </c>
      <c r="EN113" s="62">
        <f t="shared" si="74"/>
        <v>940.62822757505796</v>
      </c>
      <c r="EO113" s="62">
        <f ca="1">AVERAGE(OFFSET($EN$3,0,0,'Données projet'!$E$15+1,1))-AVERAGE(OFFSET($H$3,0,0,'Données projet'!$E$15+1,1))</f>
        <v>439.06700232017681</v>
      </c>
      <c r="EP113" s="62">
        <f t="shared" si="100"/>
        <v>278.21741231699929</v>
      </c>
      <c r="EQ113" s="16">
        <f>IF(ISNA(VLOOKUP(A113,'Données projet'!$A$191:$I$211,3,0)),0,VLOOKUP(A113,'Données projet'!$A$191:$I$211,3,0))</f>
        <v>19</v>
      </c>
      <c r="ER113" s="16">
        <f>IF(ISNA(VLOOKUP(A113,'Données projet'!$A$191:$I$211,4,0)),0,VLOOKUP(A113,'Données projet'!$A$191:$I$211,4,0))</f>
        <v>25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0.99356378133890255</v>
      </c>
      <c r="EX113" s="23">
        <f>EXP(-LN(2)/2)*EX112+(1-EXP(-LN(2)/2))/(LN(2)/2)*ER113*EU113*VLOOKUP('Données projet'!$B$15,Paramètres!$A$1:$I$89,3,0)*0.475*44/12</f>
        <v>1.3560361043853534E-11</v>
      </c>
      <c r="EY113" s="24">
        <f t="shared" si="75"/>
        <v>0.99356378135246293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332</v>
      </c>
      <c r="FC113" s="13">
        <f>VLOOKUP(A113,'Données projet'!$A$217:$I$237,9,0)</f>
        <v>5</v>
      </c>
      <c r="FD113" s="13">
        <f t="array" ref="FD113">INDEX(FC:FC,MIN(IF(ISNUMBER(FC113:FC309),ROW(FC113:FC309),"")))</f>
        <v>5</v>
      </c>
      <c r="FE113" s="13">
        <f>IF('Données projet'!$A$218&gt;35,FE112+FD113-FM112,IF(A113&lt;'Données projet'!$A$218,$FB$205^A113,IF(A113='Données projet'!$A$218,'Données projet'!$B$218,FE112+FD113-FM112)))</f>
        <v>331.99999999999989</v>
      </c>
      <c r="FF113" s="18">
        <f>FE113*VLOOKUP('Données projet'!$B$16,Paramètres!$A$1:$I$89,3,0)*VLOOKUP('Données projet'!$B$16,Paramètres!$A$1:$I$89,5,0)</f>
        <v>321.11039999999986</v>
      </c>
      <c r="FG113" s="14">
        <f t="shared" si="101"/>
        <v>75.584347378293316</v>
      </c>
      <c r="FH113" s="22">
        <f t="shared" si="76"/>
        <v>690.91001835052737</v>
      </c>
      <c r="FI113" s="62">
        <f t="shared" si="77"/>
        <v>984.24335168386074</v>
      </c>
      <c r="FJ113" s="62">
        <f ca="1">AVERAGE(OFFSET($FI$3,0,0,'Données projet'!$E$16+1,1))-AVERAGE(OFFSET($H$3,0,0,'Données projet'!$E$16+1,1))</f>
        <v>466.4945858005575</v>
      </c>
      <c r="FK113" s="62">
        <f t="shared" si="102"/>
        <v>294.45557293177131</v>
      </c>
      <c r="FL113" s="16">
        <f>IF(ISNA(VLOOKUP(A113,'Données projet'!$A$217:$I$237,3,0)),0,VLOOKUP(A113,'Données projet'!$A$217:$I$237,3,0))</f>
        <v>19</v>
      </c>
      <c r="FM113" s="16">
        <f>IF(ISNA(VLOOKUP(A113,'Données projet'!$A$217:$I$237,4,0)),0,VLOOKUP(A113,'Données projet'!$A$217:$I$237,4,0))</f>
        <v>25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2.7503450691076945E-11</v>
      </c>
      <c r="FT113" s="24">
        <f t="shared" si="78"/>
        <v>2.7503450691076945E-11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332</v>
      </c>
      <c r="FX113" s="13">
        <f>VLOOKUP(A113,'Données projet'!$A$243:$I$263,9,0)</f>
        <v>5</v>
      </c>
      <c r="FY113" s="13">
        <f t="array" ref="FY113">INDEX(FX:FX,MIN(IF(ISNUMBER(FX113:FX309),ROW(FX113:FX309),"")))</f>
        <v>5</v>
      </c>
      <c r="FZ113" s="13">
        <f>IF('Données projet'!$A$244&gt;35,FZ112+FY113-GH112,IF(A113&lt;'Données projet'!$A$244,$FW$205^A113,IF(A113='Données projet'!$A$244,'Données projet'!$B$244,FZ112+FY113-GH112)))</f>
        <v>331.99999999999989</v>
      </c>
      <c r="GA113" s="18">
        <f>FZ113*VLOOKUP('Données projet'!$B$17,Paramètres!$A$1:$I$89,3,0)*VLOOKUP('Données projet'!$B$17,Paramètres!$A$1:$I$89,5,0)</f>
        <v>315.93119999999988</v>
      </c>
      <c r="GB113" s="14">
        <f t="shared" si="103"/>
        <v>74.506131219363056</v>
      </c>
      <c r="GC113" s="22">
        <f t="shared" si="79"/>
        <v>680.01168520705698</v>
      </c>
      <c r="GD113" s="62">
        <f t="shared" si="80"/>
        <v>973.34501854039036</v>
      </c>
      <c r="GE113" s="62">
        <f ca="1">AVERAGE(OFFSET($GD$3,0,0,'Données projet'!$E$17+1,1))-AVERAGE(OFFSET($H$3,0,0,'Données projet'!$E$17+1,1))</f>
        <v>459.64120566196812</v>
      </c>
      <c r="GF113" s="62">
        <f t="shared" si="104"/>
        <v>290.39826583283588</v>
      </c>
      <c r="GG113" s="16">
        <f>IF(ISNA(VLOOKUP(A113,'Données projet'!$A$243:$I$263,3,0)),0,VLOOKUP(A113,'Données projet'!$A$243:$I$263,3,0))</f>
        <v>19</v>
      </c>
      <c r="GH113" s="16">
        <f>IF(ISNA(VLOOKUP(A113,'Données projet'!$A$243:$I$263,4,0)),0,VLOOKUP(A113,'Données projet'!$A$243:$I$263,4,0))</f>
        <v>25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2.8421709430404007E-14</v>
      </c>
      <c r="O114" s="14">
        <f>N114*VLOOKUP('Données projet'!$B$9,Paramètres!$A$1:$I$89,3,0)*VLOOKUP('Données projet'!$B$9,Paramètres!$A$1:$I$89,5,0)</f>
        <v>1.5518253349000589E-14</v>
      </c>
      <c r="P114" s="14">
        <f t="shared" si="87"/>
        <v>2.8958815659671149E-13</v>
      </c>
      <c r="Q114" s="22">
        <f t="shared" si="107"/>
        <v>5.3139366398878183E-13</v>
      </c>
      <c r="R114" s="62">
        <f t="shared" si="55"/>
        <v>293.33333333333383</v>
      </c>
      <c r="S114" s="62">
        <f ca="1">AVERAGE(OFFSET($R$3,0,0,'Données projet'!$E$9+1,1))-AVERAGE(OFFSET($H$3,0,0,'Données projet'!$E$9+1,1))</f>
        <v>170.27677128684815</v>
      </c>
      <c r="T114" s="62">
        <f t="shared" si="88"/>
        <v>243.47439640666289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0.87399771777459967</v>
      </c>
      <c r="AB114" s="23">
        <f>EXP(-LN(2)/2)*AB113+(1-EXP(-LN(2)/2))/(LN(2)/2)*V114*Y114*VLOOKUP('Données projet'!$B$9,Paramètres!$A$1:$I$89,3,0)*0.475*44/12</f>
        <v>4.8962451579150832E-12</v>
      </c>
      <c r="AC114" s="24">
        <f t="shared" si="57"/>
        <v>0.87399771777949586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-9.9316821433603781E-14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327.826081588335</v>
      </c>
      <c r="AO114" s="62">
        <f t="shared" si="90"/>
        <v>348.84706693879735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1.6770083158753613</v>
      </c>
      <c r="AW114" s="23">
        <f>EXP(-LN(2)/2)*AW113+(1-EXP(-LN(2)/2))/(LN(2)/2)*AQ114*AT114*VLOOKUP('Données projet'!$B$10,Paramètres!$A$1:$I$89,3,0)*0.475*44/12</f>
        <v>9.5789765891636089E-12</v>
      </c>
      <c r="AX114" s="23">
        <f t="shared" si="60"/>
        <v>1.6770083158849403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-3.4106051316484809E-13</v>
      </c>
      <c r="BE114" s="14">
        <f>BD114*VLOOKUP('Données projet'!$B$11,Paramètres!$A$1:$I$89,3,0)*VLOOKUP('Données projet'!$B$11,Paramètres!$A$1:$I$89,5,0)</f>
        <v>-2.5006556825246659E-13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376.5422416541544</v>
      </c>
      <c r="BJ114" s="62">
        <f t="shared" si="92"/>
        <v>365.76175372075869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4.9700013923724562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4.9700013923724562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405.09126081846171</v>
      </c>
      <c r="CE114" s="62">
        <f t="shared" si="94"/>
        <v>534.22295841722166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1.9805829205371099</v>
      </c>
      <c r="CL114" s="23">
        <f>EXP(-LN(2)/25)*CL113+(1-EXP(-LN(2)/25))/(LN(2)/25)*Calculateur!CG114*Calculateur!CI114*VLOOKUP('Données projet'!$B$12,Paramètres!$A$1:$I$89,3,0)*0.475*44/12</f>
        <v>1.4839599184032719</v>
      </c>
      <c r="CM114" s="23">
        <f>EXP(-LN(2)/2)*CM113+(1-EXP(-LN(2)/2))/(LN(2)/2)*CG114*CJ114*VLOOKUP('Données projet'!$B$12,Paramètres!$A$1:$I$89,3,0)*0.475*44/12</f>
        <v>1.0223338093382808E-12</v>
      </c>
      <c r="CN114" s="24">
        <f t="shared" si="66"/>
        <v>3.4645428389414041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244.82163392718377</v>
      </c>
      <c r="CZ114" s="62">
        <f t="shared" si="96"/>
        <v>342.30266518164211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1.1880142989493536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1.1880142989493536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-2.2737367544323206E-13</v>
      </c>
      <c r="DP114" s="18">
        <f>DO114*VLOOKUP('Données projet'!$B$14,Paramètres!$A$1:$I$89,3,0)*VLOOKUP('Données projet'!$B$14,Paramètres!$A$1:$I$89,5,0)</f>
        <v>-1.8089849618263545E-13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298.89893065707554</v>
      </c>
      <c r="DU114" s="62">
        <f t="shared" si="98"/>
        <v>294.28794439094878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4.5999999999999996</v>
      </c>
      <c r="EJ114" s="13">
        <f>IF('Données projet'!$A$192&gt;35,EJ113+EI114-ER113,IF(A114&lt;'Données projet'!$A$192,$EG$205^A114,IF(A114='Données projet'!$A$192,'Données projet'!$B$192,EJ113+EI114-ER113)))</f>
        <v>311.59999999999991</v>
      </c>
      <c r="EK114" s="18">
        <f>EJ114*VLOOKUP('Données projet'!$B$15,Paramètres!$A$1:$I$89,3,0)*VLOOKUP('Données projet'!$B$15,Paramètres!$A$1:$I$89,5,0)</f>
        <v>281.93567999999988</v>
      </c>
      <c r="EL114" s="14">
        <f t="shared" si="99"/>
        <v>67.375909546040361</v>
      </c>
      <c r="EM114" s="22">
        <f t="shared" si="73"/>
        <v>608.38435179268674</v>
      </c>
      <c r="EN114" s="62">
        <f t="shared" si="74"/>
        <v>901.71768512602011</v>
      </c>
      <c r="EO114" s="62">
        <f ca="1">AVERAGE(OFFSET($EN$3,0,0,'Données projet'!$E$15+1,1))-AVERAGE(OFFSET($H$3,0,0,'Données projet'!$E$15+1,1))</f>
        <v>439.06700232017681</v>
      </c>
      <c r="EP114" s="62">
        <f t="shared" si="100"/>
        <v>278.21741231699929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0.96639472748894184</v>
      </c>
      <c r="EX114" s="23">
        <f>EXP(-LN(2)/2)*EX113+(1-EXP(-LN(2)/2))/(LN(2)/2)*ER114*EU114*VLOOKUP('Données projet'!$B$15,Paramètres!$A$1:$I$89,3,0)*0.475*44/12</f>
        <v>9.5886232494467239E-12</v>
      </c>
      <c r="EY114" s="24">
        <f t="shared" si="75"/>
        <v>0.9663947274985305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4.5999999999999996</v>
      </c>
      <c r="FE114" s="13">
        <f>IF('Données projet'!$A$218&gt;35,FE113+FD114-FM113,IF(A114&lt;'Données projet'!$A$218,$FB$205^A114,IF(A114='Données projet'!$A$218,'Données projet'!$B$218,FE113+FD114-FM113)))</f>
        <v>311.59999999999991</v>
      </c>
      <c r="FF114" s="18">
        <f>FE114*VLOOKUP('Données projet'!$B$16,Paramètres!$A$1:$I$89,3,0)*VLOOKUP('Données projet'!$B$16,Paramètres!$A$1:$I$89,5,0)</f>
        <v>301.37951999999996</v>
      </c>
      <c r="FG114" s="14">
        <f t="shared" si="101"/>
        <v>71.465586589963848</v>
      </c>
      <c r="FH114" s="22">
        <f t="shared" si="76"/>
        <v>649.37189397752024</v>
      </c>
      <c r="FI114" s="62">
        <f t="shared" si="77"/>
        <v>942.70522731085362</v>
      </c>
      <c r="FJ114" s="62">
        <f ca="1">AVERAGE(OFFSET($FI$3,0,0,'Données projet'!$E$16+1,1))-AVERAGE(OFFSET($H$3,0,0,'Données projet'!$E$16+1,1))</f>
        <v>466.4945858005575</v>
      </c>
      <c r="FK114" s="62">
        <f t="shared" si="102"/>
        <v>294.45557293177131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1.9447876489690344E-11</v>
      </c>
      <c r="FT114" s="24">
        <f t="shared" si="78"/>
        <v>1.9447876489690344E-11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4.5999999999999996</v>
      </c>
      <c r="FZ114" s="13">
        <f>IF('Données projet'!$A$244&gt;35,FZ113+FY114-GH113,IF(A114&lt;'Données projet'!$A$244,$FW$205^A114,IF(A114='Données projet'!$A$244,'Données projet'!$B$244,FZ113+FY114-GH113)))</f>
        <v>311.59999999999991</v>
      </c>
      <c r="GA114" s="18">
        <f>FZ114*VLOOKUP('Données projet'!$B$17,Paramètres!$A$1:$I$89,3,0)*VLOOKUP('Données projet'!$B$17,Paramètres!$A$1:$I$89,5,0)</f>
        <v>296.51855999999992</v>
      </c>
      <c r="GB114" s="14">
        <f t="shared" si="103"/>
        <v>70.446124850311946</v>
      </c>
      <c r="GC114" s="22">
        <f t="shared" si="79"/>
        <v>639.1301594476264</v>
      </c>
      <c r="GD114" s="62">
        <f t="shared" si="80"/>
        <v>932.46349278095977</v>
      </c>
      <c r="GE114" s="62">
        <f ca="1">AVERAGE(OFFSET($GD$3,0,0,'Données projet'!$E$17+1,1))-AVERAGE(OFFSET($H$3,0,0,'Données projet'!$E$17+1,1))</f>
        <v>459.64120566196812</v>
      </c>
      <c r="GF114" s="62">
        <f t="shared" si="104"/>
        <v>290.39826583283588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2.8421709430404007E-14</v>
      </c>
      <c r="O115" s="14">
        <f>N115*VLOOKUP('Données projet'!$B$9,Paramètres!$A$1:$I$89,3,0)*VLOOKUP('Données projet'!$B$9,Paramètres!$A$1:$I$89,5,0)</f>
        <v>1.5518253349000589E-14</v>
      </c>
      <c r="P115" s="14">
        <f t="shared" si="87"/>
        <v>2.8958815659671149E-13</v>
      </c>
      <c r="Q115" s="22">
        <f t="shared" si="107"/>
        <v>5.3139366398878183E-13</v>
      </c>
      <c r="R115" s="62">
        <f t="shared" si="55"/>
        <v>293.33333333333383</v>
      </c>
      <c r="S115" s="62">
        <f ca="1">AVERAGE(OFFSET($R$3,0,0,'Données projet'!$E$9+1,1))-AVERAGE(OFFSET($H$3,0,0,'Données projet'!$E$9+1,1))</f>
        <v>170.27677128684815</v>
      </c>
      <c r="T115" s="62">
        <f t="shared" si="88"/>
        <v>243.47439640666289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0.85009820422051086</v>
      </c>
      <c r="AB115" s="23">
        <f>EXP(-LN(2)/2)*AB114+(1-EXP(-LN(2)/2))/(LN(2)/2)*V115*Y115*VLOOKUP('Données projet'!$B$9,Paramètres!$A$1:$I$89,3,0)*0.475*44/12</f>
        <v>3.4621681535135536E-12</v>
      </c>
      <c r="AC115" s="24">
        <f t="shared" si="57"/>
        <v>0.85009820422397298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-9.9316821433603781E-14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327.826081588335</v>
      </c>
      <c r="AO115" s="62">
        <f t="shared" si="90"/>
        <v>348.84706693879735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1.6311504352877151</v>
      </c>
      <c r="AW115" s="23">
        <f>EXP(-LN(2)/2)*AW114+(1-EXP(-LN(2)/2))/(LN(2)/2)*AQ115*AT115*VLOOKUP('Données projet'!$B$10,Paramètres!$A$1:$I$89,3,0)*0.475*44/12</f>
        <v>6.7733593030247734E-12</v>
      </c>
      <c r="AX115" s="23">
        <f t="shared" si="60"/>
        <v>1.6311504352944883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-3.4106051316484809E-13</v>
      </c>
      <c r="BE115" s="14">
        <f>BD115*VLOOKUP('Données projet'!$B$11,Paramètres!$A$1:$I$89,3,0)*VLOOKUP('Données projet'!$B$11,Paramètres!$A$1:$I$89,5,0)</f>
        <v>-2.5006556825246659E-13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376.5422416541544</v>
      </c>
      <c r="BJ115" s="62">
        <f t="shared" si="92"/>
        <v>365.76175372075869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4.872542696469556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4.872542696469556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405.09126081846171</v>
      </c>
      <c r="CE115" s="62">
        <f t="shared" si="94"/>
        <v>534.22295841722166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1.9417448975016751</v>
      </c>
      <c r="CL115" s="23">
        <f>EXP(-LN(2)/25)*CL114+(1-EXP(-LN(2)/25))/(LN(2)/25)*Calculateur!CG115*Calculateur!CI115*VLOOKUP('Données projet'!$B$12,Paramètres!$A$1:$I$89,3,0)*0.475*44/12</f>
        <v>1.4433809563964739</v>
      </c>
      <c r="CM115" s="23">
        <f>EXP(-LN(2)/2)*CM114+(1-EXP(-LN(2)/2))/(LN(2)/2)*CG115*CJ115*VLOOKUP('Données projet'!$B$12,Paramètres!$A$1:$I$89,3,0)*0.475*44/12</f>
        <v>7.228991692193733E-13</v>
      </c>
      <c r="CN115" s="24">
        <f t="shared" si="66"/>
        <v>3.385125853898872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244.82163392718377</v>
      </c>
      <c r="CZ115" s="62">
        <f t="shared" si="96"/>
        <v>342.30266518164211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1.1647180631641292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1.1647180631641292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-2.2737367544323206E-13</v>
      </c>
      <c r="DP115" s="18">
        <f>DO115*VLOOKUP('Données projet'!$B$14,Paramètres!$A$1:$I$89,3,0)*VLOOKUP('Données projet'!$B$14,Paramètres!$A$1:$I$89,5,0)</f>
        <v>-1.8089849618263545E-13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298.89893065707554</v>
      </c>
      <c r="DU115" s="62">
        <f t="shared" si="98"/>
        <v>294.28794439094878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4.5999999999999996</v>
      </c>
      <c r="EJ115" s="13">
        <f>IF('Données projet'!$A$192&gt;35,EJ114+EI115-ER114,IF(A115&lt;'Données projet'!$A$192,$EG$205^A115,IF(A115='Données projet'!$A$192,'Données projet'!$B$192,EJ114+EI115-ER114)))</f>
        <v>316.19999999999993</v>
      </c>
      <c r="EK115" s="18">
        <f>EJ115*VLOOKUP('Données projet'!$B$15,Paramètres!$A$1:$I$89,3,0)*VLOOKUP('Données projet'!$B$15,Paramètres!$A$1:$I$89,5,0)</f>
        <v>286.09775999999994</v>
      </c>
      <c r="EL115" s="14">
        <f t="shared" si="99"/>
        <v>68.254020651723678</v>
      </c>
      <c r="EM115" s="22">
        <f t="shared" si="73"/>
        <v>617.16268463508527</v>
      </c>
      <c r="EN115" s="62">
        <f t="shared" si="74"/>
        <v>910.49601796841853</v>
      </c>
      <c r="EO115" s="62">
        <f ca="1">AVERAGE(OFFSET($EN$3,0,0,'Données projet'!$E$15+1,1))-AVERAGE(OFFSET($H$3,0,0,'Données projet'!$E$15+1,1))</f>
        <v>439.06700232017681</v>
      </c>
      <c r="EP115" s="62">
        <f t="shared" si="100"/>
        <v>278.21741231699929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0.93996861284526678</v>
      </c>
      <c r="EX115" s="23">
        <f>EXP(-LN(2)/2)*EX114+(1-EXP(-LN(2)/2))/(LN(2)/2)*ER115*EU115*VLOOKUP('Données projet'!$B$15,Paramètres!$A$1:$I$89,3,0)*0.475*44/12</f>
        <v>6.7801805219267669E-12</v>
      </c>
      <c r="EY115" s="24">
        <f t="shared" si="75"/>
        <v>0.93996861285204691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4.5999999999999996</v>
      </c>
      <c r="FE115" s="13">
        <f>IF('Données projet'!$A$218&gt;35,FE114+FD115-FM114,IF(A115&lt;'Données projet'!$A$218,$FB$205^A115,IF(A115='Données projet'!$A$218,'Données projet'!$B$218,FE114+FD115-FM114)))</f>
        <v>316.19999999999993</v>
      </c>
      <c r="FF115" s="18">
        <f>FE115*VLOOKUP('Données projet'!$B$16,Paramètres!$A$1:$I$89,3,0)*VLOOKUP('Données projet'!$B$16,Paramètres!$A$1:$I$89,5,0)</f>
        <v>305.82863999999995</v>
      </c>
      <c r="FG115" s="14">
        <f t="shared" si="101"/>
        <v>72.396998509767741</v>
      </c>
      <c r="FH115" s="22">
        <f t="shared" si="76"/>
        <v>658.74298707117862</v>
      </c>
      <c r="FI115" s="62">
        <f t="shared" si="77"/>
        <v>952.07632040451199</v>
      </c>
      <c r="FJ115" s="62">
        <f ca="1">AVERAGE(OFFSET($FI$3,0,0,'Données projet'!$E$16+1,1))-AVERAGE(OFFSET($H$3,0,0,'Données projet'!$E$16+1,1))</f>
        <v>466.4945858005575</v>
      </c>
      <c r="FK115" s="62">
        <f t="shared" si="102"/>
        <v>294.45557293177131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1.3751725345538472E-11</v>
      </c>
      <c r="FT115" s="24">
        <f t="shared" si="78"/>
        <v>1.3751725345538472E-11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4.5999999999999996</v>
      </c>
      <c r="FZ115" s="13">
        <f>IF('Données projet'!$A$244&gt;35,FZ114+FY115-GH114,IF(A115&lt;'Données projet'!$A$244,$FW$205^A115,IF(A115='Données projet'!$A$244,'Données projet'!$B$244,FZ114+FY115-GH114)))</f>
        <v>316.19999999999993</v>
      </c>
      <c r="GA115" s="18">
        <f>FZ115*VLOOKUP('Données projet'!$B$17,Paramètres!$A$1:$I$89,3,0)*VLOOKUP('Données projet'!$B$17,Paramètres!$A$1:$I$89,5,0)</f>
        <v>300.89591999999993</v>
      </c>
      <c r="GB115" s="14">
        <f t="shared" si="103"/>
        <v>71.364250111999624</v>
      </c>
      <c r="GC115" s="22">
        <f t="shared" si="79"/>
        <v>648.35312961173247</v>
      </c>
      <c r="GD115" s="62">
        <f t="shared" si="80"/>
        <v>941.68646294506584</v>
      </c>
      <c r="GE115" s="62">
        <f ca="1">AVERAGE(OFFSET($GD$3,0,0,'Données projet'!$E$17+1,1))-AVERAGE(OFFSET($H$3,0,0,'Données projet'!$E$17+1,1))</f>
        <v>459.64120566196812</v>
      </c>
      <c r="GF115" s="62">
        <f t="shared" si="104"/>
        <v>290.39826583283588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2.8421709430404007E-14</v>
      </c>
      <c r="O116" s="14">
        <f>N116*VLOOKUP('Données projet'!$B$9,Paramètres!$A$1:$I$89,3,0)*VLOOKUP('Données projet'!$B$9,Paramètres!$A$1:$I$89,5,0)</f>
        <v>1.5518253349000589E-14</v>
      </c>
      <c r="P116" s="14">
        <f t="shared" si="87"/>
        <v>2.8958815659671149E-13</v>
      </c>
      <c r="Q116" s="22">
        <f t="shared" si="107"/>
        <v>5.3139366398878183E-13</v>
      </c>
      <c r="R116" s="62">
        <f t="shared" si="55"/>
        <v>293.33333333333383</v>
      </c>
      <c r="S116" s="62">
        <f ca="1">AVERAGE(OFFSET($R$3,0,0,'Données projet'!$E$9+1,1))-AVERAGE(OFFSET($H$3,0,0,'Données projet'!$E$9+1,1))</f>
        <v>170.27677128684815</v>
      </c>
      <c r="T116" s="62">
        <f t="shared" si="88"/>
        <v>243.47439640666289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0.82685222412137938</v>
      </c>
      <c r="AB116" s="23">
        <f>EXP(-LN(2)/2)*AB115+(1-EXP(-LN(2)/2))/(LN(2)/2)*V116*Y116*VLOOKUP('Données projet'!$B$9,Paramètres!$A$1:$I$89,3,0)*0.475*44/12</f>
        <v>2.4481225789575416E-12</v>
      </c>
      <c r="AC116" s="24">
        <f t="shared" si="57"/>
        <v>0.82685222412382753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-9.9316821433603781E-14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327.826081588335</v>
      </c>
      <c r="AO116" s="62">
        <f t="shared" si="90"/>
        <v>348.84706693879735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1.5865465408562991</v>
      </c>
      <c r="AW116" s="23">
        <f>EXP(-LN(2)/2)*AW115+(1-EXP(-LN(2)/2))/(LN(2)/2)*AQ116*AT116*VLOOKUP('Données projet'!$B$10,Paramètres!$A$1:$I$89,3,0)*0.475*44/12</f>
        <v>4.7894882945818045E-12</v>
      </c>
      <c r="AX116" s="23">
        <f t="shared" si="60"/>
        <v>1.5865465408610886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-3.4106051316484809E-13</v>
      </c>
      <c r="BE116" s="14">
        <f>BD116*VLOOKUP('Données projet'!$B$11,Paramètres!$A$1:$I$89,3,0)*VLOOKUP('Données projet'!$B$11,Paramètres!$A$1:$I$89,5,0)</f>
        <v>-2.5006556825246659E-13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376.5422416541544</v>
      </c>
      <c r="BJ116" s="62">
        <f t="shared" si="92"/>
        <v>365.76175372075869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4.7769951061493767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4.7769951061493767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405.09126081846171</v>
      </c>
      <c r="CE116" s="62">
        <f t="shared" si="94"/>
        <v>534.22295841722166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1.9036684644091102</v>
      </c>
      <c r="CL116" s="23">
        <f>EXP(-LN(2)/25)*CL115+(1-EXP(-LN(2)/25))/(LN(2)/25)*Calculateur!CG116*Calculateur!CI116*VLOOKUP('Données projet'!$B$12,Paramètres!$A$1:$I$89,3,0)*0.475*44/12</f>
        <v>1.4039116282397066</v>
      </c>
      <c r="CM116" s="23">
        <f>EXP(-LN(2)/2)*CM115+(1-EXP(-LN(2)/2))/(LN(2)/2)*CG116*CJ116*VLOOKUP('Données projet'!$B$12,Paramètres!$A$1:$I$89,3,0)*0.475*44/12</f>
        <v>5.1116690466914038E-13</v>
      </c>
      <c r="CN116" s="24">
        <f t="shared" si="66"/>
        <v>3.307580092649328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244.82163392718377</v>
      </c>
      <c r="CZ116" s="62">
        <f t="shared" si="96"/>
        <v>342.30266518164211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1.1418786523533522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1.1418786523533522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-2.2737367544323206E-13</v>
      </c>
      <c r="DP116" s="18">
        <f>DO116*VLOOKUP('Données projet'!$B$14,Paramètres!$A$1:$I$89,3,0)*VLOOKUP('Données projet'!$B$14,Paramètres!$A$1:$I$89,5,0)</f>
        <v>-1.8089849618263545E-13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298.89893065707554</v>
      </c>
      <c r="DU116" s="62">
        <f t="shared" si="98"/>
        <v>294.28794439094878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4.5999999999999996</v>
      </c>
      <c r="EJ116" s="13">
        <f>IF('Données projet'!$A$192&gt;35,EJ115+EI116-ER115,IF(A116&lt;'Données projet'!$A$192,$EG$205^A116,IF(A116='Données projet'!$A$192,'Données projet'!$B$192,EJ115+EI116-ER115)))</f>
        <v>320.79999999999995</v>
      </c>
      <c r="EK116" s="18">
        <f>EJ116*VLOOKUP('Données projet'!$B$15,Paramètres!$A$1:$I$89,3,0)*VLOOKUP('Données projet'!$B$15,Paramètres!$A$1:$I$89,5,0)</f>
        <v>290.25983999999994</v>
      </c>
      <c r="EL116" s="14">
        <f t="shared" si="99"/>
        <v>69.130646003237317</v>
      </c>
      <c r="EM116" s="22">
        <f t="shared" si="73"/>
        <v>625.93842978897146</v>
      </c>
      <c r="EN116" s="62">
        <f t="shared" si="74"/>
        <v>919.27176312230472</v>
      </c>
      <c r="EO116" s="62">
        <f ca="1">AVERAGE(OFFSET($EN$3,0,0,'Données projet'!$E$15+1,1))-AVERAGE(OFFSET($H$3,0,0,'Données projet'!$E$15+1,1))</f>
        <v>439.06700232017681</v>
      </c>
      <c r="EP116" s="62">
        <f t="shared" si="100"/>
        <v>278.21741231699929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0.91426512169621199</v>
      </c>
      <c r="EX116" s="23">
        <f>EXP(-LN(2)/2)*EX115+(1-EXP(-LN(2)/2))/(LN(2)/2)*ER116*EU116*VLOOKUP('Données projet'!$B$15,Paramètres!$A$1:$I$89,3,0)*0.475*44/12</f>
        <v>4.7943116247233619E-12</v>
      </c>
      <c r="EY116" s="24">
        <f t="shared" si="75"/>
        <v>0.91426512170100627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4.5999999999999996</v>
      </c>
      <c r="FE116" s="13">
        <f>IF('Données projet'!$A$218&gt;35,FE115+FD116-FM115,IF(A116&lt;'Données projet'!$A$218,$FB$205^A116,IF(A116='Données projet'!$A$218,'Données projet'!$B$218,FE115+FD116-FM115)))</f>
        <v>320.79999999999995</v>
      </c>
      <c r="FF116" s="18">
        <f>FE116*VLOOKUP('Données projet'!$B$16,Paramètres!$A$1:$I$89,3,0)*VLOOKUP('Données projet'!$B$16,Paramètres!$A$1:$I$89,5,0)</f>
        <v>310.27775999999994</v>
      </c>
      <c r="FG116" s="14">
        <f t="shared" si="101"/>
        <v>73.326834491020819</v>
      </c>
      <c r="FH116" s="22">
        <f t="shared" si="76"/>
        <v>668.11133540519438</v>
      </c>
      <c r="FI116" s="62">
        <f t="shared" si="77"/>
        <v>961.44466873852775</v>
      </c>
      <c r="FJ116" s="62">
        <f ca="1">AVERAGE(OFFSET($FI$3,0,0,'Données projet'!$E$16+1,1))-AVERAGE(OFFSET($H$3,0,0,'Données projet'!$E$16+1,1))</f>
        <v>466.4945858005575</v>
      </c>
      <c r="FK116" s="62">
        <f t="shared" si="102"/>
        <v>294.45557293177131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9.723938244845172E-12</v>
      </c>
      <c r="FT116" s="24">
        <f t="shared" si="78"/>
        <v>9.723938244845172E-12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4.5999999999999996</v>
      </c>
      <c r="FZ116" s="13">
        <f>IF('Données projet'!$A$244&gt;35,FZ115+FY116-GH115,IF(A116&lt;'Données projet'!$A$244,$FW$205^A116,IF(A116='Données projet'!$A$244,'Données projet'!$B$244,FZ115+FY116-GH115)))</f>
        <v>320.79999999999995</v>
      </c>
      <c r="GA116" s="18">
        <f>FZ116*VLOOKUP('Données projet'!$B$17,Paramètres!$A$1:$I$89,3,0)*VLOOKUP('Données projet'!$B$17,Paramètres!$A$1:$I$89,5,0)</f>
        <v>305.27327999999994</v>
      </c>
      <c r="GB116" s="14">
        <f t="shared" si="103"/>
        <v>72.280821916013338</v>
      </c>
      <c r="GC116" s="22">
        <f t="shared" si="79"/>
        <v>657.57339417038975</v>
      </c>
      <c r="GD116" s="62">
        <f t="shared" si="80"/>
        <v>950.906727503723</v>
      </c>
      <c r="GE116" s="62">
        <f ca="1">AVERAGE(OFFSET($GD$3,0,0,'Données projet'!$E$17+1,1))-AVERAGE(OFFSET($H$3,0,0,'Données projet'!$E$17+1,1))</f>
        <v>459.64120566196812</v>
      </c>
      <c r="GF116" s="62">
        <f t="shared" si="104"/>
        <v>290.39826583283588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2.8421709430404007E-14</v>
      </c>
      <c r="O117" s="14">
        <f>N117*VLOOKUP('Données projet'!$B$9,Paramètres!$A$1:$I$89,3,0)*VLOOKUP('Données projet'!$B$9,Paramètres!$A$1:$I$89,5,0)</f>
        <v>1.5518253349000589E-14</v>
      </c>
      <c r="P117" s="14">
        <f t="shared" si="87"/>
        <v>2.8958815659671149E-13</v>
      </c>
      <c r="Q117" s="22">
        <f t="shared" si="107"/>
        <v>5.3139366398878183E-13</v>
      </c>
      <c r="R117" s="62">
        <f t="shared" si="55"/>
        <v>293.33333333333383</v>
      </c>
      <c r="S117" s="62">
        <f ca="1">AVERAGE(OFFSET($R$3,0,0,'Données projet'!$E$9+1,1))-AVERAGE(OFFSET($H$3,0,0,'Données projet'!$E$9+1,1))</f>
        <v>170.27677128684815</v>
      </c>
      <c r="T117" s="62">
        <f t="shared" si="88"/>
        <v>243.47439640666289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0.80424190657051153</v>
      </c>
      <c r="AB117" s="23">
        <f>EXP(-LN(2)/2)*AB116+(1-EXP(-LN(2)/2))/(LN(2)/2)*V117*Y117*VLOOKUP('Données projet'!$B$9,Paramètres!$A$1:$I$89,3,0)*0.475*44/12</f>
        <v>1.7310840767567768E-12</v>
      </c>
      <c r="AC117" s="24">
        <f t="shared" si="57"/>
        <v>0.80424190657224259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-9.9316821433603781E-14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327.826081588335</v>
      </c>
      <c r="AO117" s="62">
        <f t="shared" si="90"/>
        <v>348.84706693879735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1.5431623422637271</v>
      </c>
      <c r="AW117" s="23">
        <f>EXP(-LN(2)/2)*AW116+(1-EXP(-LN(2)/2))/(LN(2)/2)*AQ117*AT117*VLOOKUP('Données projet'!$B$10,Paramètres!$A$1:$I$89,3,0)*0.475*44/12</f>
        <v>3.3866796515123867E-12</v>
      </c>
      <c r="AX117" s="23">
        <f t="shared" si="60"/>
        <v>1.5431623422671137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-3.4106051316484809E-13</v>
      </c>
      <c r="BE117" s="14">
        <f>BD117*VLOOKUP('Données projet'!$B$11,Paramètres!$A$1:$I$89,3,0)*VLOOKUP('Données projet'!$B$11,Paramètres!$A$1:$I$89,5,0)</f>
        <v>-2.5006556825246659E-13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376.5422416541544</v>
      </c>
      <c r="BJ117" s="62">
        <f t="shared" si="92"/>
        <v>365.76175372075869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4.6833211457971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4.6833211457971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405.09126081846171</v>
      </c>
      <c r="CE117" s="62">
        <f t="shared" si="94"/>
        <v>534.22295841722166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1.8663386869451595</v>
      </c>
      <c r="CL117" s="23">
        <f>EXP(-LN(2)/25)*CL116+(1-EXP(-LN(2)/25))/(LN(2)/25)*Calculateur!CG117*Calculateur!CI117*VLOOKUP('Données projet'!$B$12,Paramètres!$A$1:$I$89,3,0)*0.475*44/12</f>
        <v>1.365521590936988</v>
      </c>
      <c r="CM117" s="23">
        <f>EXP(-LN(2)/2)*CM116+(1-EXP(-LN(2)/2))/(LN(2)/2)*CG117*CJ117*VLOOKUP('Données projet'!$B$12,Paramètres!$A$1:$I$89,3,0)*0.475*44/12</f>
        <v>3.6144958460968665E-13</v>
      </c>
      <c r="CN117" s="24">
        <f t="shared" si="66"/>
        <v>3.2318602778825092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244.82163392718377</v>
      </c>
      <c r="CZ117" s="62">
        <f t="shared" si="96"/>
        <v>342.30266518164211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1.1194871084579094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1.1194871084579094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-2.2737367544323206E-13</v>
      </c>
      <c r="DP117" s="18">
        <f>DO117*VLOOKUP('Données projet'!$B$14,Paramètres!$A$1:$I$89,3,0)*VLOOKUP('Données projet'!$B$14,Paramètres!$A$1:$I$89,5,0)</f>
        <v>-1.8089849618263545E-13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298.89893065707554</v>
      </c>
      <c r="DU117" s="62">
        <f t="shared" si="98"/>
        <v>294.28794439094878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4.5999999999999996</v>
      </c>
      <c r="EJ117" s="13">
        <f>IF('Données projet'!$A$192&gt;35,EJ116+EI117-ER116,IF(A117&lt;'Données projet'!$A$192,$EG$205^A117,IF(A117='Données projet'!$A$192,'Données projet'!$B$192,EJ116+EI117-ER116)))</f>
        <v>325.39999999999998</v>
      </c>
      <c r="EK117" s="18">
        <f>EJ117*VLOOKUP('Données projet'!$B$15,Paramètres!$A$1:$I$89,3,0)*VLOOKUP('Données projet'!$B$15,Paramètres!$A$1:$I$89,5,0)</f>
        <v>294.42191999999994</v>
      </c>
      <c r="EL117" s="14">
        <f t="shared" si="99"/>
        <v>70.005809366676559</v>
      </c>
      <c r="EM117" s="22">
        <f t="shared" si="73"/>
        <v>634.71162864696146</v>
      </c>
      <c r="EN117" s="62">
        <f t="shared" si="74"/>
        <v>928.04496198029483</v>
      </c>
      <c r="EO117" s="62">
        <f ca="1">AVERAGE(OFFSET($EN$3,0,0,'Données projet'!$E$15+1,1))-AVERAGE(OFFSET($H$3,0,0,'Données projet'!$E$15+1,1))</f>
        <v>439.06700232017681</v>
      </c>
      <c r="EP117" s="62">
        <f t="shared" si="100"/>
        <v>278.21741231699929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0.88926449386431594</v>
      </c>
      <c r="EX117" s="23">
        <f>EXP(-LN(2)/2)*EX116+(1-EXP(-LN(2)/2))/(LN(2)/2)*ER117*EU117*VLOOKUP('Données projet'!$B$15,Paramètres!$A$1:$I$89,3,0)*0.475*44/12</f>
        <v>3.3900902609633835E-12</v>
      </c>
      <c r="EY117" s="24">
        <f t="shared" si="75"/>
        <v>0.88926449386770601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4.5999999999999996</v>
      </c>
      <c r="FE117" s="13">
        <f>IF('Données projet'!$A$218&gt;35,FE116+FD117-FM116,IF(A117&lt;'Données projet'!$A$218,$FB$205^A117,IF(A117='Données projet'!$A$218,'Données projet'!$B$218,FE116+FD117-FM116)))</f>
        <v>325.39999999999998</v>
      </c>
      <c r="FF117" s="18">
        <f>FE117*VLOOKUP('Données projet'!$B$16,Paramètres!$A$1:$I$89,3,0)*VLOOKUP('Données projet'!$B$16,Paramètres!$A$1:$I$89,5,0)</f>
        <v>314.72687999999999</v>
      </c>
      <c r="FG117" s="14">
        <f t="shared" si="101"/>
        <v>74.255119742405697</v>
      </c>
      <c r="FH117" s="22">
        <f t="shared" si="76"/>
        <v>677.47698288468996</v>
      </c>
      <c r="FI117" s="62">
        <f t="shared" si="77"/>
        <v>970.81031621802322</v>
      </c>
      <c r="FJ117" s="62">
        <f ca="1">AVERAGE(OFFSET($FI$3,0,0,'Données projet'!$E$16+1,1))-AVERAGE(OFFSET($H$3,0,0,'Données projet'!$E$16+1,1))</f>
        <v>466.4945858005575</v>
      </c>
      <c r="FK117" s="62">
        <f t="shared" si="102"/>
        <v>294.45557293177131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6.8758626727692361E-12</v>
      </c>
      <c r="FT117" s="24">
        <f t="shared" si="78"/>
        <v>6.8758626727692361E-12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4.5999999999999996</v>
      </c>
      <c r="FZ117" s="13">
        <f>IF('Données projet'!$A$244&gt;35,FZ116+FY117-GH116,IF(A117&lt;'Données projet'!$A$244,$FW$205^A117,IF(A117='Données projet'!$A$244,'Données projet'!$B$244,FZ116+FY117-GH116)))</f>
        <v>325.39999999999998</v>
      </c>
      <c r="GA117" s="18">
        <f>FZ117*VLOOKUP('Données projet'!$B$17,Paramètres!$A$1:$I$89,3,0)*VLOOKUP('Données projet'!$B$17,Paramètres!$A$1:$I$89,5,0)</f>
        <v>309.65063999999995</v>
      </c>
      <c r="GB117" s="14">
        <f t="shared" si="103"/>
        <v>73.195865111432241</v>
      </c>
      <c r="GC117" s="22">
        <f t="shared" si="79"/>
        <v>666.790996402411</v>
      </c>
      <c r="GD117" s="62">
        <f t="shared" si="80"/>
        <v>960.12432973574437</v>
      </c>
      <c r="GE117" s="62">
        <f ca="1">AVERAGE(OFFSET($GD$3,0,0,'Données projet'!$E$17+1,1))-AVERAGE(OFFSET($H$3,0,0,'Données projet'!$E$17+1,1))</f>
        <v>459.64120566196812</v>
      </c>
      <c r="GF117" s="62">
        <f t="shared" si="104"/>
        <v>290.39826583283588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2.8421709430404007E-14</v>
      </c>
      <c r="O118" s="14">
        <f>N118*VLOOKUP('Données projet'!$B$9,Paramètres!$A$1:$I$89,3,0)*VLOOKUP('Données projet'!$B$9,Paramètres!$A$1:$I$89,5,0)</f>
        <v>1.5518253349000589E-14</v>
      </c>
      <c r="P118" s="14">
        <f t="shared" si="87"/>
        <v>2.8958815659671149E-13</v>
      </c>
      <c r="Q118" s="22">
        <f t="shared" si="107"/>
        <v>5.3139366398878183E-13</v>
      </c>
      <c r="R118" s="62">
        <f t="shared" si="55"/>
        <v>293.33333333333383</v>
      </c>
      <c r="S118" s="62">
        <f ca="1">AVERAGE(OFFSET($R$3,0,0,'Données projet'!$E$9+1,1))-AVERAGE(OFFSET($H$3,0,0,'Données projet'!$E$9+1,1))</f>
        <v>170.27677128684815</v>
      </c>
      <c r="T118" s="62">
        <f t="shared" si="88"/>
        <v>243.47439640666289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0.78224986934209717</v>
      </c>
      <c r="AB118" s="23">
        <f>EXP(-LN(2)/2)*AB117+(1-EXP(-LN(2)/2))/(LN(2)/2)*V118*Y118*VLOOKUP('Données projet'!$B$9,Paramètres!$A$1:$I$89,3,0)*0.475*44/12</f>
        <v>1.2240612894787708E-12</v>
      </c>
      <c r="AC118" s="24">
        <f t="shared" si="57"/>
        <v>0.78224986934332119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-9.9316821433603781E-14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327.826081588335</v>
      </c>
      <c r="AO118" s="62">
        <f t="shared" si="90"/>
        <v>348.84706693879735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1.5009644868631449</v>
      </c>
      <c r="AW118" s="23">
        <f>EXP(-LN(2)/2)*AW117+(1-EXP(-LN(2)/2))/(LN(2)/2)*AQ118*AT118*VLOOKUP('Données projet'!$B$10,Paramètres!$A$1:$I$89,3,0)*0.475*44/12</f>
        <v>2.3947441472909022E-12</v>
      </c>
      <c r="AX118" s="23">
        <f t="shared" si="60"/>
        <v>1.5009644868655396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-3.4106051316484809E-13</v>
      </c>
      <c r="BE118" s="14">
        <f>BD118*VLOOKUP('Données projet'!$B$11,Paramètres!$A$1:$I$89,3,0)*VLOOKUP('Données projet'!$B$11,Paramètres!$A$1:$I$89,5,0)</f>
        <v>-2.5006556825246659E-13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376.5422416541544</v>
      </c>
      <c r="BJ118" s="62">
        <f t="shared" si="92"/>
        <v>365.76175372075869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4.5914840746718575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4.5914840746718575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405.09126081846171</v>
      </c>
      <c r="CE118" s="62">
        <f t="shared" si="94"/>
        <v>534.22295841722166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1.8297409236483608</v>
      </c>
      <c r="CL118" s="23">
        <f>EXP(-LN(2)/25)*CL117+(1-EXP(-LN(2)/25))/(LN(2)/25)*Calculateur!CG118*Calculateur!CI118*VLOOKUP('Données projet'!$B$12,Paramètres!$A$1:$I$89,3,0)*0.475*44/12</f>
        <v>1.3281813312231565</v>
      </c>
      <c r="CM118" s="23">
        <f>EXP(-LN(2)/2)*CM117+(1-EXP(-LN(2)/2))/(LN(2)/2)*CG118*CJ118*VLOOKUP('Données projet'!$B$12,Paramètres!$A$1:$I$89,3,0)*0.475*44/12</f>
        <v>2.5558345233457019E-13</v>
      </c>
      <c r="CN118" s="24">
        <f t="shared" si="66"/>
        <v>3.1579222548717731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244.82163392718377</v>
      </c>
      <c r="CZ118" s="62">
        <f t="shared" si="96"/>
        <v>342.30266518164211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1.0975346490807631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1.0975346490807631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-2.2737367544323206E-13</v>
      </c>
      <c r="DP118" s="18">
        <f>DO118*VLOOKUP('Données projet'!$B$14,Paramètres!$A$1:$I$89,3,0)*VLOOKUP('Données projet'!$B$14,Paramètres!$A$1:$I$89,5,0)</f>
        <v>-1.8089849618263545E-13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298.89893065707554</v>
      </c>
      <c r="DU118" s="62">
        <f t="shared" si="98"/>
        <v>294.28794439094878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330</v>
      </c>
      <c r="EH118" s="13">
        <f>VLOOKUP(A118,'Données projet'!$A$191:$I$211,9,0)</f>
        <v>4.5999999999999996</v>
      </c>
      <c r="EI118" s="13">
        <f t="array" ref="EI118">INDEX(EH:EH,MIN(IF(ISNUMBER(EH118:EH314),ROW(EH118:EH314),"")))</f>
        <v>4.5999999999999996</v>
      </c>
      <c r="EJ118" s="13">
        <f>IF('Données projet'!$A$192&gt;35,EJ117+EI118-ER117,IF(A118&lt;'Données projet'!$A$192,$EG$205^A118,IF(A118='Données projet'!$A$192,'Données projet'!$B$192,EJ117+EI118-ER117)))</f>
        <v>330</v>
      </c>
      <c r="EK118" s="18">
        <f>EJ118*VLOOKUP('Données projet'!$B$15,Paramètres!$A$1:$I$89,3,0)*VLOOKUP('Données projet'!$B$15,Paramètres!$A$1:$I$89,5,0)</f>
        <v>298.58399999999995</v>
      </c>
      <c r="EL118" s="14">
        <f t="shared" si="99"/>
        <v>70.879533797607607</v>
      </c>
      <c r="EM118" s="22">
        <f t="shared" si="73"/>
        <v>643.48232136416652</v>
      </c>
      <c r="EN118" s="62">
        <f t="shared" si="74"/>
        <v>936.81565469749989</v>
      </c>
      <c r="EO118" s="62">
        <f ca="1">AVERAGE(OFFSET($EN$3,0,0,'Données projet'!$E$15+1,1))-AVERAGE(OFFSET($H$3,0,0,'Données projet'!$E$15+1,1))</f>
        <v>439.06700232017681</v>
      </c>
      <c r="EP118" s="62">
        <f t="shared" si="100"/>
        <v>278.21741231699929</v>
      </c>
      <c r="EQ118" s="16">
        <f>IF(ISNA(VLOOKUP(A118,'Données projet'!$A$191:$I$211,3,0)),0,VLOOKUP(A118,'Données projet'!$A$191:$I$211,3,0))</f>
        <v>20</v>
      </c>
      <c r="ER118" s="16">
        <f>IF(ISNA(VLOOKUP(A118,'Données projet'!$A$191:$I$211,4,0)),0,VLOOKUP(A118,'Données projet'!$A$191:$I$211,4,0))</f>
        <v>330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0.86494750951520893</v>
      </c>
      <c r="EX118" s="23">
        <f>EXP(-LN(2)/2)*EX117+(1-EXP(-LN(2)/2))/(LN(2)/2)*ER118*EU118*VLOOKUP('Données projet'!$B$15,Paramètres!$A$1:$I$89,3,0)*0.475*44/12</f>
        <v>2.397155812361681E-12</v>
      </c>
      <c r="EY118" s="24">
        <f t="shared" si="75"/>
        <v>0.86494750951760613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>
        <f>VLOOKUP(A118,'Données projet'!$A$217:$I$237,2,0)</f>
        <v>330</v>
      </c>
      <c r="FC118" s="13">
        <f>VLOOKUP(A118,'Données projet'!$A$217:$I$237,9,0)</f>
        <v>4.5999999999999996</v>
      </c>
      <c r="FD118" s="13">
        <f t="array" ref="FD118">INDEX(FC:FC,MIN(IF(ISNUMBER(FC118:FC314),ROW(FC118:FC314),"")))</f>
        <v>4.5999999999999996</v>
      </c>
      <c r="FE118" s="13">
        <f>IF('Données projet'!$A$218&gt;35,FE117+FD118-FM117,IF(A118&lt;'Données projet'!$A$218,$FB$205^A118,IF(A118='Données projet'!$A$218,'Données projet'!$B$218,FE117+FD118-FM117)))</f>
        <v>330</v>
      </c>
      <c r="FF118" s="18">
        <f>FE118*VLOOKUP('Données projet'!$B$16,Paramètres!$A$1:$I$89,3,0)*VLOOKUP('Données projet'!$B$16,Paramètres!$A$1:$I$89,5,0)</f>
        <v>319.17599999999999</v>
      </c>
      <c r="FG118" s="14">
        <f t="shared" si="101"/>
        <v>75.181878718947672</v>
      </c>
      <c r="FH118" s="22">
        <f t="shared" si="76"/>
        <v>686.83997210216705</v>
      </c>
      <c r="FI118" s="62">
        <f t="shared" si="77"/>
        <v>980.17330543550042</v>
      </c>
      <c r="FJ118" s="62">
        <f ca="1">AVERAGE(OFFSET($FI$3,0,0,'Données projet'!$E$16+1,1))-AVERAGE(OFFSET($H$3,0,0,'Données projet'!$E$16+1,1))</f>
        <v>466.4945858005575</v>
      </c>
      <c r="FK118" s="62">
        <f t="shared" si="102"/>
        <v>294.45557293177131</v>
      </c>
      <c r="FL118" s="16">
        <f>IF(ISNA(VLOOKUP(A118,'Données projet'!$A$217:$I$237,3,0)),0,VLOOKUP(A118,'Données projet'!$A$217:$I$237,3,0))</f>
        <v>20</v>
      </c>
      <c r="FM118" s="16">
        <f>IF(ISNA(VLOOKUP(A118,'Données projet'!$A$217:$I$237,4,0)),0,VLOOKUP(A118,'Données projet'!$A$217:$I$237,4,0))</f>
        <v>330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4.861969122422586E-12</v>
      </c>
      <c r="FT118" s="24">
        <f t="shared" si="78"/>
        <v>4.861969122422586E-12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>
        <f>VLOOKUP(A118,'Données projet'!$A$243:$I$263,2,0)</f>
        <v>330</v>
      </c>
      <c r="FX118" s="13">
        <f>VLOOKUP(A118,'Données projet'!$A$243:$I$263,9,0)</f>
        <v>4.5999999999999996</v>
      </c>
      <c r="FY118" s="13">
        <f t="array" ref="FY118">INDEX(FX:FX,MIN(IF(ISNUMBER(FX118:FX314),ROW(FX118:FX314),"")))</f>
        <v>4.5999999999999996</v>
      </c>
      <c r="FZ118" s="13">
        <f>IF('Données projet'!$A$244&gt;35,FZ117+FY118-GH117,IF(A118&lt;'Données projet'!$A$244,$FW$205^A118,IF(A118='Données projet'!$A$244,'Données projet'!$B$244,FZ117+FY118-GH117)))</f>
        <v>330</v>
      </c>
      <c r="GA118" s="18">
        <f>FZ118*VLOOKUP('Données projet'!$B$17,Paramètres!$A$1:$I$89,3,0)*VLOOKUP('Données projet'!$B$17,Paramètres!$A$1:$I$89,5,0)</f>
        <v>314.02799999999996</v>
      </c>
      <c r="GB118" s="14">
        <f t="shared" si="103"/>
        <v>74.109403804428752</v>
      </c>
      <c r="GC118" s="22">
        <f t="shared" si="79"/>
        <v>676.00597829271317</v>
      </c>
      <c r="GD118" s="62">
        <f t="shared" si="80"/>
        <v>969.33931162604654</v>
      </c>
      <c r="GE118" s="62">
        <f ca="1">AVERAGE(OFFSET($GD$3,0,0,'Données projet'!$E$17+1,1))-AVERAGE(OFFSET($H$3,0,0,'Données projet'!$E$17+1,1))</f>
        <v>459.64120566196812</v>
      </c>
      <c r="GF118" s="62">
        <f t="shared" si="104"/>
        <v>290.39826583283588</v>
      </c>
      <c r="GG118" s="16">
        <f>IF(ISNA(VLOOKUP(A118,'Données projet'!$A$243:$I$263,3,0)),0,VLOOKUP(A118,'Données projet'!$A$243:$I$263,3,0))</f>
        <v>20</v>
      </c>
      <c r="GH118" s="16">
        <f>IF(ISNA(VLOOKUP(A118,'Données projet'!$A$243:$I$263,4,0)),0,VLOOKUP(A118,'Données projet'!$A$243:$I$263,4,0))</f>
        <v>330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2.8421709430404007E-14</v>
      </c>
      <c r="O119" s="14">
        <f>N119*VLOOKUP('Données projet'!$B$9,Paramètres!$A$1:$I$89,3,0)*VLOOKUP('Données projet'!$B$9,Paramètres!$A$1:$I$89,5,0)</f>
        <v>1.5518253349000589E-14</v>
      </c>
      <c r="P119" s="14">
        <f t="shared" si="87"/>
        <v>2.8958815659671149E-13</v>
      </c>
      <c r="Q119" s="22">
        <f t="shared" si="107"/>
        <v>5.3139366398878183E-13</v>
      </c>
      <c r="R119" s="62">
        <f t="shared" si="55"/>
        <v>293.33333333333383</v>
      </c>
      <c r="S119" s="62">
        <f ca="1">AVERAGE(OFFSET($R$3,0,0,'Données projet'!$E$9+1,1))-AVERAGE(OFFSET($H$3,0,0,'Données projet'!$E$9+1,1))</f>
        <v>170.27677128684815</v>
      </c>
      <c r="T119" s="62">
        <f t="shared" si="88"/>
        <v>243.47439640666289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0.76085920552820474</v>
      </c>
      <c r="AB119" s="23">
        <f>EXP(-LN(2)/2)*AB118+(1-EXP(-LN(2)/2))/(LN(2)/2)*V119*Y119*VLOOKUP('Données projet'!$B$9,Paramètres!$A$1:$I$89,3,0)*0.475*44/12</f>
        <v>8.6554203837838839E-13</v>
      </c>
      <c r="AC119" s="24">
        <f t="shared" si="57"/>
        <v>0.76085920552907027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-9.9316821433603781E-14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327.826081588335</v>
      </c>
      <c r="AO119" s="62">
        <f t="shared" si="90"/>
        <v>348.84706693879735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1.4599205340375803</v>
      </c>
      <c r="AW119" s="23">
        <f>EXP(-LN(2)/2)*AW118+(1-EXP(-LN(2)/2))/(LN(2)/2)*AQ119*AT119*VLOOKUP('Données projet'!$B$10,Paramètres!$A$1:$I$89,3,0)*0.475*44/12</f>
        <v>1.6933398257561934E-12</v>
      </c>
      <c r="AX119" s="23">
        <f t="shared" si="60"/>
        <v>1.4599205340392736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-3.4106051316484809E-13</v>
      </c>
      <c r="BE119" s="14">
        <f>BD119*VLOOKUP('Données projet'!$B$11,Paramètres!$A$1:$I$89,3,0)*VLOOKUP('Données projet'!$B$11,Paramètres!$A$1:$I$89,5,0)</f>
        <v>-2.5006556825246659E-13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376.5422416541544</v>
      </c>
      <c r="BJ119" s="62">
        <f t="shared" si="92"/>
        <v>365.76175372075869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4.501447872496299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4.501447872496299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405.09126081846171</v>
      </c>
      <c r="CE119" s="62">
        <f t="shared" si="94"/>
        <v>534.22295841722166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1.7938608201673809</v>
      </c>
      <c r="CL119" s="23">
        <f>EXP(-LN(2)/25)*CL118+(1-EXP(-LN(2)/25))/(LN(2)/25)*Calculateur!CG119*Calculateur!CI119*VLOOKUP('Données projet'!$B$12,Paramètres!$A$1:$I$89,3,0)*0.475*44/12</f>
        <v>1.2918621428748387</v>
      </c>
      <c r="CM119" s="23">
        <f>EXP(-LN(2)/2)*CM118+(1-EXP(-LN(2)/2))/(LN(2)/2)*CG119*CJ119*VLOOKUP('Données projet'!$B$12,Paramètres!$A$1:$I$89,3,0)*0.475*44/12</f>
        <v>1.8072479230484333E-13</v>
      </c>
      <c r="CN119" s="24">
        <f t="shared" si="66"/>
        <v>3.0857229630424006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244.82163392718377</v>
      </c>
      <c r="CZ119" s="62">
        <f t="shared" si="96"/>
        <v>342.30266518164211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1.0760126640423247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1.0760126640423247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-2.2737367544323206E-13</v>
      </c>
      <c r="DP119" s="18">
        <f>DO119*VLOOKUP('Données projet'!$B$14,Paramètres!$A$1:$I$89,3,0)*VLOOKUP('Données projet'!$B$14,Paramètres!$A$1:$I$89,5,0)</f>
        <v>-1.8089849618263545E-13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298.89893065707554</v>
      </c>
      <c r="DU119" s="62">
        <f t="shared" si="98"/>
        <v>294.28794439094878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439.06700232017681</v>
      </c>
      <c r="EP119" s="62">
        <f t="shared" si="100"/>
        <v>278.21741231699929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0.84129547438190289</v>
      </c>
      <c r="EX119" s="23">
        <f>EXP(-LN(2)/2)*EX118+(1-EXP(-LN(2)/2))/(LN(2)/2)*ER119*EU119*VLOOKUP('Données projet'!$B$15,Paramètres!$A$1:$I$89,3,0)*0.475*44/12</f>
        <v>1.6950451304816917E-12</v>
      </c>
      <c r="EY119" s="24">
        <f t="shared" si="75"/>
        <v>0.84129547438359797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>
        <f>FE119*VLOOKUP('Données projet'!$B$16,Paramètres!$A$1:$I$89,3,0)*VLOOKUP('Données projet'!$B$16,Paramètres!$A$1:$I$89,5,0)</f>
        <v>0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466.4945858005575</v>
      </c>
      <c r="FK119" s="62">
        <f t="shared" si="102"/>
        <v>294.45557293177131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3.4379313363846181E-12</v>
      </c>
      <c r="FT119" s="24">
        <f t="shared" si="78"/>
        <v>3.4379313363846181E-12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>
        <f>FZ119*VLOOKUP('Données projet'!$B$17,Paramètres!$A$1:$I$89,3,0)*VLOOKUP('Données projet'!$B$17,Paramètres!$A$1:$I$89,5,0)</f>
        <v>0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459.64120566196812</v>
      </c>
      <c r="GF119" s="62">
        <f t="shared" si="104"/>
        <v>290.39826583283588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2.8421709430404007E-14</v>
      </c>
      <c r="O120" s="14">
        <f>N120*VLOOKUP('Données projet'!$B$9,Paramètres!$A$1:$I$89,3,0)*VLOOKUP('Données projet'!$B$9,Paramètres!$A$1:$I$89,5,0)</f>
        <v>1.5518253349000589E-14</v>
      </c>
      <c r="P120" s="14">
        <f t="shared" si="87"/>
        <v>2.8958815659671149E-13</v>
      </c>
      <c r="Q120" s="22">
        <f t="shared" si="107"/>
        <v>5.3139366398878183E-13</v>
      </c>
      <c r="R120" s="62">
        <f t="shared" si="55"/>
        <v>293.33333333333383</v>
      </c>
      <c r="S120" s="62">
        <f ca="1">AVERAGE(OFFSET($R$3,0,0,'Données projet'!$E$9+1,1))-AVERAGE(OFFSET($H$3,0,0,'Données projet'!$E$9+1,1))</f>
        <v>170.27677128684815</v>
      </c>
      <c r="T120" s="62">
        <f t="shared" si="88"/>
        <v>243.47439640666289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0.74005347054118931</v>
      </c>
      <c r="AB120" s="23">
        <f>EXP(-LN(2)/2)*AB119+(1-EXP(-LN(2)/2))/(LN(2)/2)*V120*Y120*VLOOKUP('Données projet'!$B$9,Paramètres!$A$1:$I$89,3,0)*0.475*44/12</f>
        <v>6.120306447393854E-13</v>
      </c>
      <c r="AC120" s="24">
        <f t="shared" si="57"/>
        <v>0.74005347054180137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-9.9316821433603781E-14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327.826081588335</v>
      </c>
      <c r="AO120" s="62">
        <f t="shared" si="90"/>
        <v>348.84706693879735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1.4199989302604383</v>
      </c>
      <c r="AW120" s="23">
        <f>EXP(-LN(2)/2)*AW119+(1-EXP(-LN(2)/2))/(LN(2)/2)*AQ120*AT120*VLOOKUP('Données projet'!$B$10,Paramètres!$A$1:$I$89,3,0)*0.475*44/12</f>
        <v>1.1973720736454511E-12</v>
      </c>
      <c r="AX120" s="23">
        <f t="shared" si="60"/>
        <v>1.4199989302616356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-3.4106051316484809E-13</v>
      </c>
      <c r="BE120" s="14">
        <f>BD120*VLOOKUP('Données projet'!$B$11,Paramètres!$A$1:$I$89,3,0)*VLOOKUP('Données projet'!$B$11,Paramètres!$A$1:$I$89,5,0)</f>
        <v>-2.5006556825246659E-13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376.5422416541544</v>
      </c>
      <c r="BJ120" s="62">
        <f t="shared" si="92"/>
        <v>365.76175372075869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4.4131772253287425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4.4131772253287425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405.09126081846171</v>
      </c>
      <c r="CE120" s="62">
        <f t="shared" si="94"/>
        <v>534.22295841722166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1.7586843036309607</v>
      </c>
      <c r="CL120" s="23">
        <f>EXP(-LN(2)/25)*CL119+(1-EXP(-LN(2)/25))/(LN(2)/25)*Calculateur!CG120*Calculateur!CI120*VLOOKUP('Données projet'!$B$12,Paramètres!$A$1:$I$89,3,0)*0.475*44/12</f>
        <v>1.2565361046418486</v>
      </c>
      <c r="CM120" s="23">
        <f>EXP(-LN(2)/2)*CM119+(1-EXP(-LN(2)/2))/(LN(2)/2)*CG120*CJ120*VLOOKUP('Données projet'!$B$12,Paramètres!$A$1:$I$89,3,0)*0.475*44/12</f>
        <v>1.2779172616728509E-13</v>
      </c>
      <c r="CN120" s="24">
        <f t="shared" si="66"/>
        <v>3.0152204082729375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244.82163392718377</v>
      </c>
      <c r="CZ120" s="62">
        <f t="shared" si="96"/>
        <v>342.30266518164211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1.0549127120033752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1.0549127120033752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-2.2737367544323206E-13</v>
      </c>
      <c r="DP120" s="18">
        <f>DO120*VLOOKUP('Données projet'!$B$14,Paramètres!$A$1:$I$89,3,0)*VLOOKUP('Données projet'!$B$14,Paramètres!$A$1:$I$89,5,0)</f>
        <v>-1.8089849618263545E-13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298.89893065707554</v>
      </c>
      <c r="DU120" s="62">
        <f t="shared" si="98"/>
        <v>294.28794439094878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439.06700232017681</v>
      </c>
      <c r="EP120" s="62">
        <f t="shared" si="100"/>
        <v>278.21741231699929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0.81829020539312358</v>
      </c>
      <c r="EX120" s="23">
        <f>EXP(-LN(2)/2)*EX119+(1-EXP(-LN(2)/2))/(LN(2)/2)*ER120*EU120*VLOOKUP('Données projet'!$B$15,Paramètres!$A$1:$I$89,3,0)*0.475*44/12</f>
        <v>1.1985779061808405E-12</v>
      </c>
      <c r="EY120" s="24">
        <f t="shared" si="75"/>
        <v>0.81829020539432218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>
        <f>FE120*VLOOKUP('Données projet'!$B$16,Paramètres!$A$1:$I$89,3,0)*VLOOKUP('Données projet'!$B$16,Paramètres!$A$1:$I$89,5,0)</f>
        <v>0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466.4945858005575</v>
      </c>
      <c r="FK120" s="62">
        <f t="shared" si="102"/>
        <v>294.45557293177131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2.430984561211293E-12</v>
      </c>
      <c r="FT120" s="24">
        <f t="shared" si="78"/>
        <v>2.430984561211293E-12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>
        <f>FZ120*VLOOKUP('Données projet'!$B$17,Paramètres!$A$1:$I$89,3,0)*VLOOKUP('Données projet'!$B$17,Paramètres!$A$1:$I$89,5,0)</f>
        <v>0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459.64120566196812</v>
      </c>
      <c r="GF120" s="62">
        <f t="shared" si="104"/>
        <v>290.39826583283588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2.8421709430404007E-14</v>
      </c>
      <c r="O121" s="14">
        <f>N121*VLOOKUP('Données projet'!$B$9,Paramètres!$A$1:$I$89,3,0)*VLOOKUP('Données projet'!$B$9,Paramètres!$A$1:$I$89,5,0)</f>
        <v>1.5518253349000589E-14</v>
      </c>
      <c r="P121" s="14">
        <f t="shared" si="87"/>
        <v>2.8958815659671149E-13</v>
      </c>
      <c r="Q121" s="22">
        <f t="shared" si="107"/>
        <v>5.3139366398878183E-13</v>
      </c>
      <c r="R121" s="62">
        <f t="shared" si="55"/>
        <v>293.33333333333383</v>
      </c>
      <c r="S121" s="62">
        <f ca="1">AVERAGE(OFFSET($R$3,0,0,'Données projet'!$E$9+1,1))-AVERAGE(OFFSET($H$3,0,0,'Données projet'!$E$9+1,1))</f>
        <v>170.27677128684815</v>
      </c>
      <c r="T121" s="62">
        <f t="shared" si="88"/>
        <v>243.47439640666289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0.7198166694715199</v>
      </c>
      <c r="AB121" s="23">
        <f>EXP(-LN(2)/2)*AB120+(1-EXP(-LN(2)/2))/(LN(2)/2)*V121*Y121*VLOOKUP('Données projet'!$B$9,Paramètres!$A$1:$I$89,3,0)*0.475*44/12</f>
        <v>4.327710191891942E-13</v>
      </c>
      <c r="AC121" s="24">
        <f t="shared" si="57"/>
        <v>0.71981666947195266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-9.9316821433603781E-14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327.826081588335</v>
      </c>
      <c r="AO121" s="62">
        <f t="shared" si="90"/>
        <v>348.84706693879735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1.3811689848379685</v>
      </c>
      <c r="AW121" s="23">
        <f>EXP(-LN(2)/2)*AW120+(1-EXP(-LN(2)/2))/(LN(2)/2)*AQ121*AT121*VLOOKUP('Données projet'!$B$10,Paramètres!$A$1:$I$89,3,0)*0.475*44/12</f>
        <v>8.4666991287809668E-13</v>
      </c>
      <c r="AX121" s="23">
        <f t="shared" si="60"/>
        <v>1.3811689848388151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-3.4106051316484809E-13</v>
      </c>
      <c r="BE121" s="14">
        <f>BD121*VLOOKUP('Données projet'!$B$11,Paramètres!$A$1:$I$89,3,0)*VLOOKUP('Données projet'!$B$11,Paramètres!$A$1:$I$89,5,0)</f>
        <v>-2.5006556825246659E-13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376.5422416541544</v>
      </c>
      <c r="BJ121" s="62">
        <f t="shared" si="92"/>
        <v>365.76175372075869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4.326637511712363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4.326637511712363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405.09126081846171</v>
      </c>
      <c r="CE121" s="62">
        <f t="shared" si="94"/>
        <v>534.22295841722166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1.7241975771282634</v>
      </c>
      <c r="CL121" s="23">
        <f>EXP(-LN(2)/25)*CL120+(1-EXP(-LN(2)/25))/(LN(2)/25)*Calculateur!CG121*Calculateur!CI121*VLOOKUP('Données projet'!$B$12,Paramètres!$A$1:$I$89,3,0)*0.475*44/12</f>
        <v>1.2221760587820554</v>
      </c>
      <c r="CM121" s="23">
        <f>EXP(-LN(2)/2)*CM120+(1-EXP(-LN(2)/2))/(LN(2)/2)*CG121*CJ121*VLOOKUP('Données projet'!$B$12,Paramètres!$A$1:$I$89,3,0)*0.475*44/12</f>
        <v>9.0362396152421663E-14</v>
      </c>
      <c r="CN121" s="24">
        <f t="shared" si="66"/>
        <v>2.9463736359104087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244.82163392718377</v>
      </c>
      <c r="CZ121" s="62">
        <f t="shared" si="96"/>
        <v>342.30266518164211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1.0342265171542095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1.0342265171542095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-2.2737367544323206E-13</v>
      </c>
      <c r="DP121" s="18">
        <f>DO121*VLOOKUP('Données projet'!$B$14,Paramètres!$A$1:$I$89,3,0)*VLOOKUP('Données projet'!$B$14,Paramètres!$A$1:$I$89,5,0)</f>
        <v>-1.8089849618263545E-13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298.89893065707554</v>
      </c>
      <c r="DU121" s="62">
        <f t="shared" si="98"/>
        <v>294.28794439094878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439.06700232017681</v>
      </c>
      <c r="EP121" s="62">
        <f t="shared" si="100"/>
        <v>278.21741231699929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0.79591401669463691</v>
      </c>
      <c r="EX121" s="23">
        <f>EXP(-LN(2)/2)*EX120+(1-EXP(-LN(2)/2))/(LN(2)/2)*ER121*EU121*VLOOKUP('Données projet'!$B$15,Paramètres!$A$1:$I$89,3,0)*0.475*44/12</f>
        <v>8.4752256524084587E-13</v>
      </c>
      <c r="EY121" s="24">
        <f t="shared" si="75"/>
        <v>0.79591401669548445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>
        <f>FE121*VLOOKUP('Données projet'!$B$16,Paramètres!$A$1:$I$89,3,0)*VLOOKUP('Données projet'!$B$16,Paramètres!$A$1:$I$89,5,0)</f>
        <v>0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466.4945858005575</v>
      </c>
      <c r="FK121" s="62">
        <f t="shared" si="102"/>
        <v>294.45557293177131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1.718965668192309E-12</v>
      </c>
      <c r="FT121" s="24">
        <f t="shared" si="78"/>
        <v>1.718965668192309E-12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>
        <f>FZ121*VLOOKUP('Données projet'!$B$17,Paramètres!$A$1:$I$89,3,0)*VLOOKUP('Données projet'!$B$17,Paramètres!$A$1:$I$89,5,0)</f>
        <v>0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459.64120566196812</v>
      </c>
      <c r="GF121" s="62">
        <f t="shared" si="104"/>
        <v>290.39826583283588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2.8421709430404007E-14</v>
      </c>
      <c r="O122" s="14">
        <f>N122*VLOOKUP('Données projet'!$B$9,Paramètres!$A$1:$I$89,3,0)*VLOOKUP('Données projet'!$B$9,Paramètres!$A$1:$I$89,5,0)</f>
        <v>1.5518253349000589E-14</v>
      </c>
      <c r="P122" s="14">
        <f t="shared" si="87"/>
        <v>2.8958815659671149E-13</v>
      </c>
      <c r="Q122" s="22">
        <f t="shared" si="107"/>
        <v>5.3139366398878183E-13</v>
      </c>
      <c r="R122" s="62">
        <f t="shared" si="55"/>
        <v>293.33333333333383</v>
      </c>
      <c r="S122" s="62">
        <f ca="1">AVERAGE(OFFSET($R$3,0,0,'Données projet'!$E$9+1,1))-AVERAGE(OFFSET($H$3,0,0,'Données projet'!$E$9+1,1))</f>
        <v>170.27677128684815</v>
      </c>
      <c r="T122" s="62">
        <f t="shared" si="88"/>
        <v>243.47439640666289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0.70013324479130767</v>
      </c>
      <c r="AB122" s="23">
        <f>EXP(-LN(2)/2)*AB121+(1-EXP(-LN(2)/2))/(LN(2)/2)*V122*Y122*VLOOKUP('Données projet'!$B$9,Paramètres!$A$1:$I$89,3,0)*0.475*44/12</f>
        <v>3.060153223696927E-13</v>
      </c>
      <c r="AC122" s="24">
        <f t="shared" si="57"/>
        <v>0.70013324479161365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-9.9316821433603781E-14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327.826081588335</v>
      </c>
      <c r="AO122" s="62">
        <f t="shared" si="90"/>
        <v>348.84706693879735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1.343400846315054</v>
      </c>
      <c r="AW122" s="23">
        <f>EXP(-LN(2)/2)*AW121+(1-EXP(-LN(2)/2))/(LN(2)/2)*AQ122*AT122*VLOOKUP('Données projet'!$B$10,Paramètres!$A$1:$I$89,3,0)*0.475*44/12</f>
        <v>5.9868603682272556E-13</v>
      </c>
      <c r="AX122" s="23">
        <f t="shared" si="60"/>
        <v>1.3434008463156526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-3.4106051316484809E-13</v>
      </c>
      <c r="BE122" s="14">
        <f>BD122*VLOOKUP('Données projet'!$B$11,Paramètres!$A$1:$I$89,3,0)*VLOOKUP('Données projet'!$B$11,Paramètres!$A$1:$I$89,5,0)</f>
        <v>-2.5006556825246659E-13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376.5422416541544</v>
      </c>
      <c r="BJ122" s="62">
        <f t="shared" si="92"/>
        <v>365.76175372075869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4.2417947890959873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4.2417947890959873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405.09126081846171</v>
      </c>
      <c r="CE122" s="62">
        <f t="shared" si="94"/>
        <v>534.22295841722166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1.6903871142974578</v>
      </c>
      <c r="CL122" s="23">
        <f>EXP(-LN(2)/25)*CL121+(1-EXP(-LN(2)/25))/(LN(2)/25)*Calculateur!CG122*Calculateur!CI122*VLOOKUP('Données projet'!$B$12,Paramètres!$A$1:$I$89,3,0)*0.475*44/12</f>
        <v>1.1887555901832145</v>
      </c>
      <c r="CM122" s="23">
        <f>EXP(-LN(2)/2)*CM121+(1-EXP(-LN(2)/2))/(LN(2)/2)*CG122*CJ122*VLOOKUP('Données projet'!$B$12,Paramètres!$A$1:$I$89,3,0)*0.475*44/12</f>
        <v>6.3895863083642547E-14</v>
      </c>
      <c r="CN122" s="24">
        <f t="shared" si="66"/>
        <v>2.8791427044807363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244.82163392718377</v>
      </c>
      <c r="CZ122" s="62">
        <f t="shared" si="96"/>
        <v>342.30266518164211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1.0139459659687031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1.0139459659687031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-2.2737367544323206E-13</v>
      </c>
      <c r="DP122" s="18">
        <f>DO122*VLOOKUP('Données projet'!$B$14,Paramètres!$A$1:$I$89,3,0)*VLOOKUP('Données projet'!$B$14,Paramètres!$A$1:$I$89,5,0)</f>
        <v>-1.8089849618263545E-13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298.89893065707554</v>
      </c>
      <c r="DU122" s="62">
        <f t="shared" si="98"/>
        <v>294.28794439094878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439.06700232017681</v>
      </c>
      <c r="EP122" s="62">
        <f t="shared" si="100"/>
        <v>278.21741231699929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0.77414970605282296</v>
      </c>
      <c r="EX122" s="23">
        <f>EXP(-LN(2)/2)*EX121+(1-EXP(-LN(2)/2))/(LN(2)/2)*ER122*EU122*VLOOKUP('Données projet'!$B$15,Paramètres!$A$1:$I$89,3,0)*0.475*44/12</f>
        <v>5.9928895309042024E-13</v>
      </c>
      <c r="EY122" s="24">
        <f t="shared" si="75"/>
        <v>0.77414970605342226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>
        <f>FE122*VLOOKUP('Données projet'!$B$16,Paramètres!$A$1:$I$89,3,0)*VLOOKUP('Données projet'!$B$16,Paramètres!$A$1:$I$89,5,0)</f>
        <v>0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466.4945858005575</v>
      </c>
      <c r="FK122" s="62">
        <f t="shared" si="102"/>
        <v>294.45557293177131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1.2154922806056465E-12</v>
      </c>
      <c r="FT122" s="24">
        <f t="shared" si="78"/>
        <v>1.2154922806056465E-12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>
        <f>FZ122*VLOOKUP('Données projet'!$B$17,Paramètres!$A$1:$I$89,3,0)*VLOOKUP('Données projet'!$B$17,Paramètres!$A$1:$I$89,5,0)</f>
        <v>0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459.64120566196812</v>
      </c>
      <c r="GF122" s="62">
        <f t="shared" si="104"/>
        <v>290.39826583283588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2.8421709430404007E-14</v>
      </c>
      <c r="O123" s="14">
        <f>N123*VLOOKUP('Données projet'!$B$9,Paramètres!$A$1:$I$89,3,0)*VLOOKUP('Données projet'!$B$9,Paramètres!$A$1:$I$89,5,0)</f>
        <v>1.5518253349000589E-14</v>
      </c>
      <c r="P123" s="14">
        <f t="shared" si="87"/>
        <v>2.8958815659671149E-13</v>
      </c>
      <c r="Q123" s="22">
        <f t="shared" si="107"/>
        <v>5.3139366398878183E-13</v>
      </c>
      <c r="R123" s="62">
        <f t="shared" si="55"/>
        <v>293.33333333333383</v>
      </c>
      <c r="S123" s="62">
        <f ca="1">AVERAGE(OFFSET($R$3,0,0,'Données projet'!$E$9+1,1))-AVERAGE(OFFSET($H$3,0,0,'Données projet'!$E$9+1,1))</f>
        <v>170.27677128684815</v>
      </c>
      <c r="T123" s="62">
        <f t="shared" si="88"/>
        <v>243.47439640666289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0.68098806439408222</v>
      </c>
      <c r="AB123" s="23">
        <f>EXP(-LN(2)/2)*AB122+(1-EXP(-LN(2)/2))/(LN(2)/2)*V123*Y123*VLOOKUP('Données projet'!$B$9,Paramètres!$A$1:$I$89,3,0)*0.475*44/12</f>
        <v>2.163855095945971E-13</v>
      </c>
      <c r="AC123" s="24">
        <f t="shared" si="57"/>
        <v>0.6809880643942986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-9.9316821433603781E-14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327.826081588335</v>
      </c>
      <c r="AO123" s="62">
        <f t="shared" si="90"/>
        <v>348.84706693879735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1.3066654795261887</v>
      </c>
      <c r="AW123" s="23">
        <f>EXP(-LN(2)/2)*AW122+(1-EXP(-LN(2)/2))/(LN(2)/2)*AQ123*AT123*VLOOKUP('Données projet'!$B$10,Paramètres!$A$1:$I$89,3,0)*0.475*44/12</f>
        <v>4.2333495643904834E-13</v>
      </c>
      <c r="AX123" s="23">
        <f t="shared" si="60"/>
        <v>1.3066654795266122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-3.4106051316484809E-13</v>
      </c>
      <c r="BE123" s="14">
        <f>BD123*VLOOKUP('Données projet'!$B$11,Paramètres!$A$1:$I$89,3,0)*VLOOKUP('Données projet'!$B$11,Paramètres!$A$1:$I$89,5,0)</f>
        <v>-2.5006556825246659E-13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376.5422416541544</v>
      </c>
      <c r="BJ123" s="62">
        <f t="shared" si="92"/>
        <v>365.76175372075869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4.1586157805211679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4.1586157805211679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405.09126081846171</v>
      </c>
      <c r="CE123" s="62">
        <f t="shared" si="94"/>
        <v>534.22295841722166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1.6572396540204182</v>
      </c>
      <c r="CL123" s="23">
        <f>EXP(-LN(2)/25)*CL122+(1-EXP(-LN(2)/25))/(LN(2)/25)*Calculateur!CG123*Calculateur!CI123*VLOOKUP('Données projet'!$B$12,Paramètres!$A$1:$I$89,3,0)*0.475*44/12</f>
        <v>1.1562490060557149</v>
      </c>
      <c r="CM123" s="23">
        <f>EXP(-LN(2)/2)*CM122+(1-EXP(-LN(2)/2))/(LN(2)/2)*CG123*CJ123*VLOOKUP('Données projet'!$B$12,Paramètres!$A$1:$I$89,3,0)*0.475*44/12</f>
        <v>4.5181198076210831E-14</v>
      </c>
      <c r="CN123" s="24">
        <f t="shared" si="66"/>
        <v>2.8134886600761781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244.82163392718377</v>
      </c>
      <c r="CZ123" s="62">
        <f t="shared" si="96"/>
        <v>342.30266518164211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0.99406310402202958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0.99406310402202958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-2.2737367544323206E-13</v>
      </c>
      <c r="DP123" s="18">
        <f>DO123*VLOOKUP('Données projet'!$B$14,Paramètres!$A$1:$I$89,3,0)*VLOOKUP('Données projet'!$B$14,Paramètres!$A$1:$I$89,5,0)</f>
        <v>-1.8089849618263545E-13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298.89893065707554</v>
      </c>
      <c r="DU123" s="62">
        <f t="shared" si="98"/>
        <v>294.28794439094878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439.06700232017681</v>
      </c>
      <c r="EP123" s="62">
        <f t="shared" si="100"/>
        <v>278.21741231699929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0.7529805416300448</v>
      </c>
      <c r="EX123" s="23">
        <f>EXP(-LN(2)/2)*EX122+(1-EXP(-LN(2)/2))/(LN(2)/2)*ER123*EU123*VLOOKUP('Données projet'!$B$15,Paramètres!$A$1:$I$89,3,0)*0.475*44/12</f>
        <v>4.2376128262042293E-13</v>
      </c>
      <c r="EY123" s="24">
        <f t="shared" si="75"/>
        <v>0.75298054163046857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>
        <f>FE123*VLOOKUP('Données projet'!$B$16,Paramètres!$A$1:$I$89,3,0)*VLOOKUP('Données projet'!$B$16,Paramètres!$A$1:$I$89,5,0)</f>
        <v>0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466.4945858005575</v>
      </c>
      <c r="FK123" s="62">
        <f t="shared" si="102"/>
        <v>294.45557293177131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8.5948283409615452E-13</v>
      </c>
      <c r="FT123" s="24">
        <f t="shared" si="78"/>
        <v>8.5948283409615452E-13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>
        <f>FZ123*VLOOKUP('Données projet'!$B$17,Paramètres!$A$1:$I$89,3,0)*VLOOKUP('Données projet'!$B$17,Paramètres!$A$1:$I$89,5,0)</f>
        <v>0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459.64120566196812</v>
      </c>
      <c r="GF123" s="62">
        <f t="shared" si="104"/>
        <v>290.39826583283588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2.8421709430404007E-14</v>
      </c>
      <c r="O124" s="14">
        <f>N124*VLOOKUP('Données projet'!$B$9,Paramètres!$A$1:$I$89,3,0)*VLOOKUP('Données projet'!$B$9,Paramètres!$A$1:$I$89,5,0)</f>
        <v>1.5518253349000589E-14</v>
      </c>
      <c r="P124" s="14">
        <f t="shared" si="87"/>
        <v>2.8958815659671149E-13</v>
      </c>
      <c r="Q124" s="22">
        <f t="shared" si="107"/>
        <v>5.3139366398878183E-13</v>
      </c>
      <c r="R124" s="62">
        <f t="shared" si="55"/>
        <v>293.33333333333383</v>
      </c>
      <c r="S124" s="62">
        <f ca="1">AVERAGE(OFFSET($R$3,0,0,'Données projet'!$E$9+1,1))-AVERAGE(OFFSET($H$3,0,0,'Données projet'!$E$9+1,1))</f>
        <v>170.27677128684815</v>
      </c>
      <c r="T124" s="62">
        <f t="shared" si="88"/>
        <v>243.47439640666289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0.66236640996162011</v>
      </c>
      <c r="AB124" s="23">
        <f>EXP(-LN(2)/2)*AB123+(1-EXP(-LN(2)/2))/(LN(2)/2)*V124*Y124*VLOOKUP('Données projet'!$B$9,Paramètres!$A$1:$I$89,3,0)*0.475*44/12</f>
        <v>1.5300766118484635E-13</v>
      </c>
      <c r="AC124" s="24">
        <f t="shared" si="57"/>
        <v>0.66236640996177309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-9.9316821433603781E-14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327.826081588335</v>
      </c>
      <c r="AO124" s="62">
        <f t="shared" si="90"/>
        <v>348.84706693879735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1.2709346432739939</v>
      </c>
      <c r="AW124" s="23">
        <f>EXP(-LN(2)/2)*AW123+(1-EXP(-LN(2)/2))/(LN(2)/2)*AQ124*AT124*VLOOKUP('Données projet'!$B$10,Paramètres!$A$1:$I$89,3,0)*0.475*44/12</f>
        <v>2.9934301841136278E-13</v>
      </c>
      <c r="AX124" s="23">
        <f t="shared" si="60"/>
        <v>1.2709346432742932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-3.4106051316484809E-13</v>
      </c>
      <c r="BE124" s="14">
        <f>BD124*VLOOKUP('Données projet'!$B$11,Paramètres!$A$1:$I$89,3,0)*VLOOKUP('Données projet'!$B$11,Paramètres!$A$1:$I$89,5,0)</f>
        <v>-2.5006556825246659E-13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376.5422416541544</v>
      </c>
      <c r="BJ124" s="62">
        <f t="shared" si="92"/>
        <v>365.76175372075869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4.0770678615703151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4.0770678615703151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405.09126081846171</v>
      </c>
      <c r="CE124" s="62">
        <f t="shared" si="94"/>
        <v>534.22295841722166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1.6247421952214569</v>
      </c>
      <c r="CL124" s="23">
        <f>EXP(-LN(2)/25)*CL123+(1-EXP(-LN(2)/25))/(LN(2)/25)*Calculateur!CG124*Calculateur!CI124*VLOOKUP('Données projet'!$B$12,Paramètres!$A$1:$I$89,3,0)*0.475*44/12</f>
        <v>1.1246313161806287</v>
      </c>
      <c r="CM124" s="23">
        <f>EXP(-LN(2)/2)*CM123+(1-EXP(-LN(2)/2))/(LN(2)/2)*CG124*CJ124*VLOOKUP('Données projet'!$B$12,Paramètres!$A$1:$I$89,3,0)*0.475*44/12</f>
        <v>3.1947931541821274E-14</v>
      </c>
      <c r="CN124" s="24">
        <f t="shared" si="66"/>
        <v>2.7493735114021174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244.82163392718377</v>
      </c>
      <c r="CZ124" s="62">
        <f t="shared" si="96"/>
        <v>342.30266518164211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0.97457013287078209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0.97457013287078209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-2.2737367544323206E-13</v>
      </c>
      <c r="DP124" s="18">
        <f>DO124*VLOOKUP('Données projet'!$B$14,Paramètres!$A$1:$I$89,3,0)*VLOOKUP('Données projet'!$B$14,Paramètres!$A$1:$I$89,5,0)</f>
        <v>-1.8089849618263545E-13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298.89893065707554</v>
      </c>
      <c r="DU124" s="62">
        <f t="shared" si="98"/>
        <v>294.28794439094878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439.06700232017681</v>
      </c>
      <c r="EP124" s="62">
        <f t="shared" si="100"/>
        <v>278.21741231699929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0.73239024912164552</v>
      </c>
      <c r="EX124" s="23">
        <f>EXP(-LN(2)/2)*EX123+(1-EXP(-LN(2)/2))/(LN(2)/2)*ER124*EU124*VLOOKUP('Données projet'!$B$15,Paramètres!$A$1:$I$89,3,0)*0.475*44/12</f>
        <v>2.9964447654521012E-13</v>
      </c>
      <c r="EY124" s="24">
        <f t="shared" si="75"/>
        <v>0.73239024912194517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>
        <f>FE124*VLOOKUP('Données projet'!$B$16,Paramètres!$A$1:$I$89,3,0)*VLOOKUP('Données projet'!$B$16,Paramètres!$A$1:$I$89,5,0)</f>
        <v>0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466.4945858005575</v>
      </c>
      <c r="FK124" s="62">
        <f t="shared" si="102"/>
        <v>294.45557293177131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6.0774614030282325E-13</v>
      </c>
      <c r="FT124" s="24">
        <f t="shared" si="78"/>
        <v>6.0774614030282325E-13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>
        <f>FZ124*VLOOKUP('Données projet'!$B$17,Paramètres!$A$1:$I$89,3,0)*VLOOKUP('Données projet'!$B$17,Paramètres!$A$1:$I$89,5,0)</f>
        <v>0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459.64120566196812</v>
      </c>
      <c r="GF124" s="62">
        <f t="shared" si="104"/>
        <v>290.39826583283588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2.8421709430404007E-14</v>
      </c>
      <c r="O125" s="14">
        <f>N125*VLOOKUP('Données projet'!$B$9,Paramètres!$A$1:$I$89,3,0)*VLOOKUP('Données projet'!$B$9,Paramètres!$A$1:$I$89,5,0)</f>
        <v>1.5518253349000589E-14</v>
      </c>
      <c r="P125" s="14">
        <f t="shared" si="87"/>
        <v>2.8958815659671149E-13</v>
      </c>
      <c r="Q125" s="22">
        <f t="shared" si="107"/>
        <v>5.3139366398878183E-13</v>
      </c>
      <c r="R125" s="62">
        <f t="shared" si="55"/>
        <v>293.33333333333383</v>
      </c>
      <c r="S125" s="62">
        <f ca="1">AVERAGE(OFFSET($R$3,0,0,'Données projet'!$E$9+1,1))-AVERAGE(OFFSET($H$3,0,0,'Données projet'!$E$9+1,1))</f>
        <v>170.27677128684815</v>
      </c>
      <c r="T125" s="62">
        <f t="shared" si="88"/>
        <v>243.47439640666289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0.64425396564888393</v>
      </c>
      <c r="AB125" s="23">
        <f>EXP(-LN(2)/2)*AB124+(1-EXP(-LN(2)/2))/(LN(2)/2)*V125*Y125*VLOOKUP('Données projet'!$B$9,Paramètres!$A$1:$I$89,3,0)*0.475*44/12</f>
        <v>1.0819275479729855E-13</v>
      </c>
      <c r="AC125" s="24">
        <f t="shared" si="57"/>
        <v>0.64425396564899218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-9.9316821433603781E-14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327.826081588335</v>
      </c>
      <c r="AO125" s="62">
        <f t="shared" si="90"/>
        <v>348.84706693879735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1.2361808686181184</v>
      </c>
      <c r="AW125" s="23">
        <f>EXP(-LN(2)/2)*AW124+(1-EXP(-LN(2)/2))/(LN(2)/2)*AQ125*AT125*VLOOKUP('Données projet'!$B$10,Paramètres!$A$1:$I$89,3,0)*0.475*44/12</f>
        <v>2.1166747821952417E-13</v>
      </c>
      <c r="AX125" s="23">
        <f t="shared" si="60"/>
        <v>1.23618086861833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-3.4106051316484809E-13</v>
      </c>
      <c r="BE125" s="14">
        <f>BD125*VLOOKUP('Données projet'!$B$11,Paramètres!$A$1:$I$89,3,0)*VLOOKUP('Données projet'!$B$11,Paramètres!$A$1:$I$89,5,0)</f>
        <v>-2.5006556825246659E-13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376.5422416541544</v>
      </c>
      <c r="BJ125" s="62">
        <f t="shared" si="92"/>
        <v>365.76175372075869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3.9971190475707692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3.9971190475707692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405.09126081846171</v>
      </c>
      <c r="CE125" s="62">
        <f t="shared" si="94"/>
        <v>534.22295841722166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1.5928819917680506</v>
      </c>
      <c r="CL125" s="23">
        <f>EXP(-LN(2)/25)*CL124+(1-EXP(-LN(2)/25))/(LN(2)/25)*Calculateur!CG125*Calculateur!CI125*VLOOKUP('Données projet'!$B$12,Paramètres!$A$1:$I$89,3,0)*0.475*44/12</f>
        <v>1.0938782136978789</v>
      </c>
      <c r="CM125" s="23">
        <f>EXP(-LN(2)/2)*CM124+(1-EXP(-LN(2)/2))/(LN(2)/2)*CG125*CJ125*VLOOKUP('Données projet'!$B$12,Paramètres!$A$1:$I$89,3,0)*0.475*44/12</f>
        <v>2.2590599038105416E-14</v>
      </c>
      <c r="CN125" s="24">
        <f t="shared" si="66"/>
        <v>2.6867602054659518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244.82163392718377</v>
      </c>
      <c r="CZ125" s="62">
        <f t="shared" si="96"/>
        <v>342.30266518164211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0.95545940699427212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0.95545940699427212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-2.2737367544323206E-13</v>
      </c>
      <c r="DP125" s="18">
        <f>DO125*VLOOKUP('Données projet'!$B$14,Paramètres!$A$1:$I$89,3,0)*VLOOKUP('Données projet'!$B$14,Paramètres!$A$1:$I$89,5,0)</f>
        <v>-1.8089849618263545E-13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298.89893065707554</v>
      </c>
      <c r="DU125" s="62">
        <f t="shared" si="98"/>
        <v>294.28794439094878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439.06700232017681</v>
      </c>
      <c r="EP125" s="62">
        <f t="shared" si="100"/>
        <v>278.21741231699929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0.71236299924468482</v>
      </c>
      <c r="EX125" s="23">
        <f>EXP(-LN(2)/2)*EX124+(1-EXP(-LN(2)/2))/(LN(2)/2)*ER125*EU125*VLOOKUP('Données projet'!$B$15,Paramètres!$A$1:$I$89,3,0)*0.475*44/12</f>
        <v>2.1188064131021147E-13</v>
      </c>
      <c r="EY125" s="24">
        <f t="shared" si="75"/>
        <v>0.71236299924489666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>
        <f>FE125*VLOOKUP('Données projet'!$B$16,Paramètres!$A$1:$I$89,3,0)*VLOOKUP('Données projet'!$B$16,Paramètres!$A$1:$I$89,5,0)</f>
        <v>0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466.4945858005575</v>
      </c>
      <c r="FK125" s="62">
        <f t="shared" si="102"/>
        <v>294.45557293177131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4.2974141704807726E-13</v>
      </c>
      <c r="FT125" s="24">
        <f t="shared" si="78"/>
        <v>4.2974141704807726E-13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>
        <f>FZ125*VLOOKUP('Données projet'!$B$17,Paramètres!$A$1:$I$89,3,0)*VLOOKUP('Données projet'!$B$17,Paramètres!$A$1:$I$89,5,0)</f>
        <v>0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459.64120566196812</v>
      </c>
      <c r="GF125" s="62">
        <f t="shared" si="104"/>
        <v>290.39826583283588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2.8421709430404007E-14</v>
      </c>
      <c r="O126" s="14">
        <f>N126*VLOOKUP('Données projet'!$B$9,Paramètres!$A$1:$I$89,3,0)*VLOOKUP('Données projet'!$B$9,Paramètres!$A$1:$I$89,5,0)</f>
        <v>1.5518253349000589E-14</v>
      </c>
      <c r="P126" s="14">
        <f t="shared" si="87"/>
        <v>2.8958815659671149E-13</v>
      </c>
      <c r="Q126" s="22">
        <f t="shared" si="107"/>
        <v>5.3139366398878183E-13</v>
      </c>
      <c r="R126" s="62">
        <f t="shared" si="55"/>
        <v>293.33333333333383</v>
      </c>
      <c r="S126" s="62">
        <f ca="1">AVERAGE(OFFSET($R$3,0,0,'Données projet'!$E$9+1,1))-AVERAGE(OFFSET($H$3,0,0,'Données projet'!$E$9+1,1))</f>
        <v>170.27677128684815</v>
      </c>
      <c r="T126" s="62">
        <f t="shared" si="88"/>
        <v>243.47439640666289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0.62663680707837166</v>
      </c>
      <c r="AB126" s="23">
        <f>EXP(-LN(2)/2)*AB125+(1-EXP(-LN(2)/2))/(LN(2)/2)*V126*Y126*VLOOKUP('Données projet'!$B$9,Paramètres!$A$1:$I$89,3,0)*0.475*44/12</f>
        <v>7.6503830592423174E-14</v>
      </c>
      <c r="AC126" s="24">
        <f t="shared" si="57"/>
        <v>0.62663680707844815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-9.9316821433603781E-14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327.826081588335</v>
      </c>
      <c r="AO126" s="62">
        <f t="shared" si="90"/>
        <v>348.84706693879735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1.2023774377578293</v>
      </c>
      <c r="AW126" s="23">
        <f>EXP(-LN(2)/2)*AW125+(1-EXP(-LN(2)/2))/(LN(2)/2)*AQ126*AT126*VLOOKUP('Données projet'!$B$10,Paramètres!$A$1:$I$89,3,0)*0.475*44/12</f>
        <v>1.4967150920568139E-13</v>
      </c>
      <c r="AX126" s="23">
        <f t="shared" si="60"/>
        <v>1.202377437757979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-3.4106051316484809E-13</v>
      </c>
      <c r="BE126" s="14">
        <f>BD126*VLOOKUP('Données projet'!$B$11,Paramètres!$A$1:$I$89,3,0)*VLOOKUP('Données projet'!$B$11,Paramètres!$A$1:$I$89,5,0)</f>
        <v>-2.5006556825246659E-13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376.5422416541544</v>
      </c>
      <c r="BJ126" s="62">
        <f t="shared" si="92"/>
        <v>365.76175372075869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3.9187379810497927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3.9187379810497927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405.09126081846171</v>
      </c>
      <c r="CE126" s="62">
        <f t="shared" si="94"/>
        <v>534.22295841722166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1.5616465474715602</v>
      </c>
      <c r="CL126" s="23">
        <f>EXP(-LN(2)/25)*CL125+(1-EXP(-LN(2)/25))/(LN(2)/25)*Calculateur!CG126*Calculateur!CI126*VLOOKUP('Données projet'!$B$12,Paramètres!$A$1:$I$89,3,0)*0.475*44/12</f>
        <v>1.0639660564197553</v>
      </c>
      <c r="CM126" s="23">
        <f>EXP(-LN(2)/2)*CM125+(1-EXP(-LN(2)/2))/(LN(2)/2)*CG126*CJ126*VLOOKUP('Données projet'!$B$12,Paramètres!$A$1:$I$89,3,0)*0.475*44/12</f>
        <v>1.5973965770910637E-14</v>
      </c>
      <c r="CN126" s="24">
        <f t="shared" si="66"/>
        <v>2.6256126038913314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244.82163392718377</v>
      </c>
      <c r="CZ126" s="62">
        <f t="shared" si="96"/>
        <v>342.30266518164211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0.93672343079580866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0.93672343079580866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-2.2737367544323206E-13</v>
      </c>
      <c r="DP126" s="18">
        <f>DO126*VLOOKUP('Données projet'!$B$14,Paramètres!$A$1:$I$89,3,0)*VLOOKUP('Données projet'!$B$14,Paramètres!$A$1:$I$89,5,0)</f>
        <v>-1.8089849618263545E-13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298.89893065707554</v>
      </c>
      <c r="DU126" s="62">
        <f t="shared" si="98"/>
        <v>294.28794439094878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439.06700232017681</v>
      </c>
      <c r="EP126" s="62">
        <f t="shared" si="100"/>
        <v>278.21741231699929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0.69288339556879697</v>
      </c>
      <c r="EX126" s="23">
        <f>EXP(-LN(2)/2)*EX125+(1-EXP(-LN(2)/2))/(LN(2)/2)*ER126*EU126*VLOOKUP('Données projet'!$B$15,Paramètres!$A$1:$I$89,3,0)*0.475*44/12</f>
        <v>1.4982223827260506E-13</v>
      </c>
      <c r="EY126" s="24">
        <f t="shared" si="75"/>
        <v>0.69288339556894674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>
        <f>FE126*VLOOKUP('Données projet'!$B$16,Paramètres!$A$1:$I$89,3,0)*VLOOKUP('Données projet'!$B$16,Paramètres!$A$1:$I$89,5,0)</f>
        <v>0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466.4945858005575</v>
      </c>
      <c r="FK126" s="62">
        <f t="shared" si="102"/>
        <v>294.45557293177131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3.0387307015141163E-13</v>
      </c>
      <c r="FT126" s="24">
        <f t="shared" si="78"/>
        <v>3.0387307015141163E-13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>
        <f>FZ126*VLOOKUP('Données projet'!$B$17,Paramètres!$A$1:$I$89,3,0)*VLOOKUP('Données projet'!$B$17,Paramètres!$A$1:$I$89,5,0)</f>
        <v>0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459.64120566196812</v>
      </c>
      <c r="GF126" s="62">
        <f t="shared" si="104"/>
        <v>290.39826583283588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2.8421709430404007E-14</v>
      </c>
      <c r="O127" s="14">
        <f>N127*VLOOKUP('Données projet'!$B$9,Paramètres!$A$1:$I$89,3,0)*VLOOKUP('Données projet'!$B$9,Paramètres!$A$1:$I$89,5,0)</f>
        <v>1.5518253349000589E-14</v>
      </c>
      <c r="P127" s="14">
        <f t="shared" si="87"/>
        <v>2.8958815659671149E-13</v>
      </c>
      <c r="Q127" s="22">
        <f t="shared" si="107"/>
        <v>5.3139366398878183E-13</v>
      </c>
      <c r="R127" s="62">
        <f t="shared" si="55"/>
        <v>293.33333333333383</v>
      </c>
      <c r="S127" s="62">
        <f ca="1">AVERAGE(OFFSET($R$3,0,0,'Données projet'!$E$9+1,1))-AVERAGE(OFFSET($H$3,0,0,'Données projet'!$E$9+1,1))</f>
        <v>170.27677128684815</v>
      </c>
      <c r="T127" s="62">
        <f t="shared" si="88"/>
        <v>243.47439640666289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0.60950139063541608</v>
      </c>
      <c r="AB127" s="23">
        <f>EXP(-LN(2)/2)*AB126+(1-EXP(-LN(2)/2))/(LN(2)/2)*V127*Y127*VLOOKUP('Données projet'!$B$9,Paramètres!$A$1:$I$89,3,0)*0.475*44/12</f>
        <v>5.4096377398649275E-14</v>
      </c>
      <c r="AC127" s="24">
        <f t="shared" si="57"/>
        <v>0.60950139063547015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-9.9316821433603781E-14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327.826081588335</v>
      </c>
      <c r="AO127" s="62">
        <f t="shared" si="90"/>
        <v>348.84706693879735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1.1694983634920602</v>
      </c>
      <c r="AW127" s="23">
        <f>EXP(-LN(2)/2)*AW126+(1-EXP(-LN(2)/2))/(LN(2)/2)*AQ127*AT127*VLOOKUP('Données projet'!$B$10,Paramètres!$A$1:$I$89,3,0)*0.475*44/12</f>
        <v>1.0583373910976209E-13</v>
      </c>
      <c r="AX127" s="23">
        <f t="shared" si="60"/>
        <v>1.1694983634921661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-3.4106051316484809E-13</v>
      </c>
      <c r="BE127" s="14">
        <f>BD127*VLOOKUP('Données projet'!$B$11,Paramètres!$A$1:$I$89,3,0)*VLOOKUP('Données projet'!$B$11,Paramètres!$A$1:$I$89,5,0)</f>
        <v>-2.5006556825246659E-13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376.5422416541544</v>
      </c>
      <c r="BJ127" s="62">
        <f t="shared" si="92"/>
        <v>365.76175372075869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3.8418939194355626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3.8418939194355626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405.09126081846171</v>
      </c>
      <c r="CE127" s="62">
        <f t="shared" si="94"/>
        <v>534.22295841722166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1.5310236111859843</v>
      </c>
      <c r="CL127" s="23">
        <f>EXP(-LN(2)/25)*CL126+(1-EXP(-LN(2)/25))/(LN(2)/25)*Calculateur!CG127*Calculateur!CI127*VLOOKUP('Données projet'!$B$12,Paramètres!$A$1:$I$89,3,0)*0.475*44/12</f>
        <v>1.0348718486554138</v>
      </c>
      <c r="CM127" s="23">
        <f>EXP(-LN(2)/2)*CM126+(1-EXP(-LN(2)/2))/(LN(2)/2)*CG127*CJ127*VLOOKUP('Données projet'!$B$12,Paramètres!$A$1:$I$89,3,0)*0.475*44/12</f>
        <v>1.1295299519052708E-14</v>
      </c>
      <c r="CN127" s="24">
        <f t="shared" si="66"/>
        <v>2.5658954598414092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244.82163392718377</v>
      </c>
      <c r="CZ127" s="62">
        <f t="shared" si="96"/>
        <v>342.30266518164211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0.91835485566277997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0.91835485566277997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-2.2737367544323206E-13</v>
      </c>
      <c r="DP127" s="18">
        <f>DO127*VLOOKUP('Données projet'!$B$14,Paramètres!$A$1:$I$89,3,0)*VLOOKUP('Données projet'!$B$14,Paramètres!$A$1:$I$89,5,0)</f>
        <v>-1.8089849618263545E-13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298.89893065707554</v>
      </c>
      <c r="DU127" s="62">
        <f t="shared" si="98"/>
        <v>294.28794439094878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439.06700232017681</v>
      </c>
      <c r="EP127" s="62">
        <f t="shared" si="100"/>
        <v>278.21741231699929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0.673936462679814</v>
      </c>
      <c r="EX127" s="23">
        <f>EXP(-LN(2)/2)*EX126+(1-EXP(-LN(2)/2))/(LN(2)/2)*ER127*EU127*VLOOKUP('Données projet'!$B$15,Paramètres!$A$1:$I$89,3,0)*0.475*44/12</f>
        <v>1.0594032065510573E-13</v>
      </c>
      <c r="EY127" s="24">
        <f t="shared" si="75"/>
        <v>0.67393646267991991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>
        <f>FE127*VLOOKUP('Données projet'!$B$16,Paramètres!$A$1:$I$89,3,0)*VLOOKUP('Données projet'!$B$16,Paramètres!$A$1:$I$89,5,0)</f>
        <v>0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466.4945858005575</v>
      </c>
      <c r="FK127" s="62">
        <f t="shared" si="102"/>
        <v>294.45557293177131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2.1487070852403863E-13</v>
      </c>
      <c r="FT127" s="24">
        <f t="shared" si="78"/>
        <v>2.1487070852403863E-13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>
        <f>FZ127*VLOOKUP('Données projet'!$B$17,Paramètres!$A$1:$I$89,3,0)*VLOOKUP('Données projet'!$B$17,Paramètres!$A$1:$I$89,5,0)</f>
        <v>0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459.64120566196812</v>
      </c>
      <c r="GF127" s="62">
        <f t="shared" si="104"/>
        <v>290.39826583283588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2.8421709430404007E-14</v>
      </c>
      <c r="O128" s="14">
        <f>N128*VLOOKUP('Données projet'!$B$9,Paramètres!$A$1:$I$89,3,0)*VLOOKUP('Données projet'!$B$9,Paramètres!$A$1:$I$89,5,0)</f>
        <v>1.5518253349000589E-14</v>
      </c>
      <c r="P128" s="14">
        <f t="shared" si="87"/>
        <v>2.8958815659671149E-13</v>
      </c>
      <c r="Q128" s="22">
        <f t="shared" si="107"/>
        <v>5.3139366398878183E-13</v>
      </c>
      <c r="R128" s="62">
        <f t="shared" si="55"/>
        <v>293.33333333333383</v>
      </c>
      <c r="S128" s="62">
        <f ca="1">AVERAGE(OFFSET($R$3,0,0,'Données projet'!$E$9+1,1))-AVERAGE(OFFSET($H$3,0,0,'Données projet'!$E$9+1,1))</f>
        <v>170.27677128684815</v>
      </c>
      <c r="T128" s="62">
        <f t="shared" si="88"/>
        <v>243.47439640666289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0.59283454305620553</v>
      </c>
      <c r="AB128" s="23">
        <f>EXP(-LN(2)/2)*AB127+(1-EXP(-LN(2)/2))/(LN(2)/2)*V128*Y128*VLOOKUP('Données projet'!$B$9,Paramètres!$A$1:$I$89,3,0)*0.475*44/12</f>
        <v>3.8251915296211587E-14</v>
      </c>
      <c r="AC128" s="24">
        <f t="shared" si="57"/>
        <v>0.59283454305624383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-9.9316821433603781E-14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327.826081588335</v>
      </c>
      <c r="AO128" s="62">
        <f t="shared" si="90"/>
        <v>348.84706693879735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1.1375183692411237</v>
      </c>
      <c r="AW128" s="23">
        <f>EXP(-LN(2)/2)*AW127+(1-EXP(-LN(2)/2))/(LN(2)/2)*AQ128*AT128*VLOOKUP('Données projet'!$B$10,Paramètres!$A$1:$I$89,3,0)*0.475*44/12</f>
        <v>7.4835754602840695E-14</v>
      </c>
      <c r="AX128" s="23">
        <f t="shared" si="60"/>
        <v>1.1375183692411985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-3.4106051316484809E-13</v>
      </c>
      <c r="BE128" s="14">
        <f>BD128*VLOOKUP('Données projet'!$B$11,Paramètres!$A$1:$I$89,3,0)*VLOOKUP('Données projet'!$B$11,Paramètres!$A$1:$I$89,5,0)</f>
        <v>-2.5006556825246659E-13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376.5422416541544</v>
      </c>
      <c r="BJ128" s="62">
        <f t="shared" si="92"/>
        <v>365.76175372075869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3.7665567229993382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3.7665567229993382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405.09126081846171</v>
      </c>
      <c r="CE128" s="62">
        <f t="shared" si="94"/>
        <v>534.22295841722166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1.5010011720028218</v>
      </c>
      <c r="CL128" s="23">
        <f>EXP(-LN(2)/25)*CL127+(1-EXP(-LN(2)/25))/(LN(2)/25)*Calculateur!CG128*Calculateur!CI128*VLOOKUP('Données projet'!$B$12,Paramètres!$A$1:$I$89,3,0)*0.475*44/12</f>
        <v>1.0065732235323863</v>
      </c>
      <c r="CM128" s="23">
        <f>EXP(-LN(2)/2)*CM127+(1-EXP(-LN(2)/2))/(LN(2)/2)*CG128*CJ128*VLOOKUP('Données projet'!$B$12,Paramètres!$A$1:$I$89,3,0)*0.475*44/12</f>
        <v>7.9869828854553184E-15</v>
      </c>
      <c r="CN128" s="24">
        <f t="shared" si="66"/>
        <v>2.5075743955352161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244.82163392718377</v>
      </c>
      <c r="CZ128" s="62">
        <f t="shared" si="96"/>
        <v>342.30266518164211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0.90034647708438542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0.90034647708438542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-2.2737367544323206E-13</v>
      </c>
      <c r="DP128" s="18">
        <f>DO128*VLOOKUP('Données projet'!$B$14,Paramètres!$A$1:$I$89,3,0)*VLOOKUP('Données projet'!$B$14,Paramètres!$A$1:$I$89,5,0)</f>
        <v>-1.8089849618263545E-13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298.89893065707554</v>
      </c>
      <c r="DU128" s="62">
        <f t="shared" si="98"/>
        <v>294.28794439094878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439.06700232017681</v>
      </c>
      <c r="EP128" s="62">
        <f t="shared" si="100"/>
        <v>278.21741231699929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0.65550763466705619</v>
      </c>
      <c r="EX128" s="23">
        <f>EXP(-LN(2)/2)*EX127+(1-EXP(-LN(2)/2))/(LN(2)/2)*ER128*EU128*VLOOKUP('Données projet'!$B$15,Paramètres!$A$1:$I$89,3,0)*0.475*44/12</f>
        <v>7.491111913630253E-14</v>
      </c>
      <c r="EY128" s="24">
        <f t="shared" si="75"/>
        <v>0.65550763466713113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>
        <f>FE128*VLOOKUP('Données projet'!$B$16,Paramètres!$A$1:$I$89,3,0)*VLOOKUP('Données projet'!$B$16,Paramètres!$A$1:$I$89,5,0)</f>
        <v>0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466.4945858005575</v>
      </c>
      <c r="FK128" s="62">
        <f t="shared" si="102"/>
        <v>294.45557293177131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1.5193653507570581E-13</v>
      </c>
      <c r="FT128" s="24">
        <f t="shared" si="78"/>
        <v>1.5193653507570581E-13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>
        <f>FZ128*VLOOKUP('Données projet'!$B$17,Paramètres!$A$1:$I$89,3,0)*VLOOKUP('Données projet'!$B$17,Paramètres!$A$1:$I$89,5,0)</f>
        <v>0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459.64120566196812</v>
      </c>
      <c r="GF128" s="62">
        <f t="shared" si="104"/>
        <v>290.39826583283588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2.8421709430404007E-14</v>
      </c>
      <c r="O129" s="14">
        <f>N129*VLOOKUP('Données projet'!$B$9,Paramètres!$A$1:$I$89,3,0)*VLOOKUP('Données projet'!$B$9,Paramètres!$A$1:$I$89,5,0)</f>
        <v>1.5518253349000589E-14</v>
      </c>
      <c r="P129" s="14">
        <f t="shared" si="87"/>
        <v>2.8958815659671149E-13</v>
      </c>
      <c r="Q129" s="22">
        <f t="shared" si="107"/>
        <v>5.3139366398878183E-13</v>
      </c>
      <c r="R129" s="62">
        <f t="shared" si="55"/>
        <v>293.33333333333383</v>
      </c>
      <c r="S129" s="62">
        <f ca="1">AVERAGE(OFFSET($R$3,0,0,'Données projet'!$E$9+1,1))-AVERAGE(OFFSET($H$3,0,0,'Données projet'!$E$9+1,1))</f>
        <v>170.27677128684815</v>
      </c>
      <c r="T129" s="62">
        <f t="shared" si="88"/>
        <v>243.47439640666289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0.57662345130051995</v>
      </c>
      <c r="AB129" s="23">
        <f>EXP(-LN(2)/2)*AB128+(1-EXP(-LN(2)/2))/(LN(2)/2)*V129*Y129*VLOOKUP('Données projet'!$B$9,Paramètres!$A$1:$I$89,3,0)*0.475*44/12</f>
        <v>2.7048188699324637E-14</v>
      </c>
      <c r="AC129" s="24">
        <f t="shared" si="57"/>
        <v>0.57662345130054704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-9.9316821433603781E-14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327.826081588335</v>
      </c>
      <c r="AO129" s="62">
        <f t="shared" si="90"/>
        <v>348.84706693879735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1.106412869614734</v>
      </c>
      <c r="AW129" s="23">
        <f>EXP(-LN(2)/2)*AW128+(1-EXP(-LN(2)/2))/(LN(2)/2)*AQ129*AT129*VLOOKUP('Données projet'!$B$10,Paramètres!$A$1:$I$89,3,0)*0.475*44/12</f>
        <v>5.2916869554881043E-14</v>
      </c>
      <c r="AX129" s="23">
        <f t="shared" si="60"/>
        <v>1.1064128696147868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-3.4106051316484809E-13</v>
      </c>
      <c r="BE129" s="14">
        <f>BD129*VLOOKUP('Données projet'!$B$11,Paramètres!$A$1:$I$89,3,0)*VLOOKUP('Données projet'!$B$11,Paramètres!$A$1:$I$89,5,0)</f>
        <v>-2.5006556825246659E-13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376.5422416541544</v>
      </c>
      <c r="BJ129" s="62">
        <f t="shared" si="92"/>
        <v>365.76175372075869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3.6926968430340756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3.6926968430340756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405.09126081846171</v>
      </c>
      <c r="CE129" s="62">
        <f t="shared" si="94"/>
        <v>534.22295841722166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1.4715674545401614</v>
      </c>
      <c r="CL129" s="23">
        <f>EXP(-LN(2)/25)*CL128+(1-EXP(-LN(2)/25))/(LN(2)/25)*Calculateur!CG129*Calculateur!CI129*VLOOKUP('Données projet'!$B$12,Paramètres!$A$1:$I$89,3,0)*0.475*44/12</f>
        <v>0.97904842580150797</v>
      </c>
      <c r="CM129" s="23">
        <f>EXP(-LN(2)/2)*CM128+(1-EXP(-LN(2)/2))/(LN(2)/2)*CG129*CJ129*VLOOKUP('Données projet'!$B$12,Paramètres!$A$1:$I$89,3,0)*0.475*44/12</f>
        <v>5.6476497595263539E-15</v>
      </c>
      <c r="CN129" s="24">
        <f t="shared" si="66"/>
        <v>2.4506158803416751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244.82163392718377</v>
      </c>
      <c r="CZ129" s="62">
        <f t="shared" si="96"/>
        <v>342.30266518164211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0.88269123182588693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0.88269123182588693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-2.2737367544323206E-13</v>
      </c>
      <c r="DP129" s="18">
        <f>DO129*VLOOKUP('Données projet'!$B$14,Paramètres!$A$1:$I$89,3,0)*VLOOKUP('Données projet'!$B$14,Paramètres!$A$1:$I$89,5,0)</f>
        <v>-1.8089849618263545E-13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298.89893065707554</v>
      </c>
      <c r="DU129" s="62">
        <f t="shared" si="98"/>
        <v>294.28794439094878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439.06700232017681</v>
      </c>
      <c r="EP129" s="62">
        <f t="shared" si="100"/>
        <v>278.21741231699929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0.63758274392543723</v>
      </c>
      <c r="EX129" s="23">
        <f>EXP(-LN(2)/2)*EX128+(1-EXP(-LN(2)/2))/(LN(2)/2)*ER129*EU129*VLOOKUP('Données projet'!$B$15,Paramètres!$A$1:$I$89,3,0)*0.475*44/12</f>
        <v>5.2970160327552867E-14</v>
      </c>
      <c r="EY129" s="24">
        <f t="shared" si="75"/>
        <v>0.63758274392549019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>
        <f>FE129*VLOOKUP('Données projet'!$B$16,Paramètres!$A$1:$I$89,3,0)*VLOOKUP('Données projet'!$B$16,Paramètres!$A$1:$I$89,5,0)</f>
        <v>0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466.4945858005575</v>
      </c>
      <c r="FK129" s="62">
        <f t="shared" si="102"/>
        <v>294.45557293177131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1.0743535426201931E-13</v>
      </c>
      <c r="FT129" s="24">
        <f t="shared" si="78"/>
        <v>1.0743535426201931E-13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>
        <f>FZ129*VLOOKUP('Données projet'!$B$17,Paramètres!$A$1:$I$89,3,0)*VLOOKUP('Données projet'!$B$17,Paramètres!$A$1:$I$89,5,0)</f>
        <v>0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459.64120566196812</v>
      </c>
      <c r="GF129" s="62">
        <f t="shared" si="104"/>
        <v>290.39826583283588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2.8421709430404007E-14</v>
      </c>
      <c r="O130" s="14">
        <f>N130*VLOOKUP('Données projet'!$B$9,Paramètres!$A$1:$I$89,3,0)*VLOOKUP('Données projet'!$B$9,Paramètres!$A$1:$I$89,5,0)</f>
        <v>1.5518253349000589E-14</v>
      </c>
      <c r="P130" s="14">
        <f t="shared" si="87"/>
        <v>2.8958815659671149E-13</v>
      </c>
      <c r="Q130" s="22">
        <f t="shared" si="107"/>
        <v>5.3139366398878183E-13</v>
      </c>
      <c r="R130" s="62">
        <f t="shared" si="55"/>
        <v>293.33333333333383</v>
      </c>
      <c r="S130" s="62">
        <f ca="1">AVERAGE(OFFSET($R$3,0,0,'Données projet'!$E$9+1,1))-AVERAGE(OFFSET($H$3,0,0,'Données projet'!$E$9+1,1))</f>
        <v>170.27677128684815</v>
      </c>
      <c r="T130" s="62">
        <f t="shared" si="88"/>
        <v>243.47439640666289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0.56085565270139781</v>
      </c>
      <c r="AB130" s="23">
        <f>EXP(-LN(2)/2)*AB129+(1-EXP(-LN(2)/2))/(LN(2)/2)*V130*Y130*VLOOKUP('Données projet'!$B$9,Paramètres!$A$1:$I$89,3,0)*0.475*44/12</f>
        <v>1.9125957648105794E-14</v>
      </c>
      <c r="AC130" s="24">
        <f t="shared" si="57"/>
        <v>0.56085565270141691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-9.9316821433603781E-14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327.826081588335</v>
      </c>
      <c r="AO130" s="62">
        <f t="shared" si="90"/>
        <v>348.84706693879735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1.076157951511395</v>
      </c>
      <c r="AW130" s="23">
        <f>EXP(-LN(2)/2)*AW129+(1-EXP(-LN(2)/2))/(LN(2)/2)*AQ130*AT130*VLOOKUP('Données projet'!$B$10,Paramètres!$A$1:$I$89,3,0)*0.475*44/12</f>
        <v>3.7417877301420347E-14</v>
      </c>
      <c r="AX130" s="23">
        <f t="shared" si="60"/>
        <v>1.0761579515114326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-3.4106051316484809E-13</v>
      </c>
      <c r="BE130" s="14">
        <f>BD130*VLOOKUP('Données projet'!$B$11,Paramètres!$A$1:$I$89,3,0)*VLOOKUP('Données projet'!$B$11,Paramètres!$A$1:$I$89,5,0)</f>
        <v>-2.5006556825246659E-13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376.5422416541544</v>
      </c>
      <c r="BJ130" s="62">
        <f t="shared" si="92"/>
        <v>365.76175372075869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3.6202853102648533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3.6202853102648533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405.09126081846171</v>
      </c>
      <c r="CE130" s="62">
        <f t="shared" si="94"/>
        <v>534.22295841722166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1.4427109143241486</v>
      </c>
      <c r="CL130" s="23">
        <f>EXP(-LN(2)/25)*CL129+(1-EXP(-LN(2)/25))/(LN(2)/25)*Calculateur!CG130*Calculateur!CI130*VLOOKUP('Données projet'!$B$12,Paramètres!$A$1:$I$89,3,0)*0.475*44/12</f>
        <v>0.9522762951120467</v>
      </c>
      <c r="CM130" s="23">
        <f>EXP(-LN(2)/2)*CM129+(1-EXP(-LN(2)/2))/(LN(2)/2)*CG130*CJ130*VLOOKUP('Données projet'!$B$12,Paramètres!$A$1:$I$89,3,0)*0.475*44/12</f>
        <v>3.9934914427276592E-15</v>
      </c>
      <c r="CN130" s="24">
        <f t="shared" si="66"/>
        <v>2.394987209436199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244.82163392718377</v>
      </c>
      <c r="CZ130" s="62">
        <f t="shared" si="96"/>
        <v>342.30266518164211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0.86538219515827131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0.86538219515827131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-2.2737367544323206E-13</v>
      </c>
      <c r="DP130" s="18">
        <f>DO130*VLOOKUP('Données projet'!$B$14,Paramètres!$A$1:$I$89,3,0)*VLOOKUP('Données projet'!$B$14,Paramètres!$A$1:$I$89,5,0)</f>
        <v>-1.8089849618263545E-13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298.89893065707554</v>
      </c>
      <c r="DU130" s="62">
        <f t="shared" si="98"/>
        <v>294.28794439094878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439.06700232017681</v>
      </c>
      <c r="EP130" s="62">
        <f t="shared" si="100"/>
        <v>278.21741231699929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0.62014801026377686</v>
      </c>
      <c r="EX130" s="23">
        <f>EXP(-LN(2)/2)*EX129+(1-EXP(-LN(2)/2))/(LN(2)/2)*ER130*EU130*VLOOKUP('Données projet'!$B$15,Paramètres!$A$1:$I$89,3,0)*0.475*44/12</f>
        <v>3.7455559568151265E-14</v>
      </c>
      <c r="EY130" s="24">
        <f t="shared" si="75"/>
        <v>0.62014801026381428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>
        <f>FE130*VLOOKUP('Données projet'!$B$16,Paramètres!$A$1:$I$89,3,0)*VLOOKUP('Données projet'!$B$16,Paramètres!$A$1:$I$89,5,0)</f>
        <v>0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466.4945858005575</v>
      </c>
      <c r="FK130" s="62">
        <f t="shared" si="102"/>
        <v>294.45557293177131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7.5968267537852907E-14</v>
      </c>
      <c r="FT130" s="24">
        <f t="shared" si="78"/>
        <v>7.5968267537852907E-14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>
        <f>FZ130*VLOOKUP('Données projet'!$B$17,Paramètres!$A$1:$I$89,3,0)*VLOOKUP('Données projet'!$B$17,Paramètres!$A$1:$I$89,5,0)</f>
        <v>0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459.64120566196812</v>
      </c>
      <c r="GF130" s="62">
        <f t="shared" si="104"/>
        <v>290.39826583283588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2.8421709430404007E-14</v>
      </c>
      <c r="O131" s="14">
        <f>N131*VLOOKUP('Données projet'!$B$9,Paramètres!$A$1:$I$89,3,0)*VLOOKUP('Données projet'!$B$9,Paramètres!$A$1:$I$89,5,0)</f>
        <v>1.5518253349000589E-14</v>
      </c>
      <c r="P131" s="14">
        <f t="shared" si="87"/>
        <v>2.8958815659671149E-13</v>
      </c>
      <c r="Q131" s="22">
        <f t="shared" ref="Q131:Q153" si="108">(O131+P131)*0.475*44/12</f>
        <v>5.3139366398878183E-13</v>
      </c>
      <c r="R131" s="62">
        <f t="shared" ref="R131:R194" si="109">Q131+(I131+J131)*44/12</f>
        <v>293.33333333333383</v>
      </c>
      <c r="S131" s="62">
        <f ca="1">AVERAGE(OFFSET($R$3,0,0,'Données projet'!$E$9+1,1))-AVERAGE(OFFSET($H$3,0,0,'Données projet'!$E$9+1,1))</f>
        <v>170.27677128684815</v>
      </c>
      <c r="T131" s="62">
        <f t="shared" si="88"/>
        <v>243.47439640666289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0.54551902538416119</v>
      </c>
      <c r="AB131" s="23">
        <f>EXP(-LN(2)/2)*AB130+(1-EXP(-LN(2)/2))/(LN(2)/2)*V131*Y131*VLOOKUP('Données projet'!$B$9,Paramètres!$A$1:$I$89,3,0)*0.475*44/12</f>
        <v>1.3524094349662319E-14</v>
      </c>
      <c r="AC131" s="24">
        <f t="shared" si="57"/>
        <v>0.54551902538417474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-9.9316821433603781E-14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327.826081588335</v>
      </c>
      <c r="AO131" s="62">
        <f t="shared" si="90"/>
        <v>348.84706693879735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1.0467303557346288</v>
      </c>
      <c r="AW131" s="23">
        <f>EXP(-LN(2)/2)*AW130+(1-EXP(-LN(2)/2))/(LN(2)/2)*AQ131*AT131*VLOOKUP('Données projet'!$B$10,Paramètres!$A$1:$I$89,3,0)*0.475*44/12</f>
        <v>2.6458434777440521E-14</v>
      </c>
      <c r="AX131" s="23">
        <f t="shared" si="60"/>
        <v>1.0467303557346552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-3.4106051316484809E-13</v>
      </c>
      <c r="BE131" s="14">
        <f>BD131*VLOOKUP('Données projet'!$B$11,Paramètres!$A$1:$I$89,3,0)*VLOOKUP('Données projet'!$B$11,Paramètres!$A$1:$I$89,5,0)</f>
        <v>-2.5006556825246659E-13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376.5422416541544</v>
      </c>
      <c r="BJ131" s="62">
        <f t="shared" si="92"/>
        <v>365.76175372075869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3.5492937234865614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3.5492937234865614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405.09126081846171</v>
      </c>
      <c r="CE131" s="62">
        <f t="shared" si="94"/>
        <v>534.22295841722166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1.4144202332610203</v>
      </c>
      <c r="CL131" s="23">
        <f>EXP(-LN(2)/25)*CL130+(1-EXP(-LN(2)/25))/(LN(2)/25)*Calculateur!CG131*Calculateur!CI131*VLOOKUP('Données projet'!$B$12,Paramètres!$A$1:$I$89,3,0)*0.475*44/12</f>
        <v>0.92623624974417385</v>
      </c>
      <c r="CM131" s="23">
        <f>EXP(-LN(2)/2)*CM130+(1-EXP(-LN(2)/2))/(LN(2)/2)*CG131*CJ131*VLOOKUP('Données projet'!$B$12,Paramètres!$A$1:$I$89,3,0)*0.475*44/12</f>
        <v>2.823824879763177E-15</v>
      </c>
      <c r="CN131" s="24">
        <f t="shared" si="66"/>
        <v>2.3406564830051968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244.82163392718377</v>
      </c>
      <c r="CZ131" s="62">
        <f t="shared" si="96"/>
        <v>342.30266518164211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0.84841257814223769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0.84841257814223769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-2.2737367544323206E-13</v>
      </c>
      <c r="DP131" s="18">
        <f>DO131*VLOOKUP('Données projet'!$B$14,Paramètres!$A$1:$I$89,3,0)*VLOOKUP('Données projet'!$B$14,Paramètres!$A$1:$I$89,5,0)</f>
        <v>-1.8089849618263545E-13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298.89893065707554</v>
      </c>
      <c r="DU131" s="62">
        <f t="shared" si="98"/>
        <v>294.28794439094878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439.06700232017681</v>
      </c>
      <c r="EP131" s="62">
        <f t="shared" si="100"/>
        <v>278.21741231699929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0.60319003031094742</v>
      </c>
      <c r="EX131" s="23">
        <f>EXP(-LN(2)/2)*EX130+(1-EXP(-LN(2)/2))/(LN(2)/2)*ER131*EU131*VLOOKUP('Données projet'!$B$15,Paramètres!$A$1:$I$89,3,0)*0.475*44/12</f>
        <v>2.6485080163776433E-14</v>
      </c>
      <c r="EY131" s="24">
        <f t="shared" si="75"/>
        <v>0.60319003031097396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>
        <f>FE131*VLOOKUP('Données projet'!$B$16,Paramètres!$A$1:$I$89,3,0)*VLOOKUP('Données projet'!$B$16,Paramètres!$A$1:$I$89,5,0)</f>
        <v>0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466.4945858005575</v>
      </c>
      <c r="FK131" s="62">
        <f t="shared" si="102"/>
        <v>294.45557293177131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5.3717677131009657E-14</v>
      </c>
      <c r="FT131" s="24">
        <f t="shared" si="78"/>
        <v>5.3717677131009657E-14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>
        <f>FZ131*VLOOKUP('Données projet'!$B$17,Paramètres!$A$1:$I$89,3,0)*VLOOKUP('Données projet'!$B$17,Paramètres!$A$1:$I$89,5,0)</f>
        <v>0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459.64120566196812</v>
      </c>
      <c r="GF131" s="62">
        <f t="shared" si="104"/>
        <v>290.39826583283588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2.8421709430404007E-14</v>
      </c>
      <c r="O132" s="14">
        <f>N132*VLOOKUP('Données projet'!$B$9,Paramètres!$A$1:$I$89,3,0)*VLOOKUP('Données projet'!$B$9,Paramètres!$A$1:$I$89,5,0)</f>
        <v>1.5518253349000589E-14</v>
      </c>
      <c r="P132" s="14">
        <f t="shared" si="87"/>
        <v>2.8958815659671149E-13</v>
      </c>
      <c r="Q132" s="22">
        <f t="shared" si="108"/>
        <v>5.3139366398878183E-13</v>
      </c>
      <c r="R132" s="62">
        <f t="shared" si="109"/>
        <v>293.33333333333383</v>
      </c>
      <c r="S132" s="62">
        <f ca="1">AVERAGE(OFFSET($R$3,0,0,'Données projet'!$E$9+1,1))-AVERAGE(OFFSET($H$3,0,0,'Données projet'!$E$9+1,1))</f>
        <v>170.27677128684815</v>
      </c>
      <c r="T132" s="62">
        <f t="shared" si="88"/>
        <v>243.47439640666289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0.53060177894743255</v>
      </c>
      <c r="AB132" s="23">
        <f>EXP(-LN(2)/2)*AB131+(1-EXP(-LN(2)/2))/(LN(2)/2)*V132*Y132*VLOOKUP('Données projet'!$B$9,Paramètres!$A$1:$I$89,3,0)*0.475*44/12</f>
        <v>9.5629788240528968E-15</v>
      </c>
      <c r="AC132" s="24">
        <f t="shared" ref="AC132:AC153" si="111">SUM(Z132:AB132)</f>
        <v>0.53060177894744209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-9.9316821433603781E-14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327.826081588335</v>
      </c>
      <c r="AO132" s="62">
        <f t="shared" si="90"/>
        <v>348.84706693879735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1.0181074591119084</v>
      </c>
      <c r="AW132" s="23">
        <f>EXP(-LN(2)/2)*AW131+(1-EXP(-LN(2)/2))/(LN(2)/2)*AQ132*AT132*VLOOKUP('Données projet'!$B$10,Paramètres!$A$1:$I$89,3,0)*0.475*44/12</f>
        <v>1.8708938650710174E-14</v>
      </c>
      <c r="AX132" s="23">
        <f t="shared" ref="AX132:AX153" si="114">SUM(AU132:AW132)</f>
        <v>1.018107459111927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-3.4106051316484809E-13</v>
      </c>
      <c r="BE132" s="14">
        <f>BD132*VLOOKUP('Données projet'!$B$11,Paramètres!$A$1:$I$89,3,0)*VLOOKUP('Données projet'!$B$11,Paramètres!$A$1:$I$89,5,0)</f>
        <v>-2.5006556825246659E-13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376.5422416541544</v>
      </c>
      <c r="BJ132" s="62">
        <f t="shared" si="92"/>
        <v>365.76175372075869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3.4796942384243996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3.4796942384243996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405.09126081846171</v>
      </c>
      <c r="CE132" s="62">
        <f t="shared" si="94"/>
        <v>534.22295841722166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1.3866843151979282</v>
      </c>
      <c r="CL132" s="23">
        <f>EXP(-LN(2)/25)*CL131+(1-EXP(-LN(2)/25))/(LN(2)/25)*Calculateur!CG132*Calculateur!CI132*VLOOKUP('Données projet'!$B$12,Paramètres!$A$1:$I$89,3,0)*0.475*44/12</f>
        <v>0.900908270786272</v>
      </c>
      <c r="CM132" s="23">
        <f>EXP(-LN(2)/2)*CM131+(1-EXP(-LN(2)/2))/(LN(2)/2)*CG132*CJ132*VLOOKUP('Données projet'!$B$12,Paramètres!$A$1:$I$89,3,0)*0.475*44/12</f>
        <v>1.9967457213638296E-15</v>
      </c>
      <c r="CN132" s="24">
        <f t="shared" ref="CN132:CN153" si="120">SUM(CK132:CM132)</f>
        <v>2.2875925859842021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244.82163392718377</v>
      </c>
      <c r="CZ132" s="62">
        <f t="shared" si="96"/>
        <v>342.30266518164211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0.83177572496544416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0.83177572496544416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-2.2737367544323206E-13</v>
      </c>
      <c r="DP132" s="18">
        <f>DO132*VLOOKUP('Données projet'!$B$14,Paramètres!$A$1:$I$89,3,0)*VLOOKUP('Données projet'!$B$14,Paramètres!$A$1:$I$89,5,0)</f>
        <v>-1.8089849618263545E-13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298.89893065707554</v>
      </c>
      <c r="DU132" s="62">
        <f t="shared" si="98"/>
        <v>294.28794439094878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439.06700232017681</v>
      </c>
      <c r="EP132" s="62">
        <f t="shared" si="100"/>
        <v>278.21741231699929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0.58669576721170946</v>
      </c>
      <c r="EX132" s="23">
        <f>EXP(-LN(2)/2)*EX131+(1-EXP(-LN(2)/2))/(LN(2)/2)*ER132*EU132*VLOOKUP('Données projet'!$B$15,Paramètres!$A$1:$I$89,3,0)*0.475*44/12</f>
        <v>1.8727779784075633E-14</v>
      </c>
      <c r="EY132" s="24">
        <f t="shared" ref="EY132:EY153" si="129">SUM(EV132:EX132)</f>
        <v>0.58669576721172823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>
        <f>FE132*VLOOKUP('Données projet'!$B$16,Paramètres!$A$1:$I$89,3,0)*VLOOKUP('Données projet'!$B$16,Paramètres!$A$1:$I$89,5,0)</f>
        <v>0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466.4945858005575</v>
      </c>
      <c r="FK132" s="62">
        <f t="shared" si="102"/>
        <v>294.45557293177131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3.7984133768926453E-14</v>
      </c>
      <c r="FT132" s="24">
        <f t="shared" ref="FT132:FT153" si="132">SUM(FQ132:FS132)</f>
        <v>3.7984133768926453E-14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>
        <f>FZ132*VLOOKUP('Données projet'!$B$17,Paramètres!$A$1:$I$89,3,0)*VLOOKUP('Données projet'!$B$17,Paramètres!$A$1:$I$89,5,0)</f>
        <v>0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459.64120566196812</v>
      </c>
      <c r="GF132" s="62">
        <f t="shared" si="104"/>
        <v>290.39826583283588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2.8421709430404007E-14</v>
      </c>
      <c r="O133" s="14">
        <f>N133*VLOOKUP('Données projet'!$B$9,Paramètres!$A$1:$I$89,3,0)*VLOOKUP('Données projet'!$B$9,Paramètres!$A$1:$I$89,5,0)</f>
        <v>1.5518253349000589E-14</v>
      </c>
      <c r="P133" s="14">
        <f t="shared" ref="P133:P196" si="141">EXP(-1.0587+0.8836*LN(O133)+0.284)</f>
        <v>2.8958815659671149E-13</v>
      </c>
      <c r="Q133" s="22">
        <f t="shared" si="108"/>
        <v>5.3139366398878183E-13</v>
      </c>
      <c r="R133" s="62">
        <f t="shared" si="109"/>
        <v>293.33333333333383</v>
      </c>
      <c r="S133" s="62">
        <f ca="1">AVERAGE(OFFSET($R$3,0,0,'Données projet'!$E$9+1,1))-AVERAGE(OFFSET($H$3,0,0,'Données projet'!$E$9+1,1))</f>
        <v>170.27677128684815</v>
      </c>
      <c r="T133" s="62">
        <f t="shared" ref="T133:T196" si="142">$T$3</f>
        <v>243.47439640666289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0.51609244539898014</v>
      </c>
      <c r="AB133" s="23">
        <f>EXP(-LN(2)/2)*AB132+(1-EXP(-LN(2)/2))/(LN(2)/2)*V133*Y133*VLOOKUP('Données projet'!$B$9,Paramètres!$A$1:$I$89,3,0)*0.475*44/12</f>
        <v>6.7620471748311593E-15</v>
      </c>
      <c r="AC133" s="24">
        <f t="shared" si="111"/>
        <v>0.51609244539898691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-9.9316821433603781E-14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327.826081588335</v>
      </c>
      <c r="AO133" s="62">
        <f t="shared" ref="AO133:AO196" si="144">$AO$3</f>
        <v>348.84706693879735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0.99026725710254893</v>
      </c>
      <c r="AW133" s="23">
        <f>EXP(-LN(2)/2)*AW132+(1-EXP(-LN(2)/2))/(LN(2)/2)*AQ133*AT133*VLOOKUP('Données projet'!$B$10,Paramètres!$A$1:$I$89,3,0)*0.475*44/12</f>
        <v>1.3229217388720261E-14</v>
      </c>
      <c r="AX133" s="23">
        <f t="shared" si="114"/>
        <v>0.99026725710256214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-3.4106051316484809E-13</v>
      </c>
      <c r="BE133" s="14">
        <f>BD133*VLOOKUP('Données projet'!$B$11,Paramètres!$A$1:$I$89,3,0)*VLOOKUP('Données projet'!$B$11,Paramètres!$A$1:$I$89,5,0)</f>
        <v>-2.5006556825246659E-13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376.5422416541544</v>
      </c>
      <c r="BJ133" s="62">
        <f t="shared" ref="BJ133:BJ196" si="146">$BJ$3</f>
        <v>365.76175372075869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3.4114595568128125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3.4114595568128125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405.09126081846171</v>
      </c>
      <c r="CE133" s="62">
        <f t="shared" ref="CE133:CE196" si="148">$CE$3</f>
        <v>534.22295841722166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1.3594922815708139</v>
      </c>
      <c r="CL133" s="23">
        <f>EXP(-LN(2)/25)*CL132+(1-EXP(-LN(2)/25))/(LN(2)/25)*Calculateur!CG133*Calculateur!CI133*VLOOKUP('Données projet'!$B$12,Paramètres!$A$1:$I$89,3,0)*0.475*44/12</f>
        <v>0.87627288674491444</v>
      </c>
      <c r="CM133" s="23">
        <f>EXP(-LN(2)/2)*CM132+(1-EXP(-LN(2)/2))/(LN(2)/2)*CG133*CJ133*VLOOKUP('Données projet'!$B$12,Paramètres!$A$1:$I$89,3,0)*0.475*44/12</f>
        <v>1.4119124398815885E-15</v>
      </c>
      <c r="CN133" s="24">
        <f t="shared" si="120"/>
        <v>2.2357651683157296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244.82163392718377</v>
      </c>
      <c r="CZ133" s="62">
        <f t="shared" ref="CZ133:CZ196" si="150">$CZ$3</f>
        <v>342.30266518164211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0.815465110331969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0.815465110331969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-2.2737367544323206E-13</v>
      </c>
      <c r="DP133" s="18">
        <f>DO133*VLOOKUP('Données projet'!$B$14,Paramètres!$A$1:$I$89,3,0)*VLOOKUP('Données projet'!$B$14,Paramètres!$A$1:$I$89,5,0)</f>
        <v>-1.8089849618263545E-13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298.89893065707554</v>
      </c>
      <c r="DU133" s="62">
        <f t="shared" ref="DU133:DU196" si="152">$DU$3</f>
        <v>294.28794439094878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439.06700232017681</v>
      </c>
      <c r="EP133" s="62">
        <f t="shared" ref="EP133:EP196" si="154">$EP$3</f>
        <v>278.21741231699929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0.57065254060431581</v>
      </c>
      <c r="EX133" s="23">
        <f>EXP(-LN(2)/2)*EX132+(1-EXP(-LN(2)/2))/(LN(2)/2)*ER133*EU133*VLOOKUP('Données projet'!$B$15,Paramètres!$A$1:$I$89,3,0)*0.475*44/12</f>
        <v>1.3242540081888217E-14</v>
      </c>
      <c r="EY133" s="24">
        <f t="shared" si="129"/>
        <v>0.57065254060432902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>
        <f>FE133*VLOOKUP('Données projet'!$B$16,Paramètres!$A$1:$I$89,3,0)*VLOOKUP('Données projet'!$B$16,Paramètres!$A$1:$I$89,5,0)</f>
        <v>0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466.4945858005575</v>
      </c>
      <c r="FK133" s="62">
        <f t="shared" ref="FK133:FK196" si="156">$FK$3</f>
        <v>294.45557293177131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2.6858838565504829E-14</v>
      </c>
      <c r="FT133" s="24">
        <f t="shared" si="132"/>
        <v>2.6858838565504829E-14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>
        <f>FZ133*VLOOKUP('Données projet'!$B$17,Paramètres!$A$1:$I$89,3,0)*VLOOKUP('Données projet'!$B$17,Paramètres!$A$1:$I$89,5,0)</f>
        <v>0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459.64120566196812</v>
      </c>
      <c r="GF133" s="62">
        <f t="shared" ref="GF133:GF196" si="158">$GF$3</f>
        <v>290.39826583283588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2.8421709430404007E-14</v>
      </c>
      <c r="O134" s="14">
        <f>N134*VLOOKUP('Données projet'!$B$9,Paramètres!$A$1:$I$89,3,0)*VLOOKUP('Données projet'!$B$9,Paramètres!$A$1:$I$89,5,0)</f>
        <v>1.5518253349000589E-14</v>
      </c>
      <c r="P134" s="14">
        <f t="shared" si="141"/>
        <v>2.8958815659671149E-13</v>
      </c>
      <c r="Q134" s="22">
        <f t="shared" si="108"/>
        <v>5.3139366398878183E-13</v>
      </c>
      <c r="R134" s="62">
        <f t="shared" si="109"/>
        <v>293.33333333333383</v>
      </c>
      <c r="S134" s="62">
        <f ca="1">AVERAGE(OFFSET($R$3,0,0,'Données projet'!$E$9+1,1))-AVERAGE(OFFSET($H$3,0,0,'Données projet'!$E$9+1,1))</f>
        <v>170.27677128684815</v>
      </c>
      <c r="T134" s="62">
        <f t="shared" si="142"/>
        <v>243.47439640666289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0.50197987033942282</v>
      </c>
      <c r="AB134" s="23">
        <f>EXP(-LN(2)/2)*AB133+(1-EXP(-LN(2)/2))/(LN(2)/2)*V134*Y134*VLOOKUP('Données projet'!$B$9,Paramètres!$A$1:$I$89,3,0)*0.475*44/12</f>
        <v>4.7814894120264484E-15</v>
      </c>
      <c r="AC134" s="24">
        <f t="shared" si="111"/>
        <v>0.50197987033942759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-9.9316821433603781E-14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327.826081588335</v>
      </c>
      <c r="AO134" s="62">
        <f t="shared" si="144"/>
        <v>348.84706693879735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0.96318834688118793</v>
      </c>
      <c r="AW134" s="23">
        <f>EXP(-LN(2)/2)*AW133+(1-EXP(-LN(2)/2))/(LN(2)/2)*AQ134*AT134*VLOOKUP('Données projet'!$B$10,Paramètres!$A$1:$I$89,3,0)*0.475*44/12</f>
        <v>9.3544693253550869E-15</v>
      </c>
      <c r="AX134" s="23">
        <f t="shared" si="114"/>
        <v>0.96318834688119725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-3.4106051316484809E-13</v>
      </c>
      <c r="BE134" s="14">
        <f>BD134*VLOOKUP('Données projet'!$B$11,Paramètres!$A$1:$I$89,3,0)*VLOOKUP('Données projet'!$B$11,Paramètres!$A$1:$I$89,5,0)</f>
        <v>-2.5006556825246659E-13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376.5422416541544</v>
      </c>
      <c r="BJ134" s="62">
        <f t="shared" si="146"/>
        <v>365.76175372075869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3.3445629156885825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3.3445629156885825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405.09126081846171</v>
      </c>
      <c r="CE134" s="62">
        <f t="shared" si="148"/>
        <v>534.22295841722166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1.3328334671376245</v>
      </c>
      <c r="CL134" s="23">
        <f>EXP(-LN(2)/25)*CL133+(1-EXP(-LN(2)/25))/(LN(2)/25)*Calculateur!CG134*Calculateur!CI134*VLOOKUP('Données projet'!$B$12,Paramètres!$A$1:$I$89,3,0)*0.475*44/12</f>
        <v>0.8523111585756864</v>
      </c>
      <c r="CM134" s="23">
        <f>EXP(-LN(2)/2)*CM133+(1-EXP(-LN(2)/2))/(LN(2)/2)*CG134*CJ134*VLOOKUP('Données projet'!$B$12,Paramètres!$A$1:$I$89,3,0)*0.475*44/12</f>
        <v>9.983728606819148E-16</v>
      </c>
      <c r="CN134" s="24">
        <f t="shared" si="120"/>
        <v>2.1851446257133116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244.82163392718377</v>
      </c>
      <c r="CZ134" s="62">
        <f t="shared" si="150"/>
        <v>342.30266518164211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0.79947433690296377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0.79947433690296377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-2.2737367544323206E-13</v>
      </c>
      <c r="DP134" s="18">
        <f>DO134*VLOOKUP('Données projet'!$B$14,Paramètres!$A$1:$I$89,3,0)*VLOOKUP('Données projet'!$B$14,Paramètres!$A$1:$I$89,5,0)</f>
        <v>-1.8089849618263545E-13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298.89893065707554</v>
      </c>
      <c r="DU134" s="62">
        <f t="shared" si="152"/>
        <v>294.28794439094878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439.06700232017681</v>
      </c>
      <c r="EP134" s="62">
        <f t="shared" si="154"/>
        <v>278.21741231699929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0.55504801687217797</v>
      </c>
      <c r="EX134" s="23">
        <f>EXP(-LN(2)/2)*EX133+(1-EXP(-LN(2)/2))/(LN(2)/2)*ER134*EU134*VLOOKUP('Données projet'!$B$15,Paramètres!$A$1:$I$89,3,0)*0.475*44/12</f>
        <v>9.3638898920378163E-15</v>
      </c>
      <c r="EY134" s="24">
        <f t="shared" si="129"/>
        <v>0.5550480168721873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>
        <f>FE134*VLOOKUP('Données projet'!$B$16,Paramètres!$A$1:$I$89,3,0)*VLOOKUP('Données projet'!$B$16,Paramètres!$A$1:$I$89,5,0)</f>
        <v>0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466.4945858005575</v>
      </c>
      <c r="FK134" s="62">
        <f t="shared" si="156"/>
        <v>294.45557293177131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1.8992066884463227E-14</v>
      </c>
      <c r="FT134" s="24">
        <f t="shared" si="132"/>
        <v>1.8992066884463227E-14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>
        <f>FZ134*VLOOKUP('Données projet'!$B$17,Paramètres!$A$1:$I$89,3,0)*VLOOKUP('Données projet'!$B$17,Paramètres!$A$1:$I$89,5,0)</f>
        <v>0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459.64120566196812</v>
      </c>
      <c r="GF134" s="62">
        <f t="shared" si="158"/>
        <v>290.39826583283588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2.8421709430404007E-14</v>
      </c>
      <c r="O135" s="14">
        <f>N135*VLOOKUP('Données projet'!$B$9,Paramètres!$A$1:$I$89,3,0)*VLOOKUP('Données projet'!$B$9,Paramètres!$A$1:$I$89,5,0)</f>
        <v>1.5518253349000589E-14</v>
      </c>
      <c r="P135" s="14">
        <f t="shared" si="141"/>
        <v>2.8958815659671149E-13</v>
      </c>
      <c r="Q135" s="22">
        <f t="shared" si="108"/>
        <v>5.3139366398878183E-13</v>
      </c>
      <c r="R135" s="62">
        <f t="shared" si="109"/>
        <v>293.33333333333383</v>
      </c>
      <c r="S135" s="62">
        <f ca="1">AVERAGE(OFFSET($R$3,0,0,'Données projet'!$E$9+1,1))-AVERAGE(OFFSET($H$3,0,0,'Données projet'!$E$9+1,1))</f>
        <v>170.27677128684815</v>
      </c>
      <c r="T135" s="62">
        <f t="shared" si="142"/>
        <v>243.47439640666289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0.48825320438701719</v>
      </c>
      <c r="AB135" s="23">
        <f>EXP(-LN(2)/2)*AB134+(1-EXP(-LN(2)/2))/(LN(2)/2)*V135*Y135*VLOOKUP('Données projet'!$B$9,Paramètres!$A$1:$I$89,3,0)*0.475*44/12</f>
        <v>3.3810235874155797E-15</v>
      </c>
      <c r="AC135" s="24">
        <f t="shared" si="111"/>
        <v>0.48825320438702058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-9.9316821433603781E-14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327.826081588335</v>
      </c>
      <c r="AO135" s="62">
        <f t="shared" si="144"/>
        <v>348.84706693879735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0.93684991088384806</v>
      </c>
      <c r="AW135" s="23">
        <f>EXP(-LN(2)/2)*AW134+(1-EXP(-LN(2)/2))/(LN(2)/2)*AQ135*AT135*VLOOKUP('Données projet'!$B$10,Paramètres!$A$1:$I$89,3,0)*0.475*44/12</f>
        <v>6.6146086943601303E-15</v>
      </c>
      <c r="AX135" s="23">
        <f t="shared" si="114"/>
        <v>0.93684991088385472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-3.4106051316484809E-13</v>
      </c>
      <c r="BE135" s="14">
        <f>BD135*VLOOKUP('Données projet'!$B$11,Paramètres!$A$1:$I$89,3,0)*VLOOKUP('Données projet'!$B$11,Paramètres!$A$1:$I$89,5,0)</f>
        <v>-2.5006556825246659E-13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376.5422416541544</v>
      </c>
      <c r="BJ135" s="62">
        <f t="shared" si="146"/>
        <v>365.76175372075869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3.2789780768938765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3.2789780768938765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405.09126081846171</v>
      </c>
      <c r="CE135" s="62">
        <f t="shared" si="148"/>
        <v>534.22295841722166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1.3066974157951987</v>
      </c>
      <c r="CL135" s="23">
        <f>EXP(-LN(2)/25)*CL134+(1-EXP(-LN(2)/25))/(LN(2)/25)*Calculateur!CG135*Calculateur!CI135*VLOOKUP('Données projet'!$B$12,Paramètres!$A$1:$I$89,3,0)*0.475*44/12</f>
        <v>0.82900466512333837</v>
      </c>
      <c r="CM135" s="23">
        <f>EXP(-LN(2)/2)*CM134+(1-EXP(-LN(2)/2))/(LN(2)/2)*CG135*CJ135*VLOOKUP('Données projet'!$B$12,Paramètres!$A$1:$I$89,3,0)*0.475*44/12</f>
        <v>7.0595621994079424E-16</v>
      </c>
      <c r="CN135" s="24">
        <f t="shared" si="120"/>
        <v>2.1357020809185379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244.82163392718377</v>
      </c>
      <c r="CZ135" s="62">
        <f t="shared" si="150"/>
        <v>342.30266518164211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0.78379713278749252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0.78379713278749252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-2.2737367544323206E-13</v>
      </c>
      <c r="DP135" s="18">
        <f>DO135*VLOOKUP('Données projet'!$B$14,Paramètres!$A$1:$I$89,3,0)*VLOOKUP('Données projet'!$B$14,Paramètres!$A$1:$I$89,5,0)</f>
        <v>-1.8089849618263545E-13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298.89893065707554</v>
      </c>
      <c r="DU135" s="62">
        <f t="shared" si="152"/>
        <v>294.28794439094878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439.06700232017681</v>
      </c>
      <c r="EP135" s="62">
        <f t="shared" si="154"/>
        <v>278.21741231699929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0.53987019966210159</v>
      </c>
      <c r="EX135" s="23">
        <f>EXP(-LN(2)/2)*EX134+(1-EXP(-LN(2)/2))/(LN(2)/2)*ER135*EU135*VLOOKUP('Données projet'!$B$15,Paramètres!$A$1:$I$89,3,0)*0.475*44/12</f>
        <v>6.6212700409441083E-15</v>
      </c>
      <c r="EY135" s="24">
        <f t="shared" si="129"/>
        <v>0.53987019966210825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>
        <f>FE135*VLOOKUP('Données projet'!$B$16,Paramètres!$A$1:$I$89,3,0)*VLOOKUP('Données projet'!$B$16,Paramètres!$A$1:$I$89,5,0)</f>
        <v>0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466.4945858005575</v>
      </c>
      <c r="FK135" s="62">
        <f t="shared" si="156"/>
        <v>294.45557293177131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1.3429419282752414E-14</v>
      </c>
      <c r="FT135" s="24">
        <f t="shared" si="132"/>
        <v>1.3429419282752414E-14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>
        <f>FZ135*VLOOKUP('Données projet'!$B$17,Paramètres!$A$1:$I$89,3,0)*VLOOKUP('Données projet'!$B$17,Paramètres!$A$1:$I$89,5,0)</f>
        <v>0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459.64120566196812</v>
      </c>
      <c r="GF135" s="62">
        <f t="shared" si="158"/>
        <v>290.39826583283588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2.8421709430404007E-14</v>
      </c>
      <c r="O136" s="14">
        <f>N136*VLOOKUP('Données projet'!$B$9,Paramètres!$A$1:$I$89,3,0)*VLOOKUP('Données projet'!$B$9,Paramètres!$A$1:$I$89,5,0)</f>
        <v>1.5518253349000589E-14</v>
      </c>
      <c r="P136" s="14">
        <f t="shared" si="141"/>
        <v>2.8958815659671149E-13</v>
      </c>
      <c r="Q136" s="22">
        <f t="shared" si="108"/>
        <v>5.3139366398878183E-13</v>
      </c>
      <c r="R136" s="62">
        <f t="shared" si="109"/>
        <v>293.33333333333383</v>
      </c>
      <c r="S136" s="62">
        <f ca="1">AVERAGE(OFFSET($R$3,0,0,'Données projet'!$E$9+1,1))-AVERAGE(OFFSET($H$3,0,0,'Données projet'!$E$9+1,1))</f>
        <v>170.27677128684815</v>
      </c>
      <c r="T136" s="62">
        <f t="shared" si="142"/>
        <v>243.47439640666289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0.47490189483693412</v>
      </c>
      <c r="AB136" s="23">
        <f>EXP(-LN(2)/2)*AB135+(1-EXP(-LN(2)/2))/(LN(2)/2)*V136*Y136*VLOOKUP('Données projet'!$B$9,Paramètres!$A$1:$I$89,3,0)*0.475*44/12</f>
        <v>2.3907447060132242E-15</v>
      </c>
      <c r="AC136" s="24">
        <f t="shared" si="111"/>
        <v>0.47490189483693651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-9.9316821433603781E-14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327.826081588335</v>
      </c>
      <c r="AO136" s="62">
        <f t="shared" si="144"/>
        <v>348.84706693879735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0.91123170080393356</v>
      </c>
      <c r="AW136" s="23">
        <f>EXP(-LN(2)/2)*AW135+(1-EXP(-LN(2)/2))/(LN(2)/2)*AQ136*AT136*VLOOKUP('Données projet'!$B$10,Paramètres!$A$1:$I$89,3,0)*0.475*44/12</f>
        <v>4.6772346626775434E-15</v>
      </c>
      <c r="AX136" s="23">
        <f t="shared" si="114"/>
        <v>0.91123170080393823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-3.4106051316484809E-13</v>
      </c>
      <c r="BE136" s="14">
        <f>BD136*VLOOKUP('Données projet'!$B$11,Paramètres!$A$1:$I$89,3,0)*VLOOKUP('Données projet'!$B$11,Paramètres!$A$1:$I$89,5,0)</f>
        <v>-2.5006556825246659E-13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376.5422416541544</v>
      </c>
      <c r="BJ136" s="62">
        <f t="shared" si="146"/>
        <v>365.76175372075869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3.2146793167851331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3.2146793167851331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405.09126081846171</v>
      </c>
      <c r="CE136" s="62">
        <f t="shared" si="148"/>
        <v>534.22295841722166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1.2810738764781806</v>
      </c>
      <c r="CL136" s="23">
        <f>EXP(-LN(2)/25)*CL135+(1-EXP(-LN(2)/25))/(LN(2)/25)*Calculateur!CG136*Calculateur!CI136*VLOOKUP('Données projet'!$B$12,Paramètres!$A$1:$I$89,3,0)*0.475*44/12</f>
        <v>0.80633548896008</v>
      </c>
      <c r="CM136" s="23">
        <f>EXP(-LN(2)/2)*CM135+(1-EXP(-LN(2)/2))/(LN(2)/2)*CG136*CJ136*VLOOKUP('Données projet'!$B$12,Paramètres!$A$1:$I$89,3,0)*0.475*44/12</f>
        <v>4.991864303409574E-16</v>
      </c>
      <c r="CN136" s="24">
        <f t="shared" si="120"/>
        <v>2.0874093654382611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244.82163392718377</v>
      </c>
      <c r="CZ136" s="62">
        <f t="shared" si="150"/>
        <v>342.30266518164211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0.76842734908257537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0.76842734908257537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-2.2737367544323206E-13</v>
      </c>
      <c r="DP136" s="18">
        <f>DO136*VLOOKUP('Données projet'!$B$14,Paramètres!$A$1:$I$89,3,0)*VLOOKUP('Données projet'!$B$14,Paramètres!$A$1:$I$89,5,0)</f>
        <v>-1.8089849618263545E-13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298.89893065707554</v>
      </c>
      <c r="DU136" s="62">
        <f t="shared" si="152"/>
        <v>294.28794439094878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439.06700232017681</v>
      </c>
      <c r="EP136" s="62">
        <f t="shared" si="154"/>
        <v>278.21741231699929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0.52510742066180149</v>
      </c>
      <c r="EX136" s="23">
        <f>EXP(-LN(2)/2)*EX135+(1-EXP(-LN(2)/2))/(LN(2)/2)*ER136*EU136*VLOOKUP('Données projet'!$B$15,Paramètres!$A$1:$I$89,3,0)*0.475*44/12</f>
        <v>4.6819449460189081E-15</v>
      </c>
      <c r="EY136" s="24">
        <f t="shared" si="129"/>
        <v>0.52510742066180616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>
        <f>FE136*VLOOKUP('Données projet'!$B$16,Paramètres!$A$1:$I$89,3,0)*VLOOKUP('Données projet'!$B$16,Paramètres!$A$1:$I$89,5,0)</f>
        <v>0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466.4945858005575</v>
      </c>
      <c r="FK136" s="62">
        <f t="shared" si="156"/>
        <v>294.45557293177131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9.4960334422316133E-15</v>
      </c>
      <c r="FT136" s="24">
        <f t="shared" si="132"/>
        <v>9.4960334422316133E-15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>
        <f>FZ136*VLOOKUP('Données projet'!$B$17,Paramètres!$A$1:$I$89,3,0)*VLOOKUP('Données projet'!$B$17,Paramètres!$A$1:$I$89,5,0)</f>
        <v>0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459.64120566196812</v>
      </c>
      <c r="GF136" s="62">
        <f t="shared" si="158"/>
        <v>290.39826583283588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2.8421709430404007E-14</v>
      </c>
      <c r="O137" s="14">
        <f>N137*VLOOKUP('Données projet'!$B$9,Paramètres!$A$1:$I$89,3,0)*VLOOKUP('Données projet'!$B$9,Paramètres!$A$1:$I$89,5,0)</f>
        <v>1.5518253349000589E-14</v>
      </c>
      <c r="P137" s="14">
        <f t="shared" si="141"/>
        <v>2.8958815659671149E-13</v>
      </c>
      <c r="Q137" s="22">
        <f t="shared" si="108"/>
        <v>5.3139366398878183E-13</v>
      </c>
      <c r="R137" s="62">
        <f t="shared" si="109"/>
        <v>293.33333333333383</v>
      </c>
      <c r="S137" s="62">
        <f ca="1">AVERAGE(OFFSET($R$3,0,0,'Données projet'!$E$9+1,1))-AVERAGE(OFFSET($H$3,0,0,'Données projet'!$E$9+1,1))</f>
        <v>170.27677128684815</v>
      </c>
      <c r="T137" s="62">
        <f t="shared" si="142"/>
        <v>243.47439640666289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0.4619156775486129</v>
      </c>
      <c r="AB137" s="23">
        <f>EXP(-LN(2)/2)*AB136+(1-EXP(-LN(2)/2))/(LN(2)/2)*V137*Y137*VLOOKUP('Données projet'!$B$9,Paramètres!$A$1:$I$89,3,0)*0.475*44/12</f>
        <v>1.6905117937077898E-15</v>
      </c>
      <c r="AC137" s="24">
        <f t="shared" si="111"/>
        <v>0.46191567754861457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-9.9316821433603781E-14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327.826081588335</v>
      </c>
      <c r="AO137" s="62">
        <f t="shared" si="144"/>
        <v>348.84706693879735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0.88631402202585752</v>
      </c>
      <c r="AW137" s="23">
        <f>EXP(-LN(2)/2)*AW136+(1-EXP(-LN(2)/2))/(LN(2)/2)*AQ137*AT137*VLOOKUP('Données projet'!$B$10,Paramètres!$A$1:$I$89,3,0)*0.475*44/12</f>
        <v>3.3073043471800652E-15</v>
      </c>
      <c r="AX137" s="23">
        <f t="shared" si="114"/>
        <v>0.88631402202586085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-3.4106051316484809E-13</v>
      </c>
      <c r="BE137" s="14">
        <f>BD137*VLOOKUP('Données projet'!$B$11,Paramètres!$A$1:$I$89,3,0)*VLOOKUP('Données projet'!$B$11,Paramètres!$A$1:$I$89,5,0)</f>
        <v>-2.5006556825246659E-13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376.5422416541544</v>
      </c>
      <c r="BJ137" s="62">
        <f t="shared" si="146"/>
        <v>365.76175372075869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3.1516414161437507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3.1516414161437507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405.09126081846171</v>
      </c>
      <c r="CE137" s="62">
        <f t="shared" si="148"/>
        <v>534.22295841722166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1.2559527991383534</v>
      </c>
      <c r="CL137" s="23">
        <f>EXP(-LN(2)/25)*CL136+(1-EXP(-LN(2)/25))/(LN(2)/25)*Calculateur!CG137*Calculateur!CI137*VLOOKUP('Données projet'!$B$12,Paramètres!$A$1:$I$89,3,0)*0.475*44/12</f>
        <v>0.78428620261112614</v>
      </c>
      <c r="CM137" s="23">
        <f>EXP(-LN(2)/2)*CM136+(1-EXP(-LN(2)/2))/(LN(2)/2)*CG137*CJ137*VLOOKUP('Données projet'!$B$12,Paramètres!$A$1:$I$89,3,0)*0.475*44/12</f>
        <v>3.5297810997039712E-16</v>
      </c>
      <c r="CN137" s="24">
        <f t="shared" si="120"/>
        <v>2.0402390017494798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244.82163392718377</v>
      </c>
      <c r="CZ137" s="62">
        <f t="shared" si="150"/>
        <v>342.30266518164211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0.7533589574614693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0.7533589574614693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-2.2737367544323206E-13</v>
      </c>
      <c r="DP137" s="18">
        <f>DO137*VLOOKUP('Données projet'!$B$14,Paramètres!$A$1:$I$89,3,0)*VLOOKUP('Données projet'!$B$14,Paramètres!$A$1:$I$89,5,0)</f>
        <v>-1.8089849618263545E-13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298.89893065707554</v>
      </c>
      <c r="DU137" s="62">
        <f t="shared" si="152"/>
        <v>294.28794439094878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439.06700232017681</v>
      </c>
      <c r="EP137" s="62">
        <f t="shared" si="154"/>
        <v>278.21741231699929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0.51074833062960545</v>
      </c>
      <c r="EX137" s="23">
        <f>EXP(-LN(2)/2)*EX136+(1-EXP(-LN(2)/2))/(LN(2)/2)*ER137*EU137*VLOOKUP('Données projet'!$B$15,Paramètres!$A$1:$I$89,3,0)*0.475*44/12</f>
        <v>3.3106350204720542E-15</v>
      </c>
      <c r="EY137" s="24">
        <f t="shared" si="129"/>
        <v>0.51074833062960878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>
        <f>FE137*VLOOKUP('Données projet'!$B$16,Paramètres!$A$1:$I$89,3,0)*VLOOKUP('Données projet'!$B$16,Paramètres!$A$1:$I$89,5,0)</f>
        <v>0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466.4945858005575</v>
      </c>
      <c r="FK137" s="62">
        <f t="shared" si="156"/>
        <v>294.45557293177131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6.7147096413762072E-15</v>
      </c>
      <c r="FT137" s="24">
        <f t="shared" si="132"/>
        <v>6.7147096413762072E-15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>
        <f>FZ137*VLOOKUP('Données projet'!$B$17,Paramètres!$A$1:$I$89,3,0)*VLOOKUP('Données projet'!$B$17,Paramètres!$A$1:$I$89,5,0)</f>
        <v>0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459.64120566196812</v>
      </c>
      <c r="GF137" s="62">
        <f t="shared" si="158"/>
        <v>290.39826583283588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2.8421709430404007E-14</v>
      </c>
      <c r="O138" s="14">
        <f>N138*VLOOKUP('Données projet'!$B$9,Paramètres!$A$1:$I$89,3,0)*VLOOKUP('Données projet'!$B$9,Paramètres!$A$1:$I$89,5,0)</f>
        <v>1.5518253349000589E-14</v>
      </c>
      <c r="P138" s="14">
        <f t="shared" si="141"/>
        <v>2.8958815659671149E-13</v>
      </c>
      <c r="Q138" s="22">
        <f t="shared" si="108"/>
        <v>5.3139366398878183E-13</v>
      </c>
      <c r="R138" s="62">
        <f t="shared" si="109"/>
        <v>293.33333333333383</v>
      </c>
      <c r="S138" s="62">
        <f ca="1">AVERAGE(OFFSET($R$3,0,0,'Données projet'!$E$9+1,1))-AVERAGE(OFFSET($H$3,0,0,'Données projet'!$E$9+1,1))</f>
        <v>170.27677128684815</v>
      </c>
      <c r="T138" s="62">
        <f t="shared" si="142"/>
        <v>243.47439640666289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0.44928456905495634</v>
      </c>
      <c r="AB138" s="23">
        <f>EXP(-LN(2)/2)*AB137+(1-EXP(-LN(2)/2))/(LN(2)/2)*V138*Y138*VLOOKUP('Données projet'!$B$9,Paramètres!$A$1:$I$89,3,0)*0.475*44/12</f>
        <v>1.1953723530066121E-15</v>
      </c>
      <c r="AC138" s="24">
        <f t="shared" si="111"/>
        <v>0.44928456905495756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-9.9316821433603781E-14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327.826081588335</v>
      </c>
      <c r="AO138" s="62">
        <f t="shared" si="144"/>
        <v>348.84706693879735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0.86207771848433168</v>
      </c>
      <c r="AW138" s="23">
        <f>EXP(-LN(2)/2)*AW137+(1-EXP(-LN(2)/2))/(LN(2)/2)*AQ138*AT138*VLOOKUP('Données projet'!$B$10,Paramètres!$A$1:$I$89,3,0)*0.475*44/12</f>
        <v>2.3386173313387717E-15</v>
      </c>
      <c r="AX138" s="23">
        <f t="shared" si="114"/>
        <v>0.86207771848433401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-3.4106051316484809E-13</v>
      </c>
      <c r="BE138" s="14">
        <f>BD138*VLOOKUP('Données projet'!$B$11,Paramètres!$A$1:$I$89,3,0)*VLOOKUP('Données projet'!$B$11,Paramètres!$A$1:$I$89,5,0)</f>
        <v>-2.5006556825246659E-13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376.5422416541544</v>
      </c>
      <c r="BJ138" s="62">
        <f t="shared" si="146"/>
        <v>365.76175372075869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3.089839650284623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3.089839650284623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405.09126081846171</v>
      </c>
      <c r="CE138" s="62">
        <f t="shared" si="148"/>
        <v>534.22295841722166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1.2313243308028161</v>
      </c>
      <c r="CL138" s="23">
        <f>EXP(-LN(2)/25)*CL137+(1-EXP(-LN(2)/25))/(LN(2)/25)*Calculateur!CG138*Calculateur!CI138*VLOOKUP('Données projet'!$B$12,Paramètres!$A$1:$I$89,3,0)*0.475*44/12</f>
        <v>0.762839855156906</v>
      </c>
      <c r="CM138" s="23">
        <f>EXP(-LN(2)/2)*CM137+(1-EXP(-LN(2)/2))/(LN(2)/2)*CG138*CJ138*VLOOKUP('Données projet'!$B$12,Paramètres!$A$1:$I$89,3,0)*0.475*44/12</f>
        <v>2.495932151704787E-16</v>
      </c>
      <c r="CN138" s="24">
        <f t="shared" si="120"/>
        <v>1.9941641859597223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244.82163392718377</v>
      </c>
      <c r="CZ138" s="62">
        <f t="shared" si="150"/>
        <v>342.30266518164211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0.73858604780924175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0.73858604780924175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-2.2737367544323206E-13</v>
      </c>
      <c r="DP138" s="18">
        <f>DO138*VLOOKUP('Données projet'!$B$14,Paramètres!$A$1:$I$89,3,0)*VLOOKUP('Données projet'!$B$14,Paramètres!$A$1:$I$89,5,0)</f>
        <v>-1.8089849618263545E-13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298.89893065707554</v>
      </c>
      <c r="DU138" s="62">
        <f t="shared" si="152"/>
        <v>294.28794439094878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439.06700232017681</v>
      </c>
      <c r="EP138" s="62">
        <f t="shared" si="154"/>
        <v>278.21741231699929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0.4967818906694515</v>
      </c>
      <c r="EX138" s="23">
        <f>EXP(-LN(2)/2)*EX137+(1-EXP(-LN(2)/2))/(LN(2)/2)*ER138*EU138*VLOOKUP('Données projet'!$B$15,Paramètres!$A$1:$I$89,3,0)*0.475*44/12</f>
        <v>2.3409724730094541E-15</v>
      </c>
      <c r="EY138" s="24">
        <f t="shared" si="129"/>
        <v>0.49678189066945383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>
        <f>FE138*VLOOKUP('Données projet'!$B$16,Paramètres!$A$1:$I$89,3,0)*VLOOKUP('Données projet'!$B$16,Paramètres!$A$1:$I$89,5,0)</f>
        <v>0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466.4945858005575</v>
      </c>
      <c r="FK138" s="62">
        <f t="shared" si="156"/>
        <v>294.45557293177131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4.7480167211158067E-15</v>
      </c>
      <c r="FT138" s="24">
        <f t="shared" si="132"/>
        <v>4.7480167211158067E-15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>
        <f>FZ138*VLOOKUP('Données projet'!$B$17,Paramètres!$A$1:$I$89,3,0)*VLOOKUP('Données projet'!$B$17,Paramètres!$A$1:$I$89,5,0)</f>
        <v>0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459.64120566196812</v>
      </c>
      <c r="GF138" s="62">
        <f t="shared" si="158"/>
        <v>290.39826583283588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2.8421709430404007E-14</v>
      </c>
      <c r="O139" s="14">
        <f>N139*VLOOKUP('Données projet'!$B$9,Paramètres!$A$1:$I$89,3,0)*VLOOKUP('Données projet'!$B$9,Paramètres!$A$1:$I$89,5,0)</f>
        <v>1.5518253349000589E-14</v>
      </c>
      <c r="P139" s="14">
        <f t="shared" si="141"/>
        <v>2.8958815659671149E-13</v>
      </c>
      <c r="Q139" s="22">
        <f t="shared" si="108"/>
        <v>5.3139366398878183E-13</v>
      </c>
      <c r="R139" s="62">
        <f t="shared" si="109"/>
        <v>293.33333333333383</v>
      </c>
      <c r="S139" s="62">
        <f ca="1">AVERAGE(OFFSET($R$3,0,0,'Données projet'!$E$9+1,1))-AVERAGE(OFFSET($H$3,0,0,'Données projet'!$E$9+1,1))</f>
        <v>170.27677128684815</v>
      </c>
      <c r="T139" s="62">
        <f t="shared" si="142"/>
        <v>243.47439640666289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0.43699885888729995</v>
      </c>
      <c r="AB139" s="23">
        <f>EXP(-LN(2)/2)*AB138+(1-EXP(-LN(2)/2))/(LN(2)/2)*V139*Y139*VLOOKUP('Données projet'!$B$9,Paramètres!$A$1:$I$89,3,0)*0.475*44/12</f>
        <v>8.4525589685389492E-16</v>
      </c>
      <c r="AC139" s="24">
        <f t="shared" si="111"/>
        <v>0.43699885888730078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-9.9316821433603781E-14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327.826081588335</v>
      </c>
      <c r="AO139" s="62">
        <f t="shared" si="144"/>
        <v>348.84706693879735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0.83850415793768074</v>
      </c>
      <c r="AW139" s="23">
        <f>EXP(-LN(2)/2)*AW138+(1-EXP(-LN(2)/2))/(LN(2)/2)*AQ139*AT139*VLOOKUP('Données projet'!$B$10,Paramètres!$A$1:$I$89,3,0)*0.475*44/12</f>
        <v>1.6536521735900326E-15</v>
      </c>
      <c r="AX139" s="23">
        <f t="shared" si="114"/>
        <v>0.8385041579376824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-3.4106051316484809E-13</v>
      </c>
      <c r="BE139" s="14">
        <f>BD139*VLOOKUP('Données projet'!$B$11,Paramètres!$A$1:$I$89,3,0)*VLOOKUP('Données projet'!$B$11,Paramètres!$A$1:$I$89,5,0)</f>
        <v>-2.5006556825246659E-13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376.5422416541544</v>
      </c>
      <c r="BJ139" s="62">
        <f t="shared" si="146"/>
        <v>365.76175372075869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3.0292497793586377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3.0292497793586377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405.09126081846171</v>
      </c>
      <c r="CE139" s="62">
        <f t="shared" si="148"/>
        <v>534.22295841722166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1.2071788117094562</v>
      </c>
      <c r="CL139" s="23">
        <f>EXP(-LN(2)/25)*CL138+(1-EXP(-LN(2)/25))/(LN(2)/25)*Calculateur!CG139*Calculateur!CI139*VLOOKUP('Données projet'!$B$12,Paramètres!$A$1:$I$89,3,0)*0.475*44/12</f>
        <v>0.74197995920163595</v>
      </c>
      <c r="CM139" s="23">
        <f>EXP(-LN(2)/2)*CM138+(1-EXP(-LN(2)/2))/(LN(2)/2)*CG139*CJ139*VLOOKUP('Données projet'!$B$12,Paramètres!$A$1:$I$89,3,0)*0.475*44/12</f>
        <v>1.7648905498519856E-16</v>
      </c>
      <c r="CN139" s="24">
        <f t="shared" si="120"/>
        <v>1.9491587709110922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244.82163392718377</v>
      </c>
      <c r="CZ139" s="62">
        <f t="shared" si="150"/>
        <v>342.30266518164211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0.7241028259047092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0.7241028259047092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-2.2737367544323206E-13</v>
      </c>
      <c r="DP139" s="18">
        <f>DO139*VLOOKUP('Données projet'!$B$14,Paramètres!$A$1:$I$89,3,0)*VLOOKUP('Données projet'!$B$14,Paramètres!$A$1:$I$89,5,0)</f>
        <v>-1.8089849618263545E-13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298.89893065707554</v>
      </c>
      <c r="DU139" s="62">
        <f t="shared" si="152"/>
        <v>294.28794439094878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439.06700232017681</v>
      </c>
      <c r="EP139" s="62">
        <f t="shared" si="154"/>
        <v>278.21741231699929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0.48319736374447114</v>
      </c>
      <c r="EX139" s="23">
        <f>EXP(-LN(2)/2)*EX138+(1-EXP(-LN(2)/2))/(LN(2)/2)*ER139*EU139*VLOOKUP('Données projet'!$B$15,Paramètres!$A$1:$I$89,3,0)*0.475*44/12</f>
        <v>1.6553175102360271E-15</v>
      </c>
      <c r="EY139" s="24">
        <f t="shared" si="129"/>
        <v>0.48319736374447281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>
        <f>FE139*VLOOKUP('Données projet'!$B$16,Paramètres!$A$1:$I$89,3,0)*VLOOKUP('Données projet'!$B$16,Paramètres!$A$1:$I$89,5,0)</f>
        <v>0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466.4945858005575</v>
      </c>
      <c r="FK139" s="62">
        <f t="shared" si="156"/>
        <v>294.45557293177131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3.3573548206881036E-15</v>
      </c>
      <c r="FT139" s="24">
        <f t="shared" si="132"/>
        <v>3.3573548206881036E-15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>
        <f>FZ139*VLOOKUP('Données projet'!$B$17,Paramètres!$A$1:$I$89,3,0)*VLOOKUP('Données projet'!$B$17,Paramètres!$A$1:$I$89,5,0)</f>
        <v>0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459.64120566196812</v>
      </c>
      <c r="GF139" s="62">
        <f t="shared" si="158"/>
        <v>290.39826583283588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2.8421709430404007E-14</v>
      </c>
      <c r="O140" s="14">
        <f>N140*VLOOKUP('Données projet'!$B$9,Paramètres!$A$1:$I$89,3,0)*VLOOKUP('Données projet'!$B$9,Paramètres!$A$1:$I$89,5,0)</f>
        <v>1.5518253349000589E-14</v>
      </c>
      <c r="P140" s="14">
        <f t="shared" si="141"/>
        <v>2.8958815659671149E-13</v>
      </c>
      <c r="Q140" s="22">
        <f t="shared" si="108"/>
        <v>5.3139366398878183E-13</v>
      </c>
      <c r="R140" s="62">
        <f t="shared" si="109"/>
        <v>293.33333333333383</v>
      </c>
      <c r="S140" s="62">
        <f ca="1">AVERAGE(OFFSET($R$3,0,0,'Données projet'!$E$9+1,1))-AVERAGE(OFFSET($H$3,0,0,'Données projet'!$E$9+1,1))</f>
        <v>170.27677128684815</v>
      </c>
      <c r="T140" s="62">
        <f t="shared" si="142"/>
        <v>243.47439640666289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0.42504910211025554</v>
      </c>
      <c r="AB140" s="23">
        <f>EXP(-LN(2)/2)*AB139+(1-EXP(-LN(2)/2))/(LN(2)/2)*V140*Y140*VLOOKUP('Données projet'!$B$9,Paramètres!$A$1:$I$89,3,0)*0.475*44/12</f>
        <v>5.9768617650330605E-16</v>
      </c>
      <c r="AC140" s="24">
        <f t="shared" si="111"/>
        <v>0.42504910211025615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-9.9316821433603781E-14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327.826081588335</v>
      </c>
      <c r="AO140" s="62">
        <f t="shared" si="144"/>
        <v>348.84706693879735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0.81557521764385765</v>
      </c>
      <c r="AW140" s="23">
        <f>EXP(-LN(2)/2)*AW139+(1-EXP(-LN(2)/2))/(LN(2)/2)*AQ140*AT140*VLOOKUP('Données projet'!$B$10,Paramètres!$A$1:$I$89,3,0)*0.475*44/12</f>
        <v>1.1693086656693859E-15</v>
      </c>
      <c r="AX140" s="23">
        <f t="shared" si="114"/>
        <v>0.81557521764385887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-3.4106051316484809E-13</v>
      </c>
      <c r="BE140" s="14">
        <f>BD140*VLOOKUP('Données projet'!$B$11,Paramètres!$A$1:$I$89,3,0)*VLOOKUP('Données projet'!$B$11,Paramètres!$A$1:$I$89,5,0)</f>
        <v>-2.5006556825246659E-13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376.5422416541544</v>
      </c>
      <c r="BJ140" s="62">
        <f t="shared" si="146"/>
        <v>365.76175372075869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2.9698480388453388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2.9698480388453388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405.09126081846171</v>
      </c>
      <c r="CE140" s="62">
        <f t="shared" si="148"/>
        <v>534.22295841722166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1.1835067715182046</v>
      </c>
      <c r="CL140" s="23">
        <f>EXP(-LN(2)/25)*CL139+(1-EXP(-LN(2)/25))/(LN(2)/25)*Calculateur!CG140*Calculateur!CI140*VLOOKUP('Données projet'!$B$12,Paramètres!$A$1:$I$89,3,0)*0.475*44/12</f>
        <v>0.72169047819823695</v>
      </c>
      <c r="CM140" s="23">
        <f>EXP(-LN(2)/2)*CM139+(1-EXP(-LN(2)/2))/(LN(2)/2)*CG140*CJ140*VLOOKUP('Données projet'!$B$12,Paramètres!$A$1:$I$89,3,0)*0.475*44/12</f>
        <v>1.2479660758523935E-16</v>
      </c>
      <c r="CN140" s="24">
        <f t="shared" si="120"/>
        <v>1.9051972497164418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244.82163392718377</v>
      </c>
      <c r="CZ140" s="62">
        <f t="shared" si="150"/>
        <v>342.30266518164211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0.7099036111478314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0.7099036111478314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-2.2737367544323206E-13</v>
      </c>
      <c r="DP140" s="18">
        <f>DO140*VLOOKUP('Données projet'!$B$14,Paramètres!$A$1:$I$89,3,0)*VLOOKUP('Données projet'!$B$14,Paramètres!$A$1:$I$89,5,0)</f>
        <v>-1.8089849618263545E-13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298.89893065707554</v>
      </c>
      <c r="DU140" s="62">
        <f t="shared" si="152"/>
        <v>294.28794439094878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439.06700232017681</v>
      </c>
      <c r="EP140" s="62">
        <f t="shared" si="154"/>
        <v>278.21741231699929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0.46998430642263356</v>
      </c>
      <c r="EX140" s="23">
        <f>EXP(-LN(2)/2)*EX139+(1-EXP(-LN(2)/2))/(LN(2)/2)*ER140*EU140*VLOOKUP('Données projet'!$B$15,Paramètres!$A$1:$I$89,3,0)*0.475*44/12</f>
        <v>1.170486236504727E-15</v>
      </c>
      <c r="EY140" s="24">
        <f t="shared" si="129"/>
        <v>0.46998430642263472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>
        <f>FE140*VLOOKUP('Données projet'!$B$16,Paramètres!$A$1:$I$89,3,0)*VLOOKUP('Données projet'!$B$16,Paramètres!$A$1:$I$89,5,0)</f>
        <v>0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466.4945858005575</v>
      </c>
      <c r="FK140" s="62">
        <f t="shared" si="156"/>
        <v>294.45557293177131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2.3740083605579033E-15</v>
      </c>
      <c r="FT140" s="24">
        <f t="shared" si="132"/>
        <v>2.3740083605579033E-15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>
        <f>FZ140*VLOOKUP('Données projet'!$B$17,Paramètres!$A$1:$I$89,3,0)*VLOOKUP('Données projet'!$B$17,Paramètres!$A$1:$I$89,5,0)</f>
        <v>0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459.64120566196812</v>
      </c>
      <c r="GF140" s="62">
        <f t="shared" si="158"/>
        <v>290.39826583283588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2.8421709430404007E-14</v>
      </c>
      <c r="O141" s="14">
        <f>N141*VLOOKUP('Données projet'!$B$9,Paramètres!$A$1:$I$89,3,0)*VLOOKUP('Données projet'!$B$9,Paramètres!$A$1:$I$89,5,0)</f>
        <v>1.5518253349000589E-14</v>
      </c>
      <c r="P141" s="14">
        <f t="shared" si="141"/>
        <v>2.8958815659671149E-13</v>
      </c>
      <c r="Q141" s="22">
        <f t="shared" si="108"/>
        <v>5.3139366398878183E-13</v>
      </c>
      <c r="R141" s="62">
        <f t="shared" si="109"/>
        <v>293.33333333333383</v>
      </c>
      <c r="S141" s="62">
        <f ca="1">AVERAGE(OFFSET($R$3,0,0,'Données projet'!$E$9+1,1))-AVERAGE(OFFSET($H$3,0,0,'Données projet'!$E$9+1,1))</f>
        <v>170.27677128684815</v>
      </c>
      <c r="T141" s="62">
        <f t="shared" si="142"/>
        <v>243.47439640666289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0.4134261120606898</v>
      </c>
      <c r="AB141" s="23">
        <f>EXP(-LN(2)/2)*AB140+(1-EXP(-LN(2)/2))/(LN(2)/2)*V141*Y141*VLOOKUP('Données projet'!$B$9,Paramètres!$A$1:$I$89,3,0)*0.475*44/12</f>
        <v>4.2262794842694746E-16</v>
      </c>
      <c r="AC141" s="24">
        <f t="shared" si="111"/>
        <v>0.41342611206069024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-9.9316821433603781E-14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327.826081588335</v>
      </c>
      <c r="AO141" s="62">
        <f t="shared" si="144"/>
        <v>348.84706693879735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0.79327327042814966</v>
      </c>
      <c r="AW141" s="23">
        <f>EXP(-LN(2)/2)*AW140+(1-EXP(-LN(2)/2))/(LN(2)/2)*AQ141*AT141*VLOOKUP('Données projet'!$B$10,Paramètres!$A$1:$I$89,3,0)*0.475*44/12</f>
        <v>8.2682608679501629E-16</v>
      </c>
      <c r="AX141" s="23">
        <f t="shared" si="114"/>
        <v>0.79327327042815043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-3.4106051316484809E-13</v>
      </c>
      <c r="BE141" s="14">
        <f>BD141*VLOOKUP('Données projet'!$B$11,Paramètres!$A$1:$I$89,3,0)*VLOOKUP('Données projet'!$B$11,Paramètres!$A$1:$I$89,5,0)</f>
        <v>-2.5006556825246659E-13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376.5422416541544</v>
      </c>
      <c r="BJ141" s="62">
        <f t="shared" si="146"/>
        <v>365.76175372075869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2.9116111302320218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2.9116111302320218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405.09126081846171</v>
      </c>
      <c r="CE141" s="62">
        <f t="shared" si="148"/>
        <v>534.22295841722166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1.1602989255965848</v>
      </c>
      <c r="CL141" s="23">
        <f>EXP(-LN(2)/25)*CL140+(1-EXP(-LN(2)/25))/(LN(2)/25)*Calculateur!CG141*Calculateur!CI141*VLOOKUP('Données projet'!$B$12,Paramètres!$A$1:$I$89,3,0)*0.475*44/12</f>
        <v>0.70195581411985331</v>
      </c>
      <c r="CM141" s="23">
        <f>EXP(-LN(2)/2)*CM140+(1-EXP(-LN(2)/2))/(LN(2)/2)*CG141*CJ141*VLOOKUP('Données projet'!$B$12,Paramètres!$A$1:$I$89,3,0)*0.475*44/12</f>
        <v>8.824452749259928E-17</v>
      </c>
      <c r="CN141" s="24">
        <f t="shared" si="120"/>
        <v>1.862254739716438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244.82163392718377</v>
      </c>
      <c r="CZ141" s="62">
        <f t="shared" si="150"/>
        <v>342.30266518164211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0.69598283433167019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0.69598283433167019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-2.2737367544323206E-13</v>
      </c>
      <c r="DP141" s="18">
        <f>DO141*VLOOKUP('Données projet'!$B$14,Paramètres!$A$1:$I$89,3,0)*VLOOKUP('Données projet'!$B$14,Paramètres!$A$1:$I$89,5,0)</f>
        <v>-1.8089849618263545E-13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298.89893065707554</v>
      </c>
      <c r="DU141" s="62">
        <f t="shared" si="152"/>
        <v>294.28794439094878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439.06700232017681</v>
      </c>
      <c r="EP141" s="62">
        <f t="shared" si="154"/>
        <v>278.21741231699929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0.45713256084810611</v>
      </c>
      <c r="EX141" s="23">
        <f>EXP(-LN(2)/2)*EX140+(1-EXP(-LN(2)/2))/(LN(2)/2)*ER141*EU141*VLOOKUP('Données projet'!$B$15,Paramètres!$A$1:$I$89,3,0)*0.475*44/12</f>
        <v>8.2765875511801354E-16</v>
      </c>
      <c r="EY141" s="24">
        <f t="shared" si="129"/>
        <v>0.45713256084810694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>
        <f>FE141*VLOOKUP('Données projet'!$B$16,Paramètres!$A$1:$I$89,3,0)*VLOOKUP('Données projet'!$B$16,Paramètres!$A$1:$I$89,5,0)</f>
        <v>0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466.4945858005575</v>
      </c>
      <c r="FK141" s="62">
        <f t="shared" si="156"/>
        <v>294.45557293177131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1.6786774103440518E-15</v>
      </c>
      <c r="FT141" s="24">
        <f t="shared" si="132"/>
        <v>1.6786774103440518E-15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>
        <f>FZ141*VLOOKUP('Données projet'!$B$17,Paramètres!$A$1:$I$89,3,0)*VLOOKUP('Données projet'!$B$17,Paramètres!$A$1:$I$89,5,0)</f>
        <v>0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459.64120566196812</v>
      </c>
      <c r="GF141" s="62">
        <f t="shared" si="158"/>
        <v>290.39826583283588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2.8421709430404007E-14</v>
      </c>
      <c r="O142" s="14">
        <f>N142*VLOOKUP('Données projet'!$B$9,Paramètres!$A$1:$I$89,3,0)*VLOOKUP('Données projet'!$B$9,Paramètres!$A$1:$I$89,5,0)</f>
        <v>1.5518253349000589E-14</v>
      </c>
      <c r="P142" s="14">
        <f t="shared" si="141"/>
        <v>2.8958815659671149E-13</v>
      </c>
      <c r="Q142" s="22">
        <f t="shared" si="108"/>
        <v>5.3139366398878183E-13</v>
      </c>
      <c r="R142" s="62">
        <f t="shared" si="109"/>
        <v>293.33333333333383</v>
      </c>
      <c r="S142" s="62">
        <f ca="1">AVERAGE(OFFSET($R$3,0,0,'Données projet'!$E$9+1,1))-AVERAGE(OFFSET($H$3,0,0,'Données projet'!$E$9+1,1))</f>
        <v>170.27677128684815</v>
      </c>
      <c r="T142" s="62">
        <f t="shared" si="142"/>
        <v>243.47439640666289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0.40212095328525588</v>
      </c>
      <c r="AB142" s="23">
        <f>EXP(-LN(2)/2)*AB141+(1-EXP(-LN(2)/2))/(LN(2)/2)*V142*Y142*VLOOKUP('Données projet'!$B$9,Paramètres!$A$1:$I$89,3,0)*0.475*44/12</f>
        <v>2.9884308825165303E-16</v>
      </c>
      <c r="AC142" s="24">
        <f t="shared" si="111"/>
        <v>0.40212095328525616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-9.9316821433603781E-14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327.826081588335</v>
      </c>
      <c r="AO142" s="62">
        <f t="shared" si="144"/>
        <v>348.84706693879735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0.77158117113186364</v>
      </c>
      <c r="AW142" s="23">
        <f>EXP(-LN(2)/2)*AW141+(1-EXP(-LN(2)/2))/(LN(2)/2)*AQ142*AT142*VLOOKUP('Données projet'!$B$10,Paramètres!$A$1:$I$89,3,0)*0.475*44/12</f>
        <v>5.8465433283469293E-16</v>
      </c>
      <c r="AX142" s="23">
        <f t="shared" si="114"/>
        <v>0.7715811711318642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-3.4106051316484809E-13</v>
      </c>
      <c r="BE142" s="14">
        <f>BD142*VLOOKUP('Données projet'!$B$11,Paramètres!$A$1:$I$89,3,0)*VLOOKUP('Données projet'!$B$11,Paramètres!$A$1:$I$89,5,0)</f>
        <v>-2.5006556825246659E-13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376.5422416541544</v>
      </c>
      <c r="BJ142" s="62">
        <f t="shared" si="146"/>
        <v>365.76175372075869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2.8545162118756049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2.8545162118756049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405.09126081846171</v>
      </c>
      <c r="CE142" s="62">
        <f t="shared" si="148"/>
        <v>534.22295841722166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1.1375461713780997</v>
      </c>
      <c r="CL142" s="23">
        <f>EXP(-LN(2)/25)*CL141+(1-EXP(-LN(2)/25))/(LN(2)/25)*Calculateur!CG142*Calculateur!CI142*VLOOKUP('Données projet'!$B$12,Paramètres!$A$1:$I$89,3,0)*0.475*44/12</f>
        <v>0.682760795468494</v>
      </c>
      <c r="CM142" s="23">
        <f>EXP(-LN(2)/2)*CM141+(1-EXP(-LN(2)/2))/(LN(2)/2)*CG142*CJ142*VLOOKUP('Données projet'!$B$12,Paramètres!$A$1:$I$89,3,0)*0.475*44/12</f>
        <v>6.2398303792619675E-17</v>
      </c>
      <c r="CN142" s="24">
        <f t="shared" si="120"/>
        <v>1.8203069668465937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244.82163392718377</v>
      </c>
      <c r="CZ142" s="62">
        <f t="shared" si="150"/>
        <v>342.30266518164211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0.68233503545803842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0.68233503545803842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-2.2737367544323206E-13</v>
      </c>
      <c r="DP142" s="18">
        <f>DO142*VLOOKUP('Données projet'!$B$14,Paramètres!$A$1:$I$89,3,0)*VLOOKUP('Données projet'!$B$14,Paramètres!$A$1:$I$89,5,0)</f>
        <v>-1.8089849618263545E-13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298.89893065707554</v>
      </c>
      <c r="DU142" s="62">
        <f t="shared" si="152"/>
        <v>294.28794439094878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439.06700232017681</v>
      </c>
      <c r="EP142" s="62">
        <f t="shared" si="154"/>
        <v>278.21741231699929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0.44463224693215808</v>
      </c>
      <c r="EX142" s="23">
        <f>EXP(-LN(2)/2)*EX141+(1-EXP(-LN(2)/2))/(LN(2)/2)*ER142*EU142*VLOOKUP('Données projet'!$B$15,Paramètres!$A$1:$I$89,3,0)*0.475*44/12</f>
        <v>5.8524311825236352E-16</v>
      </c>
      <c r="EY142" s="24">
        <f t="shared" si="129"/>
        <v>0.44463224693215869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>
        <f>FE142*VLOOKUP('Données projet'!$B$16,Paramètres!$A$1:$I$89,3,0)*VLOOKUP('Données projet'!$B$16,Paramètres!$A$1:$I$89,5,0)</f>
        <v>0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466.4945858005575</v>
      </c>
      <c r="FK142" s="62">
        <f t="shared" si="156"/>
        <v>294.45557293177131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1.1870041802789517E-15</v>
      </c>
      <c r="FT142" s="24">
        <f t="shared" si="132"/>
        <v>1.1870041802789517E-15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>
        <f>FZ142*VLOOKUP('Données projet'!$B$17,Paramètres!$A$1:$I$89,3,0)*VLOOKUP('Données projet'!$B$17,Paramètres!$A$1:$I$89,5,0)</f>
        <v>0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459.64120566196812</v>
      </c>
      <c r="GF142" s="62">
        <f t="shared" si="158"/>
        <v>290.39826583283588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2.8421709430404007E-14</v>
      </c>
      <c r="O143" s="14">
        <f>N143*VLOOKUP('Données projet'!$B$9,Paramètres!$A$1:$I$89,3,0)*VLOOKUP('Données projet'!$B$9,Paramètres!$A$1:$I$89,5,0)</f>
        <v>1.5518253349000589E-14</v>
      </c>
      <c r="P143" s="14">
        <f t="shared" si="141"/>
        <v>2.8958815659671149E-13</v>
      </c>
      <c r="Q143" s="22">
        <f t="shared" si="108"/>
        <v>5.3139366398878183E-13</v>
      </c>
      <c r="R143" s="62">
        <f t="shared" si="109"/>
        <v>293.33333333333383</v>
      </c>
      <c r="S143" s="62">
        <f ca="1">AVERAGE(OFFSET($R$3,0,0,'Données projet'!$E$9+1,1))-AVERAGE(OFFSET($H$3,0,0,'Données projet'!$E$9+1,1))</f>
        <v>170.27677128684815</v>
      </c>
      <c r="T143" s="62">
        <f t="shared" si="142"/>
        <v>243.47439640666289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0.3911249346710487</v>
      </c>
      <c r="AB143" s="23">
        <f>EXP(-LN(2)/2)*AB142+(1-EXP(-LN(2)/2))/(LN(2)/2)*V143*Y143*VLOOKUP('Données projet'!$B$9,Paramètres!$A$1:$I$89,3,0)*0.475*44/12</f>
        <v>2.1131397421347373E-16</v>
      </c>
      <c r="AC143" s="24">
        <f t="shared" si="111"/>
        <v>0.39112493467104892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-9.9316821433603781E-14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327.826081588335</v>
      </c>
      <c r="AO143" s="62">
        <f t="shared" si="144"/>
        <v>348.84706693879735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0.75048224343157255</v>
      </c>
      <c r="AW143" s="23">
        <f>EXP(-LN(2)/2)*AW142+(1-EXP(-LN(2)/2))/(LN(2)/2)*AQ143*AT143*VLOOKUP('Données projet'!$B$10,Paramètres!$A$1:$I$89,3,0)*0.475*44/12</f>
        <v>4.1341304339750815E-16</v>
      </c>
      <c r="AX143" s="23">
        <f t="shared" si="114"/>
        <v>0.75048224343157299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-3.4106051316484809E-13</v>
      </c>
      <c r="BE143" s="14">
        <f>BD143*VLOOKUP('Données projet'!$B$11,Paramètres!$A$1:$I$89,3,0)*VLOOKUP('Données projet'!$B$11,Paramètres!$A$1:$I$89,5,0)</f>
        <v>-2.5006556825246659E-13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376.5422416541544</v>
      </c>
      <c r="BJ143" s="62">
        <f t="shared" si="146"/>
        <v>365.76175372075869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2.7985408900436957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2.7985408900436957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405.09126081846171</v>
      </c>
      <c r="CE143" s="62">
        <f t="shared" si="148"/>
        <v>534.22295841722166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1.1152395847920291</v>
      </c>
      <c r="CL143" s="23">
        <f>EXP(-LN(2)/25)*CL142+(1-EXP(-LN(2)/25))/(LN(2)/25)*Calculateur!CG143*Calculateur!CI143*VLOOKUP('Données projet'!$B$12,Paramètres!$A$1:$I$89,3,0)*0.475*44/12</f>
        <v>0.66409066561157826</v>
      </c>
      <c r="CM143" s="23">
        <f>EXP(-LN(2)/2)*CM142+(1-EXP(-LN(2)/2))/(LN(2)/2)*CG143*CJ143*VLOOKUP('Données projet'!$B$12,Paramètres!$A$1:$I$89,3,0)*0.475*44/12</f>
        <v>4.412226374629964E-17</v>
      </c>
      <c r="CN143" s="24">
        <f t="shared" si="120"/>
        <v>1.7793302504036075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244.82163392718377</v>
      </c>
      <c r="CZ143" s="62">
        <f t="shared" si="150"/>
        <v>342.30266518164211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0.66895486159598327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0.66895486159598327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-2.2737367544323206E-13</v>
      </c>
      <c r="DP143" s="18">
        <f>DO143*VLOOKUP('Données projet'!$B$14,Paramètres!$A$1:$I$89,3,0)*VLOOKUP('Données projet'!$B$14,Paramètres!$A$1:$I$89,5,0)</f>
        <v>-1.8089849618263545E-13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298.89893065707554</v>
      </c>
      <c r="DU143" s="62">
        <f t="shared" si="152"/>
        <v>294.28794439094878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439.06700232017681</v>
      </c>
      <c r="EP143" s="62">
        <f t="shared" si="154"/>
        <v>278.21741231699929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0.43247375475760458</v>
      </c>
      <c r="EX143" s="23">
        <f>EXP(-LN(2)/2)*EX142+(1-EXP(-LN(2)/2))/(LN(2)/2)*ER143*EU143*VLOOKUP('Données projet'!$B$15,Paramètres!$A$1:$I$89,3,0)*0.475*44/12</f>
        <v>4.1382937755900677E-16</v>
      </c>
      <c r="EY143" s="24">
        <f t="shared" si="129"/>
        <v>0.43247375475760497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>
        <f>FE143*VLOOKUP('Données projet'!$B$16,Paramètres!$A$1:$I$89,3,0)*VLOOKUP('Données projet'!$B$16,Paramètres!$A$1:$I$89,5,0)</f>
        <v>0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466.4945858005575</v>
      </c>
      <c r="FK143" s="62">
        <f t="shared" si="156"/>
        <v>294.45557293177131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8.393387051720259E-16</v>
      </c>
      <c r="FT143" s="24">
        <f t="shared" si="132"/>
        <v>8.393387051720259E-16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>
        <f>FZ143*VLOOKUP('Données projet'!$B$17,Paramètres!$A$1:$I$89,3,0)*VLOOKUP('Données projet'!$B$17,Paramètres!$A$1:$I$89,5,0)</f>
        <v>0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459.64120566196812</v>
      </c>
      <c r="GF143" s="62">
        <f t="shared" si="158"/>
        <v>290.39826583283588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2.8421709430404007E-14</v>
      </c>
      <c r="O144" s="14">
        <f>N144*VLOOKUP('Données projet'!$B$9,Paramètres!$A$1:$I$89,3,0)*VLOOKUP('Données projet'!$B$9,Paramètres!$A$1:$I$89,5,0)</f>
        <v>1.5518253349000589E-14</v>
      </c>
      <c r="P144" s="14">
        <f t="shared" si="141"/>
        <v>2.8958815659671149E-13</v>
      </c>
      <c r="Q144" s="22">
        <f t="shared" si="108"/>
        <v>5.3139366398878183E-13</v>
      </c>
      <c r="R144" s="62">
        <f t="shared" si="109"/>
        <v>293.33333333333383</v>
      </c>
      <c r="S144" s="62">
        <f ca="1">AVERAGE(OFFSET($R$3,0,0,'Données projet'!$E$9+1,1))-AVERAGE(OFFSET($H$3,0,0,'Données projet'!$E$9+1,1))</f>
        <v>170.27677128684815</v>
      </c>
      <c r="T144" s="62">
        <f t="shared" si="142"/>
        <v>243.47439640666289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0.38042960276410248</v>
      </c>
      <c r="AB144" s="23">
        <f>EXP(-LN(2)/2)*AB143+(1-EXP(-LN(2)/2))/(LN(2)/2)*V144*Y144*VLOOKUP('Données projet'!$B$9,Paramètres!$A$1:$I$89,3,0)*0.475*44/12</f>
        <v>1.4942154412582651E-16</v>
      </c>
      <c r="AC144" s="24">
        <f t="shared" si="111"/>
        <v>0.38042960276410265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-9.9316821433603781E-14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327.826081588335</v>
      </c>
      <c r="AO144" s="62">
        <f t="shared" si="144"/>
        <v>348.84706693879735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0.72996026701879024</v>
      </c>
      <c r="AW144" s="23">
        <f>EXP(-LN(2)/2)*AW143+(1-EXP(-LN(2)/2))/(LN(2)/2)*AQ144*AT144*VLOOKUP('Données projet'!$B$10,Paramètres!$A$1:$I$89,3,0)*0.475*44/12</f>
        <v>2.9232716641734646E-16</v>
      </c>
      <c r="AX144" s="23">
        <f t="shared" si="114"/>
        <v>0.72996026701879058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-3.4106051316484809E-13</v>
      </c>
      <c r="BE144" s="14">
        <f>BD144*VLOOKUP('Données projet'!$B$11,Paramètres!$A$1:$I$89,3,0)*VLOOKUP('Données projet'!$B$11,Paramètres!$A$1:$I$89,5,0)</f>
        <v>-2.5006556825246659E-13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376.5422416541544</v>
      </c>
      <c r="BJ144" s="62">
        <f t="shared" si="146"/>
        <v>365.76175372075869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2.7436632101313352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2.7436632101313352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405.09126081846171</v>
      </c>
      <c r="CE144" s="62">
        <f t="shared" si="148"/>
        <v>534.22295841722166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1.0933704167632372</v>
      </c>
      <c r="CL144" s="23">
        <f>EXP(-LN(2)/25)*CL143+(1-EXP(-LN(2)/25))/(LN(2)/25)*Calculateur!CG144*Calculateur!CI144*VLOOKUP('Données projet'!$B$12,Paramètres!$A$1:$I$89,3,0)*0.475*44/12</f>
        <v>0.64593107143741935</v>
      </c>
      <c r="CM144" s="23">
        <f>EXP(-LN(2)/2)*CM143+(1-EXP(-LN(2)/2))/(LN(2)/2)*CG144*CJ144*VLOOKUP('Données projet'!$B$12,Paramètres!$A$1:$I$89,3,0)*0.475*44/12</f>
        <v>3.1199151896309838E-17</v>
      </c>
      <c r="CN144" s="24">
        <f t="shared" si="120"/>
        <v>1.7393014882006566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244.82163392718377</v>
      </c>
      <c r="CZ144" s="62">
        <f t="shared" si="150"/>
        <v>342.30266518164211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0.65583706478226278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0.65583706478226278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-2.2737367544323206E-13</v>
      </c>
      <c r="DP144" s="18">
        <f>DO144*VLOOKUP('Données projet'!$B$14,Paramètres!$A$1:$I$89,3,0)*VLOOKUP('Données projet'!$B$14,Paramètres!$A$1:$I$89,5,0)</f>
        <v>-1.8089849618263545E-13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298.89893065707554</v>
      </c>
      <c r="DU144" s="62">
        <f t="shared" si="152"/>
        <v>294.28794439094878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439.06700232017681</v>
      </c>
      <c r="EP144" s="62">
        <f t="shared" si="154"/>
        <v>278.21741231699929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0.42064773719095155</v>
      </c>
      <c r="EX144" s="23">
        <f>EXP(-LN(2)/2)*EX143+(1-EXP(-LN(2)/2))/(LN(2)/2)*ER144*EU144*VLOOKUP('Données projet'!$B$15,Paramètres!$A$1:$I$89,3,0)*0.475*44/12</f>
        <v>2.9262155912618176E-16</v>
      </c>
      <c r="EY144" s="24">
        <f t="shared" si="129"/>
        <v>0.42064773719095183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>
        <f>FE144*VLOOKUP('Données projet'!$B$16,Paramètres!$A$1:$I$89,3,0)*VLOOKUP('Données projet'!$B$16,Paramètres!$A$1:$I$89,5,0)</f>
        <v>0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466.4945858005575</v>
      </c>
      <c r="FK144" s="62">
        <f t="shared" si="156"/>
        <v>294.45557293177131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5.9350209013947583E-16</v>
      </c>
      <c r="FT144" s="24">
        <f t="shared" si="132"/>
        <v>5.9350209013947583E-16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>
        <f>FZ144*VLOOKUP('Données projet'!$B$17,Paramètres!$A$1:$I$89,3,0)*VLOOKUP('Données projet'!$B$17,Paramètres!$A$1:$I$89,5,0)</f>
        <v>0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459.64120566196812</v>
      </c>
      <c r="GF144" s="62">
        <f t="shared" si="158"/>
        <v>290.39826583283588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2.8421709430404007E-14</v>
      </c>
      <c r="O145" s="14">
        <f>N145*VLOOKUP('Données projet'!$B$9,Paramètres!$A$1:$I$89,3,0)*VLOOKUP('Données projet'!$B$9,Paramètres!$A$1:$I$89,5,0)</f>
        <v>1.5518253349000589E-14</v>
      </c>
      <c r="P145" s="14">
        <f t="shared" si="141"/>
        <v>2.8958815659671149E-13</v>
      </c>
      <c r="Q145" s="22">
        <f t="shared" si="108"/>
        <v>5.3139366398878183E-13</v>
      </c>
      <c r="R145" s="62">
        <f t="shared" si="109"/>
        <v>293.33333333333383</v>
      </c>
      <c r="S145" s="62">
        <f ca="1">AVERAGE(OFFSET($R$3,0,0,'Données projet'!$E$9+1,1))-AVERAGE(OFFSET($H$3,0,0,'Données projet'!$E$9+1,1))</f>
        <v>170.27677128684815</v>
      </c>
      <c r="T145" s="62">
        <f t="shared" si="142"/>
        <v>243.47439640666289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0.37002673527059476</v>
      </c>
      <c r="AB145" s="23">
        <f>EXP(-LN(2)/2)*AB144+(1-EXP(-LN(2)/2))/(LN(2)/2)*V145*Y145*VLOOKUP('Données projet'!$B$9,Paramètres!$A$1:$I$89,3,0)*0.475*44/12</f>
        <v>1.0565698710673686E-16</v>
      </c>
      <c r="AC145" s="24">
        <f t="shared" si="111"/>
        <v>0.37002673527059488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-9.9316821433603781E-14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327.826081588335</v>
      </c>
      <c r="AO145" s="62">
        <f t="shared" si="144"/>
        <v>348.84706693879735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0.70999946513021928</v>
      </c>
      <c r="AW145" s="23">
        <f>EXP(-LN(2)/2)*AW144+(1-EXP(-LN(2)/2))/(LN(2)/2)*AQ145*AT145*VLOOKUP('Données projet'!$B$10,Paramètres!$A$1:$I$89,3,0)*0.475*44/12</f>
        <v>2.0670652169875407E-16</v>
      </c>
      <c r="AX145" s="23">
        <f t="shared" si="114"/>
        <v>0.7099994651302195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-3.4106051316484809E-13</v>
      </c>
      <c r="BE145" s="14">
        <f>BD145*VLOOKUP('Données projet'!$B$11,Paramètres!$A$1:$I$89,3,0)*VLOOKUP('Données projet'!$B$11,Paramètres!$A$1:$I$89,5,0)</f>
        <v>-2.5006556825246659E-13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376.5422416541544</v>
      </c>
      <c r="BJ145" s="62">
        <f t="shared" si="146"/>
        <v>365.76175372075869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2.6898616480499764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2.6898616480499764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405.09126081846171</v>
      </c>
      <c r="CE145" s="62">
        <f t="shared" si="148"/>
        <v>534.22295841722166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1.0719300897806143</v>
      </c>
      <c r="CL145" s="23">
        <f>EXP(-LN(2)/25)*CL144+(1-EXP(-LN(2)/25))/(LN(2)/25)*Calculateur!CG145*Calculateur!CI145*VLOOKUP('Données projet'!$B$12,Paramètres!$A$1:$I$89,3,0)*0.475*44/12</f>
        <v>0.62826805232092431</v>
      </c>
      <c r="CM145" s="23">
        <f>EXP(-LN(2)/2)*CM144+(1-EXP(-LN(2)/2))/(LN(2)/2)*CG145*CJ145*VLOOKUP('Données projet'!$B$12,Paramètres!$A$1:$I$89,3,0)*0.475*44/12</f>
        <v>2.206113187314982E-17</v>
      </c>
      <c r="CN145" s="24">
        <f t="shared" si="120"/>
        <v>1.7001981421015386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244.82163392718377</v>
      </c>
      <c r="CZ145" s="62">
        <f t="shared" si="150"/>
        <v>342.30266518164211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0.64297649996299333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0.64297649996299333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-2.2737367544323206E-13</v>
      </c>
      <c r="DP145" s="18">
        <f>DO145*VLOOKUP('Données projet'!$B$14,Paramètres!$A$1:$I$89,3,0)*VLOOKUP('Données projet'!$B$14,Paramètres!$A$1:$I$89,5,0)</f>
        <v>-1.8089849618263545E-13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298.89893065707554</v>
      </c>
      <c r="DU145" s="62">
        <f t="shared" si="152"/>
        <v>294.28794439094878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439.06700232017681</v>
      </c>
      <c r="EP145" s="62">
        <f t="shared" si="154"/>
        <v>278.21741231699929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0.4091451026965619</v>
      </c>
      <c r="EX145" s="23">
        <f>EXP(-LN(2)/2)*EX144+(1-EXP(-LN(2)/2))/(LN(2)/2)*ER145*EU145*VLOOKUP('Données projet'!$B$15,Paramètres!$A$1:$I$89,3,0)*0.475*44/12</f>
        <v>2.0691468877950339E-16</v>
      </c>
      <c r="EY145" s="24">
        <f t="shared" si="129"/>
        <v>0.40914510269656212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>
        <f>FE145*VLOOKUP('Données projet'!$B$16,Paramètres!$A$1:$I$89,3,0)*VLOOKUP('Données projet'!$B$16,Paramètres!$A$1:$I$89,5,0)</f>
        <v>0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466.4945858005575</v>
      </c>
      <c r="FK145" s="62">
        <f t="shared" si="156"/>
        <v>294.45557293177131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4.1966935258601295E-16</v>
      </c>
      <c r="FT145" s="24">
        <f t="shared" si="132"/>
        <v>4.1966935258601295E-16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>
        <f>FZ145*VLOOKUP('Données projet'!$B$17,Paramètres!$A$1:$I$89,3,0)*VLOOKUP('Données projet'!$B$17,Paramètres!$A$1:$I$89,5,0)</f>
        <v>0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459.64120566196812</v>
      </c>
      <c r="GF145" s="62">
        <f t="shared" si="158"/>
        <v>290.39826583283588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2.8421709430404007E-14</v>
      </c>
      <c r="O146" s="14">
        <f>N146*VLOOKUP('Données projet'!$B$9,Paramètres!$A$1:$I$89,3,0)*VLOOKUP('Données projet'!$B$9,Paramètres!$A$1:$I$89,5,0)</f>
        <v>1.5518253349000589E-14</v>
      </c>
      <c r="P146" s="14">
        <f t="shared" si="141"/>
        <v>2.8958815659671149E-13</v>
      </c>
      <c r="Q146" s="22">
        <f t="shared" si="108"/>
        <v>5.3139366398878183E-13</v>
      </c>
      <c r="R146" s="62">
        <f t="shared" si="109"/>
        <v>293.33333333333383</v>
      </c>
      <c r="S146" s="62">
        <f ca="1">AVERAGE(OFFSET($R$3,0,0,'Données projet'!$E$9+1,1))-AVERAGE(OFFSET($H$3,0,0,'Données projet'!$E$9+1,1))</f>
        <v>170.27677128684815</v>
      </c>
      <c r="T146" s="62">
        <f t="shared" si="142"/>
        <v>243.47439640666289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0.35990833473576006</v>
      </c>
      <c r="AB146" s="23">
        <f>EXP(-LN(2)/2)*AB145+(1-EXP(-LN(2)/2))/(LN(2)/2)*V146*Y146*VLOOKUP('Données projet'!$B$9,Paramètres!$A$1:$I$89,3,0)*0.475*44/12</f>
        <v>7.4710772062913256E-17</v>
      </c>
      <c r="AC146" s="24">
        <f t="shared" si="111"/>
        <v>0.35990833473576012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-9.9316821433603781E-14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327.826081588335</v>
      </c>
      <c r="AO146" s="62">
        <f t="shared" si="144"/>
        <v>348.84706693879735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0.69058449241898423</v>
      </c>
      <c r="AW146" s="23">
        <f>EXP(-LN(2)/2)*AW145+(1-EXP(-LN(2)/2))/(LN(2)/2)*AQ146*AT146*VLOOKUP('Données projet'!$B$10,Paramètres!$A$1:$I$89,3,0)*0.475*44/12</f>
        <v>1.4616358320867323E-16</v>
      </c>
      <c r="AX146" s="23">
        <f t="shared" si="114"/>
        <v>0.69058449241898434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-3.4106051316484809E-13</v>
      </c>
      <c r="BE146" s="14">
        <f>BD146*VLOOKUP('Données projet'!$B$11,Paramètres!$A$1:$I$89,3,0)*VLOOKUP('Données projet'!$B$11,Paramètres!$A$1:$I$89,5,0)</f>
        <v>-2.5006556825246659E-13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376.5422416541544</v>
      </c>
      <c r="BJ146" s="62">
        <f t="shared" si="146"/>
        <v>365.76175372075869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2.6371151017853207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2.6371151017853207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405.09126081846171</v>
      </c>
      <c r="CE146" s="62">
        <f t="shared" si="148"/>
        <v>534.22295841722166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1.0509101945328125</v>
      </c>
      <c r="CL146" s="23">
        <f>EXP(-LN(2)/25)*CL145+(1-EXP(-LN(2)/25))/(LN(2)/25)*Calculateur!CG146*Calculateur!CI146*VLOOKUP('Données projet'!$B$12,Paramètres!$A$1:$I$89,3,0)*0.475*44/12</f>
        <v>0.61108802939102769</v>
      </c>
      <c r="CM146" s="23">
        <f>EXP(-LN(2)/2)*CM145+(1-EXP(-LN(2)/2))/(LN(2)/2)*CG146*CJ146*VLOOKUP('Données projet'!$B$12,Paramètres!$A$1:$I$89,3,0)*0.475*44/12</f>
        <v>1.5599575948154919E-17</v>
      </c>
      <c r="CN146" s="24">
        <f t="shared" si="120"/>
        <v>1.6619982239238402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244.82163392718377</v>
      </c>
      <c r="CZ146" s="62">
        <f t="shared" si="150"/>
        <v>342.30266518164211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0.63036812297565981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0.63036812297565981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-2.2737367544323206E-13</v>
      </c>
      <c r="DP146" s="18">
        <f>DO146*VLOOKUP('Données projet'!$B$14,Paramètres!$A$1:$I$89,3,0)*VLOOKUP('Données projet'!$B$14,Paramètres!$A$1:$I$89,5,0)</f>
        <v>-1.8089849618263545E-13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298.89893065707554</v>
      </c>
      <c r="DU146" s="62">
        <f t="shared" si="152"/>
        <v>294.28794439094878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439.06700232017681</v>
      </c>
      <c r="EP146" s="62">
        <f t="shared" si="154"/>
        <v>278.21741231699929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0.39795700834731856</v>
      </c>
      <c r="EX146" s="23">
        <f>EXP(-LN(2)/2)*EX145+(1-EXP(-LN(2)/2))/(LN(2)/2)*ER146*EU146*VLOOKUP('Données projet'!$B$15,Paramètres!$A$1:$I$89,3,0)*0.475*44/12</f>
        <v>1.4631077956309088E-16</v>
      </c>
      <c r="EY146" s="24">
        <f t="shared" si="129"/>
        <v>0.39795700834731873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>
        <f>FE146*VLOOKUP('Données projet'!$B$16,Paramètres!$A$1:$I$89,3,0)*VLOOKUP('Données projet'!$B$16,Paramètres!$A$1:$I$89,5,0)</f>
        <v>0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466.4945858005575</v>
      </c>
      <c r="FK146" s="62">
        <f t="shared" si="156"/>
        <v>294.45557293177131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2.9675104506973792E-16</v>
      </c>
      <c r="FT146" s="24">
        <f t="shared" si="132"/>
        <v>2.9675104506973792E-16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>
        <f>FZ146*VLOOKUP('Données projet'!$B$17,Paramètres!$A$1:$I$89,3,0)*VLOOKUP('Données projet'!$B$17,Paramètres!$A$1:$I$89,5,0)</f>
        <v>0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459.64120566196812</v>
      </c>
      <c r="GF146" s="62">
        <f t="shared" si="158"/>
        <v>290.39826583283588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2.8421709430404007E-14</v>
      </c>
      <c r="O147" s="14">
        <f>N147*VLOOKUP('Données projet'!$B$9,Paramètres!$A$1:$I$89,3,0)*VLOOKUP('Données projet'!$B$9,Paramètres!$A$1:$I$89,5,0)</f>
        <v>1.5518253349000589E-14</v>
      </c>
      <c r="P147" s="14">
        <f t="shared" si="141"/>
        <v>2.8958815659671149E-13</v>
      </c>
      <c r="Q147" s="22">
        <f t="shared" si="108"/>
        <v>5.3139366398878183E-13</v>
      </c>
      <c r="R147" s="62">
        <f t="shared" si="109"/>
        <v>293.33333333333383</v>
      </c>
      <c r="S147" s="62">
        <f ca="1">AVERAGE(OFFSET($R$3,0,0,'Données projet'!$E$9+1,1))-AVERAGE(OFFSET($H$3,0,0,'Données projet'!$E$9+1,1))</f>
        <v>170.27677128684815</v>
      </c>
      <c r="T147" s="62">
        <f t="shared" si="142"/>
        <v>243.47439640666289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0.35006662239565395</v>
      </c>
      <c r="AB147" s="23">
        <f>EXP(-LN(2)/2)*AB146+(1-EXP(-LN(2)/2))/(LN(2)/2)*V147*Y147*VLOOKUP('Données projet'!$B$9,Paramètres!$A$1:$I$89,3,0)*0.475*44/12</f>
        <v>5.2828493553368432E-17</v>
      </c>
      <c r="AC147" s="24">
        <f t="shared" si="111"/>
        <v>0.350066622395654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-9.9316821433603781E-14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327.826081588335</v>
      </c>
      <c r="AO147" s="62">
        <f t="shared" si="144"/>
        <v>348.84706693879735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0.67170042315752698</v>
      </c>
      <c r="AW147" s="23">
        <f>EXP(-LN(2)/2)*AW146+(1-EXP(-LN(2)/2))/(LN(2)/2)*AQ147*AT147*VLOOKUP('Données projet'!$B$10,Paramètres!$A$1:$I$89,3,0)*0.475*44/12</f>
        <v>1.0335326084937704E-16</v>
      </c>
      <c r="AX147" s="23">
        <f t="shared" si="114"/>
        <v>0.67170042315752709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-3.4106051316484809E-13</v>
      </c>
      <c r="BE147" s="14">
        <f>BD147*VLOOKUP('Données projet'!$B$11,Paramètres!$A$1:$I$89,3,0)*VLOOKUP('Données projet'!$B$11,Paramètres!$A$1:$I$89,5,0)</f>
        <v>-2.5006556825246659E-13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376.5422416541544</v>
      </c>
      <c r="BJ147" s="62">
        <f t="shared" si="146"/>
        <v>365.76175372075869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2.5854028831206981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2.5854028831206981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405.09126081846171</v>
      </c>
      <c r="CE147" s="62">
        <f t="shared" si="148"/>
        <v>534.22295841722166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1.0303024866099499</v>
      </c>
      <c r="CL147" s="23">
        <f>EXP(-LN(2)/25)*CL146+(1-EXP(-LN(2)/25))/(LN(2)/25)*Calculateur!CG147*Calculateur!CI147*VLOOKUP('Données projet'!$B$12,Paramètres!$A$1:$I$89,3,0)*0.475*44/12</f>
        <v>0.59437779509160726</v>
      </c>
      <c r="CM147" s="23">
        <f>EXP(-LN(2)/2)*CM146+(1-EXP(-LN(2)/2))/(LN(2)/2)*CG147*CJ147*VLOOKUP('Données projet'!$B$12,Paramètres!$A$1:$I$89,3,0)*0.475*44/12</f>
        <v>1.103056593657491E-17</v>
      </c>
      <c r="CN147" s="24">
        <f t="shared" si="120"/>
        <v>1.6246802817015573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244.82163392718377</v>
      </c>
      <c r="CZ147" s="62">
        <f t="shared" si="150"/>
        <v>342.30266518164211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0.61800698857069725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0.61800698857069725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-2.2737367544323206E-13</v>
      </c>
      <c r="DP147" s="18">
        <f>DO147*VLOOKUP('Données projet'!$B$14,Paramètres!$A$1:$I$89,3,0)*VLOOKUP('Données projet'!$B$14,Paramètres!$A$1:$I$89,5,0)</f>
        <v>-1.8089849618263545E-13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298.89893065707554</v>
      </c>
      <c r="DU147" s="62">
        <f t="shared" si="152"/>
        <v>294.28794439094878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439.06700232017681</v>
      </c>
      <c r="EP147" s="62">
        <f t="shared" si="154"/>
        <v>278.21741231699929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0.38707485302641159</v>
      </c>
      <c r="EX147" s="23">
        <f>EXP(-LN(2)/2)*EX146+(1-EXP(-LN(2)/2))/(LN(2)/2)*ER147*EU147*VLOOKUP('Données projet'!$B$15,Paramètres!$A$1:$I$89,3,0)*0.475*44/12</f>
        <v>1.0345734438975169E-16</v>
      </c>
      <c r="EY147" s="24">
        <f t="shared" si="129"/>
        <v>0.3870748530264117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>
        <f>FE147*VLOOKUP('Données projet'!$B$16,Paramètres!$A$1:$I$89,3,0)*VLOOKUP('Données projet'!$B$16,Paramètres!$A$1:$I$89,5,0)</f>
        <v>0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466.4945858005575</v>
      </c>
      <c r="FK147" s="62">
        <f t="shared" si="156"/>
        <v>294.45557293177131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2.0983467629300647E-16</v>
      </c>
      <c r="FT147" s="24">
        <f t="shared" si="132"/>
        <v>2.0983467629300647E-16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>
        <f>FZ147*VLOOKUP('Données projet'!$B$17,Paramètres!$A$1:$I$89,3,0)*VLOOKUP('Données projet'!$B$17,Paramètres!$A$1:$I$89,5,0)</f>
        <v>0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459.64120566196812</v>
      </c>
      <c r="GF147" s="62">
        <f t="shared" si="158"/>
        <v>290.39826583283588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2.8421709430404007E-14</v>
      </c>
      <c r="O148" s="14">
        <f>N148*VLOOKUP('Données projet'!$B$9,Paramètres!$A$1:$I$89,3,0)*VLOOKUP('Données projet'!$B$9,Paramètres!$A$1:$I$89,5,0)</f>
        <v>1.5518253349000589E-14</v>
      </c>
      <c r="P148" s="14">
        <f t="shared" si="141"/>
        <v>2.8958815659671149E-13</v>
      </c>
      <c r="Q148" s="22">
        <f t="shared" si="108"/>
        <v>5.3139366398878183E-13</v>
      </c>
      <c r="R148" s="62">
        <f t="shared" si="109"/>
        <v>293.33333333333383</v>
      </c>
      <c r="S148" s="62">
        <f ca="1">AVERAGE(OFFSET($R$3,0,0,'Données projet'!$E$9+1,1))-AVERAGE(OFFSET($H$3,0,0,'Données projet'!$E$9+1,1))</f>
        <v>170.27677128684815</v>
      </c>
      <c r="T148" s="62">
        <f t="shared" si="142"/>
        <v>243.47439640666289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0.34049403219704122</v>
      </c>
      <c r="AB148" s="23">
        <f>EXP(-LN(2)/2)*AB147+(1-EXP(-LN(2)/2))/(LN(2)/2)*V148*Y148*VLOOKUP('Données projet'!$B$9,Paramètres!$A$1:$I$89,3,0)*0.475*44/12</f>
        <v>3.7355386031456628E-17</v>
      </c>
      <c r="AC148" s="24">
        <f t="shared" si="111"/>
        <v>0.34049403219704127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-9.9316821433603781E-14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327.826081588335</v>
      </c>
      <c r="AO148" s="62">
        <f t="shared" si="144"/>
        <v>348.84706693879735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0.65333273976309436</v>
      </c>
      <c r="AW148" s="23">
        <f>EXP(-LN(2)/2)*AW147+(1-EXP(-LN(2)/2))/(LN(2)/2)*AQ148*AT148*VLOOKUP('Données projet'!$B$10,Paramètres!$A$1:$I$89,3,0)*0.475*44/12</f>
        <v>7.3081791604336616E-17</v>
      </c>
      <c r="AX148" s="23">
        <f t="shared" si="114"/>
        <v>0.65333273976309447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-3.4106051316484809E-13</v>
      </c>
      <c r="BE148" s="14">
        <f>BD148*VLOOKUP('Données projet'!$B$11,Paramètres!$A$1:$I$89,3,0)*VLOOKUP('Données projet'!$B$11,Paramètres!$A$1:$I$89,5,0)</f>
        <v>-2.5006556825246659E-13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376.5422416541544</v>
      </c>
      <c r="BJ148" s="62">
        <f t="shared" si="146"/>
        <v>365.76175372075869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2.53470470952275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2.53470470952275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405.09126081846171</v>
      </c>
      <c r="CE148" s="62">
        <f t="shared" si="148"/>
        <v>534.22295841722166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1.0100988832699942</v>
      </c>
      <c r="CL148" s="23">
        <f>EXP(-LN(2)/25)*CL147+(1-EXP(-LN(2)/25))/(LN(2)/25)*Calculateur!CG148*Calculateur!CI148*VLOOKUP('Données projet'!$B$12,Paramètres!$A$1:$I$89,3,0)*0.475*44/12</f>
        <v>0.57812450302785745</v>
      </c>
      <c r="CM148" s="23">
        <f>EXP(-LN(2)/2)*CM147+(1-EXP(-LN(2)/2))/(LN(2)/2)*CG148*CJ148*VLOOKUP('Données projet'!$B$12,Paramètres!$A$1:$I$89,3,0)*0.475*44/12</f>
        <v>7.7997879740774594E-18</v>
      </c>
      <c r="CN148" s="24">
        <f t="shared" si="120"/>
        <v>1.5882233862978516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244.82163392718377</v>
      </c>
      <c r="CZ148" s="62">
        <f t="shared" si="150"/>
        <v>342.30266518164211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0.60588824847186851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0.60588824847186851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-2.2737367544323206E-13</v>
      </c>
      <c r="DP148" s="18">
        <f>DO148*VLOOKUP('Données projet'!$B$14,Paramètres!$A$1:$I$89,3,0)*VLOOKUP('Données projet'!$B$14,Paramètres!$A$1:$I$89,5,0)</f>
        <v>-1.8089849618263545E-13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298.89893065707554</v>
      </c>
      <c r="DU148" s="62">
        <f t="shared" si="152"/>
        <v>294.28794439094878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439.06700232017681</v>
      </c>
      <c r="EP148" s="62">
        <f t="shared" si="154"/>
        <v>278.21741231699929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0.37649027081502251</v>
      </c>
      <c r="EX148" s="23">
        <f>EXP(-LN(2)/2)*EX147+(1-EXP(-LN(2)/2))/(LN(2)/2)*ER148*EU148*VLOOKUP('Données projet'!$B$15,Paramètres!$A$1:$I$89,3,0)*0.475*44/12</f>
        <v>7.315538978154544E-17</v>
      </c>
      <c r="EY148" s="24">
        <f t="shared" si="129"/>
        <v>0.37649027081502257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>
        <f>FE148*VLOOKUP('Données projet'!$B$16,Paramètres!$A$1:$I$89,3,0)*VLOOKUP('Données projet'!$B$16,Paramètres!$A$1:$I$89,5,0)</f>
        <v>0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466.4945858005575</v>
      </c>
      <c r="FK148" s="62">
        <f t="shared" si="156"/>
        <v>294.45557293177131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1.4837552253486896E-16</v>
      </c>
      <c r="FT148" s="24">
        <f t="shared" si="132"/>
        <v>1.4837552253486896E-16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>
        <f>FZ148*VLOOKUP('Données projet'!$B$17,Paramètres!$A$1:$I$89,3,0)*VLOOKUP('Données projet'!$B$17,Paramètres!$A$1:$I$89,5,0)</f>
        <v>0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459.64120566196812</v>
      </c>
      <c r="GF148" s="62">
        <f t="shared" si="158"/>
        <v>290.39826583283588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2.8421709430404007E-14</v>
      </c>
      <c r="O149" s="14">
        <f>N149*VLOOKUP('Données projet'!$B$9,Paramètres!$A$1:$I$89,3,0)*VLOOKUP('Données projet'!$B$9,Paramètres!$A$1:$I$89,5,0)</f>
        <v>1.5518253349000589E-14</v>
      </c>
      <c r="P149" s="14">
        <f t="shared" si="141"/>
        <v>2.8958815659671149E-13</v>
      </c>
      <c r="Q149" s="22">
        <f t="shared" si="108"/>
        <v>5.3139366398878183E-13</v>
      </c>
      <c r="R149" s="62">
        <f t="shared" si="109"/>
        <v>293.33333333333383</v>
      </c>
      <c r="S149" s="62">
        <f ca="1">AVERAGE(OFFSET($R$3,0,0,'Données projet'!$E$9+1,1))-AVERAGE(OFFSET($H$3,0,0,'Données projet'!$E$9+1,1))</f>
        <v>170.27677128684815</v>
      </c>
      <c r="T149" s="62">
        <f t="shared" si="142"/>
        <v>243.47439640666289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0.33118320498081016</v>
      </c>
      <c r="AB149" s="23">
        <f>EXP(-LN(2)/2)*AB148+(1-EXP(-LN(2)/2))/(LN(2)/2)*V149*Y149*VLOOKUP('Données projet'!$B$9,Paramètres!$A$1:$I$89,3,0)*0.475*44/12</f>
        <v>2.6414246776684216E-17</v>
      </c>
      <c r="AC149" s="24">
        <f t="shared" si="111"/>
        <v>0.33118320498081016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-9.9316821433603781E-14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327.826081588335</v>
      </c>
      <c r="AO149" s="62">
        <f t="shared" si="144"/>
        <v>348.84706693879735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0.63546732163699693</v>
      </c>
      <c r="AW149" s="23">
        <f>EXP(-LN(2)/2)*AW148+(1-EXP(-LN(2)/2))/(LN(2)/2)*AQ149*AT149*VLOOKUP('Données projet'!$B$10,Paramètres!$A$1:$I$89,3,0)*0.475*44/12</f>
        <v>5.1676630424688518E-17</v>
      </c>
      <c r="AX149" s="23">
        <f t="shared" si="114"/>
        <v>0.63546732163699693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-3.4106051316484809E-13</v>
      </c>
      <c r="BE149" s="14">
        <f>BD149*VLOOKUP('Données projet'!$B$11,Paramètres!$A$1:$I$89,3,0)*VLOOKUP('Données projet'!$B$11,Paramètres!$A$1:$I$89,5,0)</f>
        <v>-2.5006556825246659E-13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376.5422416541544</v>
      </c>
      <c r="BJ149" s="62">
        <f t="shared" si="146"/>
        <v>365.76175372075869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2.485000696186225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2.485000696186225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405.09126081846171</v>
      </c>
      <c r="CE149" s="62">
        <f t="shared" si="148"/>
        <v>534.22295841722166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0.99029146026855364</v>
      </c>
      <c r="CL149" s="23">
        <f>EXP(-LN(2)/25)*CL148+(1-EXP(-LN(2)/25))/(LN(2)/25)*Calculateur!CG149*Calculateur!CI149*VLOOKUP('Données projet'!$B$12,Paramètres!$A$1:$I$89,3,0)*0.475*44/12</f>
        <v>0.56231565809031436</v>
      </c>
      <c r="CM149" s="23">
        <f>EXP(-LN(2)/2)*CM148+(1-EXP(-LN(2)/2))/(LN(2)/2)*CG149*CJ149*VLOOKUP('Données projet'!$B$12,Paramètres!$A$1:$I$89,3,0)*0.475*44/12</f>
        <v>5.515282968287455E-18</v>
      </c>
      <c r="CN149" s="24">
        <f t="shared" si="120"/>
        <v>1.5526071183588681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244.82163392718377</v>
      </c>
      <c r="CZ149" s="62">
        <f t="shared" si="150"/>
        <v>342.30266518164211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0.59400714947467614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0.59400714947467614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-2.2737367544323206E-13</v>
      </c>
      <c r="DP149" s="18">
        <f>DO149*VLOOKUP('Données projet'!$B$14,Paramètres!$A$1:$I$89,3,0)*VLOOKUP('Données projet'!$B$14,Paramètres!$A$1:$I$89,5,0)</f>
        <v>-1.8089849618263545E-13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298.89893065707554</v>
      </c>
      <c r="DU149" s="62">
        <f t="shared" si="152"/>
        <v>294.28794439094878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439.06700232017681</v>
      </c>
      <c r="EP149" s="62">
        <f t="shared" si="154"/>
        <v>278.21741231699929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0.36619512456082287</v>
      </c>
      <c r="EX149" s="23">
        <f>EXP(-LN(2)/2)*EX148+(1-EXP(-LN(2)/2))/(LN(2)/2)*ER149*EU149*VLOOKUP('Données projet'!$B$15,Paramètres!$A$1:$I$89,3,0)*0.475*44/12</f>
        <v>5.1728672194875846E-17</v>
      </c>
      <c r="EY149" s="24">
        <f t="shared" si="129"/>
        <v>0.36619512456082293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>
        <f>FE149*VLOOKUP('Données projet'!$B$16,Paramètres!$A$1:$I$89,3,0)*VLOOKUP('Données projet'!$B$16,Paramètres!$A$1:$I$89,5,0)</f>
        <v>0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466.4945858005575</v>
      </c>
      <c r="FK149" s="62">
        <f t="shared" si="156"/>
        <v>294.45557293177131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1.0491733814650324E-16</v>
      </c>
      <c r="FT149" s="24">
        <f t="shared" si="132"/>
        <v>1.0491733814650324E-16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>
        <f>FZ149*VLOOKUP('Données projet'!$B$17,Paramètres!$A$1:$I$89,3,0)*VLOOKUP('Données projet'!$B$17,Paramètres!$A$1:$I$89,5,0)</f>
        <v>0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459.64120566196812</v>
      </c>
      <c r="GF149" s="62">
        <f t="shared" si="158"/>
        <v>290.39826583283588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2.8421709430404007E-14</v>
      </c>
      <c r="O150" s="14">
        <f>N150*VLOOKUP('Données projet'!$B$9,Paramètres!$A$1:$I$89,3,0)*VLOOKUP('Données projet'!$B$9,Paramètres!$A$1:$I$89,5,0)</f>
        <v>1.5518253349000589E-14</v>
      </c>
      <c r="P150" s="14">
        <f t="shared" si="141"/>
        <v>2.8958815659671149E-13</v>
      </c>
      <c r="Q150" s="22">
        <f t="shared" si="108"/>
        <v>5.3139366398878183E-13</v>
      </c>
      <c r="R150" s="62">
        <f t="shared" si="109"/>
        <v>293.33333333333383</v>
      </c>
      <c r="S150" s="62">
        <f ca="1">AVERAGE(OFFSET($R$3,0,0,'Données projet'!$E$9+1,1))-AVERAGE(OFFSET($H$3,0,0,'Données projet'!$E$9+1,1))</f>
        <v>170.27677128684815</v>
      </c>
      <c r="T150" s="62">
        <f t="shared" si="142"/>
        <v>243.47439640666289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0.32212698282444208</v>
      </c>
      <c r="AB150" s="23">
        <f>EXP(-LN(2)/2)*AB149+(1-EXP(-LN(2)/2))/(LN(2)/2)*V150*Y150*VLOOKUP('Données projet'!$B$9,Paramètres!$A$1:$I$89,3,0)*0.475*44/12</f>
        <v>1.8677693015728314E-17</v>
      </c>
      <c r="AC150" s="24">
        <f t="shared" si="111"/>
        <v>0.32212698282444208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-9.9316821433603781E-14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327.826081588335</v>
      </c>
      <c r="AO150" s="62">
        <f t="shared" si="144"/>
        <v>348.84706693879735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0.61809043430905919</v>
      </c>
      <c r="AW150" s="23">
        <f>EXP(-LN(2)/2)*AW149+(1-EXP(-LN(2)/2))/(LN(2)/2)*AQ150*AT150*VLOOKUP('Données projet'!$B$10,Paramètres!$A$1:$I$89,3,0)*0.475*44/12</f>
        <v>3.6540895802168308E-17</v>
      </c>
      <c r="AX150" s="23">
        <f t="shared" si="114"/>
        <v>0.61809043430905919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-3.4106051316484809E-13</v>
      </c>
      <c r="BE150" s="14">
        <f>BD150*VLOOKUP('Données projet'!$B$11,Paramètres!$A$1:$I$89,3,0)*VLOOKUP('Données projet'!$B$11,Paramètres!$A$1:$I$89,5,0)</f>
        <v>-2.5006556825246659E-13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376.5422416541544</v>
      </c>
      <c r="BJ150" s="62">
        <f t="shared" si="146"/>
        <v>365.76175372075869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2.4362713482347749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2.4362713482347749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405.09126081846171</v>
      </c>
      <c r="CE150" s="62">
        <f t="shared" si="148"/>
        <v>534.22295841722166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0.97087244875083623</v>
      </c>
      <c r="CL150" s="23">
        <f>EXP(-LN(2)/25)*CL149+(1-EXP(-LN(2)/25))/(LN(2)/25)*Calculateur!CG150*Calculateur!CI150*VLOOKUP('Données projet'!$B$12,Paramètres!$A$1:$I$89,3,0)*0.475*44/12</f>
        <v>0.54693910684893943</v>
      </c>
      <c r="CM150" s="23">
        <f>EXP(-LN(2)/2)*CM149+(1-EXP(-LN(2)/2))/(LN(2)/2)*CG150*CJ150*VLOOKUP('Données projet'!$B$12,Paramètres!$A$1:$I$89,3,0)*0.475*44/12</f>
        <v>3.8998939870387297E-18</v>
      </c>
      <c r="CN150" s="24">
        <f t="shared" si="120"/>
        <v>1.5178115555997755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244.82163392718377</v>
      </c>
      <c r="CZ150" s="62">
        <f t="shared" si="150"/>
        <v>342.30266518164211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0.58235903158206392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0.58235903158206392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-2.2737367544323206E-13</v>
      </c>
      <c r="DP150" s="18">
        <f>DO150*VLOOKUP('Données projet'!$B$14,Paramètres!$A$1:$I$89,3,0)*VLOOKUP('Données projet'!$B$14,Paramètres!$A$1:$I$89,5,0)</f>
        <v>-1.8089849618263545E-13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298.89893065707554</v>
      </c>
      <c r="DU150" s="62">
        <f t="shared" si="152"/>
        <v>294.28794439094878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439.06700232017681</v>
      </c>
      <c r="EP150" s="62">
        <f t="shared" si="154"/>
        <v>278.21741231699929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0.35618149962234252</v>
      </c>
      <c r="EX150" s="23">
        <f>EXP(-LN(2)/2)*EX149+(1-EXP(-LN(2)/2))/(LN(2)/2)*ER150*EU150*VLOOKUP('Données projet'!$B$15,Paramètres!$A$1:$I$89,3,0)*0.475*44/12</f>
        <v>3.657769489077272E-17</v>
      </c>
      <c r="EY150" s="24">
        <f t="shared" si="129"/>
        <v>0.35618149962234258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>
        <f>FE150*VLOOKUP('Données projet'!$B$16,Paramètres!$A$1:$I$89,3,0)*VLOOKUP('Données projet'!$B$16,Paramètres!$A$1:$I$89,5,0)</f>
        <v>0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466.4945858005575</v>
      </c>
      <c r="FK150" s="62">
        <f t="shared" si="156"/>
        <v>294.45557293177131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7.4187761267434479E-17</v>
      </c>
      <c r="FT150" s="24">
        <f t="shared" si="132"/>
        <v>7.4187761267434479E-17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>
        <f>FZ150*VLOOKUP('Données projet'!$B$17,Paramètres!$A$1:$I$89,3,0)*VLOOKUP('Données projet'!$B$17,Paramètres!$A$1:$I$89,5,0)</f>
        <v>0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459.64120566196812</v>
      </c>
      <c r="GF150" s="62">
        <f t="shared" si="158"/>
        <v>290.39826583283588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2.8421709430404007E-14</v>
      </c>
      <c r="O151" s="14">
        <f>N151*VLOOKUP('Données projet'!$B$9,Paramètres!$A$1:$I$89,3,0)*VLOOKUP('Données projet'!$B$9,Paramètres!$A$1:$I$89,5,0)</f>
        <v>1.5518253349000589E-14</v>
      </c>
      <c r="P151" s="14">
        <f t="shared" si="141"/>
        <v>2.8958815659671149E-13</v>
      </c>
      <c r="Q151" s="22">
        <f t="shared" si="108"/>
        <v>5.3139366398878183E-13</v>
      </c>
      <c r="R151" s="62">
        <f t="shared" si="109"/>
        <v>293.33333333333383</v>
      </c>
      <c r="S151" s="62">
        <f ca="1">AVERAGE(OFFSET($R$3,0,0,'Données projet'!$E$9+1,1))-AVERAGE(OFFSET($H$3,0,0,'Données projet'!$E$9+1,1))</f>
        <v>170.27677128684815</v>
      </c>
      <c r="T151" s="62">
        <f t="shared" si="142"/>
        <v>243.47439640666289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0.31331840353918589</v>
      </c>
      <c r="AB151" s="23">
        <f>EXP(-LN(2)/2)*AB150+(1-EXP(-LN(2)/2))/(LN(2)/2)*V151*Y151*VLOOKUP('Données projet'!$B$9,Paramètres!$A$1:$I$89,3,0)*0.475*44/12</f>
        <v>1.3207123388342108E-17</v>
      </c>
      <c r="AC151" s="24">
        <f t="shared" si="111"/>
        <v>0.31331840353918589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-9.9316821433603781E-14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327.826081588335</v>
      </c>
      <c r="AO151" s="62">
        <f t="shared" si="144"/>
        <v>348.84706693879735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0.60118871887891467</v>
      </c>
      <c r="AW151" s="23">
        <f>EXP(-LN(2)/2)*AW150+(1-EXP(-LN(2)/2))/(LN(2)/2)*AQ151*AT151*VLOOKUP('Données projet'!$B$10,Paramètres!$A$1:$I$89,3,0)*0.475*44/12</f>
        <v>2.5838315212344259E-17</v>
      </c>
      <c r="AX151" s="23">
        <f t="shared" si="114"/>
        <v>0.60118871887891467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-3.4106051316484809E-13</v>
      </c>
      <c r="BE151" s="14">
        <f>BD151*VLOOKUP('Données projet'!$B$11,Paramètres!$A$1:$I$89,3,0)*VLOOKUP('Données projet'!$B$11,Paramètres!$A$1:$I$89,5,0)</f>
        <v>-2.5006556825246659E-13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376.5422416541544</v>
      </c>
      <c r="BJ151" s="62">
        <f t="shared" si="146"/>
        <v>365.76175372075869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2.3884975530746853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2.3884975530746853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405.09126081846171</v>
      </c>
      <c r="CE151" s="62">
        <f t="shared" si="148"/>
        <v>534.22295841722166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0.95183423220455377</v>
      </c>
      <c r="CL151" s="23">
        <f>EXP(-LN(2)/25)*CL150+(1-EXP(-LN(2)/25))/(LN(2)/25)*Calculateur!CG151*Calculateur!CI151*VLOOKUP('Données projet'!$B$12,Paramètres!$A$1:$I$89,3,0)*0.475*44/12</f>
        <v>0.53198302820987764</v>
      </c>
      <c r="CM151" s="23">
        <f>EXP(-LN(2)/2)*CM150+(1-EXP(-LN(2)/2))/(LN(2)/2)*CG151*CJ151*VLOOKUP('Données projet'!$B$12,Paramètres!$A$1:$I$89,3,0)*0.475*44/12</f>
        <v>2.7576414841437275E-18</v>
      </c>
      <c r="CN151" s="24">
        <f t="shared" si="120"/>
        <v>1.4838172604144315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244.82163392718377</v>
      </c>
      <c r="CZ151" s="62">
        <f t="shared" si="150"/>
        <v>342.30266518164211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0.57093932617667542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0.57093932617667542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-2.2737367544323206E-13</v>
      </c>
      <c r="DP151" s="18">
        <f>DO151*VLOOKUP('Données projet'!$B$14,Paramètres!$A$1:$I$89,3,0)*VLOOKUP('Données projet'!$B$14,Paramètres!$A$1:$I$89,5,0)</f>
        <v>-1.8089849618263545E-13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298.89893065707554</v>
      </c>
      <c r="DU151" s="62">
        <f t="shared" si="152"/>
        <v>294.28794439094878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439.06700232017681</v>
      </c>
      <c r="EP151" s="62">
        <f t="shared" si="154"/>
        <v>278.21741231699929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0.34644169778439854</v>
      </c>
      <c r="EX151" s="23">
        <f>EXP(-LN(2)/2)*EX150+(1-EXP(-LN(2)/2))/(LN(2)/2)*ER151*EU151*VLOOKUP('Données projet'!$B$15,Paramètres!$A$1:$I$89,3,0)*0.475*44/12</f>
        <v>2.5864336097437923E-17</v>
      </c>
      <c r="EY151" s="24">
        <f t="shared" si="129"/>
        <v>0.34644169778439854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>
        <f>FE151*VLOOKUP('Données projet'!$B$16,Paramètres!$A$1:$I$89,3,0)*VLOOKUP('Données projet'!$B$16,Paramètres!$A$1:$I$89,5,0)</f>
        <v>0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466.4945858005575</v>
      </c>
      <c r="FK151" s="62">
        <f t="shared" si="156"/>
        <v>294.45557293177131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5.2458669073251618E-17</v>
      </c>
      <c r="FT151" s="24">
        <f t="shared" si="132"/>
        <v>5.2458669073251618E-17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>
        <f>FZ151*VLOOKUP('Données projet'!$B$17,Paramètres!$A$1:$I$89,3,0)*VLOOKUP('Données projet'!$B$17,Paramètres!$A$1:$I$89,5,0)</f>
        <v>0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459.64120566196812</v>
      </c>
      <c r="GF151" s="62">
        <f t="shared" si="158"/>
        <v>290.39826583283588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2.8421709430404007E-14</v>
      </c>
      <c r="O152" s="14">
        <f>N152*VLOOKUP('Données projet'!$B$9,Paramètres!$A$1:$I$89,3,0)*VLOOKUP('Données projet'!$B$9,Paramètres!$A$1:$I$89,5,0)</f>
        <v>1.5518253349000589E-14</v>
      </c>
      <c r="P152" s="14">
        <f t="shared" si="141"/>
        <v>2.8958815659671149E-13</v>
      </c>
      <c r="Q152" s="22">
        <f t="shared" si="108"/>
        <v>5.3139366398878183E-13</v>
      </c>
      <c r="R152" s="62">
        <f t="shared" si="109"/>
        <v>293.33333333333383</v>
      </c>
      <c r="S152" s="62">
        <f ca="1">AVERAGE(OFFSET($R$3,0,0,'Données projet'!$E$9+1,1))-AVERAGE(OFFSET($H$3,0,0,'Données projet'!$E$9+1,1))</f>
        <v>170.27677128684815</v>
      </c>
      <c r="T152" s="62">
        <f t="shared" si="142"/>
        <v>243.47439640666289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0.3047506953177081</v>
      </c>
      <c r="AB152" s="23">
        <f>EXP(-LN(2)/2)*AB151+(1-EXP(-LN(2)/2))/(LN(2)/2)*V152*Y152*VLOOKUP('Données projet'!$B$9,Paramètres!$A$1:$I$89,3,0)*0.475*44/12</f>
        <v>9.338846507864157E-18</v>
      </c>
      <c r="AC152" s="24">
        <f t="shared" si="111"/>
        <v>0.3047506953177081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-9.9316821433603781E-14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327.826081588335</v>
      </c>
      <c r="AO152" s="62">
        <f t="shared" si="144"/>
        <v>348.84706693879735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0.58474918174603008</v>
      </c>
      <c r="AW152" s="23">
        <f>EXP(-LN(2)/2)*AW151+(1-EXP(-LN(2)/2))/(LN(2)/2)*AQ152*AT152*VLOOKUP('Données projet'!$B$10,Paramètres!$A$1:$I$89,3,0)*0.475*44/12</f>
        <v>1.8270447901084154E-17</v>
      </c>
      <c r="AX152" s="23">
        <f t="shared" si="114"/>
        <v>0.58474918174603008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-3.4106051316484809E-13</v>
      </c>
      <c r="BE152" s="14">
        <f>BD152*VLOOKUP('Données projet'!$B$11,Paramètres!$A$1:$I$89,3,0)*VLOOKUP('Données projet'!$B$11,Paramètres!$A$1:$I$89,5,0)</f>
        <v>-2.5006556825246659E-13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376.5422416541544</v>
      </c>
      <c r="BJ152" s="62">
        <f t="shared" si="146"/>
        <v>365.76175372075869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2.3416605728985469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2.3416605728985469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405.09126081846171</v>
      </c>
      <c r="CE152" s="62">
        <f t="shared" si="148"/>
        <v>534.22295841722166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0.93316934347257841</v>
      </c>
      <c r="CL152" s="23">
        <f>EXP(-LN(2)/25)*CL151+(1-EXP(-LN(2)/25))/(LN(2)/25)*Calculateur!CG152*Calculateur!CI152*VLOOKUP('Données projet'!$B$12,Paramètres!$A$1:$I$89,3,0)*0.475*44/12</f>
        <v>0.51743592432770691</v>
      </c>
      <c r="CM152" s="23">
        <f>EXP(-LN(2)/2)*CM151+(1-EXP(-LN(2)/2))/(LN(2)/2)*CG152*CJ152*VLOOKUP('Données projet'!$B$12,Paramètres!$A$1:$I$89,3,0)*0.475*44/12</f>
        <v>1.9499469935193649E-18</v>
      </c>
      <c r="CN152" s="24">
        <f t="shared" si="120"/>
        <v>1.4506052678002854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244.82163392718377</v>
      </c>
      <c r="CZ152" s="62">
        <f t="shared" si="150"/>
        <v>342.30266518164211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0.55974355422895405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0.55974355422895405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-2.2737367544323206E-13</v>
      </c>
      <c r="DP152" s="18">
        <f>DO152*VLOOKUP('Données projet'!$B$14,Paramètres!$A$1:$I$89,3,0)*VLOOKUP('Données projet'!$B$14,Paramètres!$A$1:$I$89,5,0)</f>
        <v>-1.8089849618263545E-13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298.89893065707554</v>
      </c>
      <c r="DU152" s="62">
        <f t="shared" si="152"/>
        <v>294.28794439094878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439.06700232017681</v>
      </c>
      <c r="EP152" s="62">
        <f t="shared" si="154"/>
        <v>278.21741231699929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0.33696823133990705</v>
      </c>
      <c r="EX152" s="23">
        <f>EXP(-LN(2)/2)*EX151+(1-EXP(-LN(2)/2))/(LN(2)/2)*ER152*EU152*VLOOKUP('Données projet'!$B$15,Paramètres!$A$1:$I$89,3,0)*0.475*44/12</f>
        <v>1.828884744538636E-17</v>
      </c>
      <c r="EY152" s="24">
        <f t="shared" si="129"/>
        <v>0.33696823133990705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>
        <f>FE152*VLOOKUP('Données projet'!$B$16,Paramètres!$A$1:$I$89,3,0)*VLOOKUP('Données projet'!$B$16,Paramètres!$A$1:$I$89,5,0)</f>
        <v>0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466.4945858005575</v>
      </c>
      <c r="FK152" s="62">
        <f t="shared" si="156"/>
        <v>294.45557293177131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3.709388063371724E-17</v>
      </c>
      <c r="FT152" s="24">
        <f t="shared" si="132"/>
        <v>3.709388063371724E-17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>
        <f>FZ152*VLOOKUP('Données projet'!$B$17,Paramètres!$A$1:$I$89,3,0)*VLOOKUP('Données projet'!$B$17,Paramètres!$A$1:$I$89,5,0)</f>
        <v>0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459.64120566196812</v>
      </c>
      <c r="GF152" s="62">
        <f t="shared" si="158"/>
        <v>290.39826583283588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2.8421709430404007E-14</v>
      </c>
      <c r="O153" s="14">
        <f>N153*VLOOKUP('Données projet'!$B$9,Paramètres!$A$1:$I$89,3,0)*VLOOKUP('Données projet'!$B$9,Paramètres!$A$1:$I$89,5,0)</f>
        <v>1.5518253349000589E-14</v>
      </c>
      <c r="P153" s="14">
        <f t="shared" si="141"/>
        <v>2.8958815659671149E-13</v>
      </c>
      <c r="Q153" s="22">
        <f t="shared" si="108"/>
        <v>5.3139366398878183E-13</v>
      </c>
      <c r="R153" s="62">
        <f t="shared" si="109"/>
        <v>293.33333333333383</v>
      </c>
      <c r="S153" s="62">
        <f ca="1">AVERAGE(OFFSET($R$3,0,0,'Données projet'!$E$9+1,1))-AVERAGE(OFFSET($H$3,0,0,'Données projet'!$E$9+1,1))</f>
        <v>170.27677128684815</v>
      </c>
      <c r="T153" s="62">
        <f t="shared" si="142"/>
        <v>243.47439640666289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0.29641727152810282</v>
      </c>
      <c r="AB153" s="23">
        <f>EXP(-LN(2)/2)*AB152+(1-EXP(-LN(2)/2))/(LN(2)/2)*V153*Y153*VLOOKUP('Données projet'!$B$9,Paramètres!$A$1:$I$89,3,0)*0.475*44/12</f>
        <v>6.603561694171054E-18</v>
      </c>
      <c r="AC153" s="24">
        <f t="shared" si="111"/>
        <v>0.29641727152810282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-9.9316821433603781E-14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327.826081588335</v>
      </c>
      <c r="AO153" s="62">
        <f t="shared" si="144"/>
        <v>348.84706693879735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0.56875918462056185</v>
      </c>
      <c r="AW153" s="23">
        <f>EXP(-LN(2)/2)*AW152+(1-EXP(-LN(2)/2))/(LN(2)/2)*AQ153*AT153*VLOOKUP('Données projet'!$B$10,Paramètres!$A$1:$I$89,3,0)*0.475*44/12</f>
        <v>1.291915760617213E-17</v>
      </c>
      <c r="AX153" s="23">
        <f t="shared" si="114"/>
        <v>0.56875918462056185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-3.4106051316484809E-13</v>
      </c>
      <c r="BE153" s="14">
        <f>BD153*VLOOKUP('Données projet'!$B$11,Paramètres!$A$1:$I$89,3,0)*VLOOKUP('Données projet'!$B$11,Paramètres!$A$1:$I$89,5,0)</f>
        <v>-2.5006556825246659E-13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376.5422416541544</v>
      </c>
      <c r="BJ153" s="62">
        <f t="shared" si="146"/>
        <v>365.76175372075869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2.2957420373359256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2.2957420373359256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405.09126081846171</v>
      </c>
      <c r="CE153" s="62">
        <f t="shared" si="148"/>
        <v>534.22295841722166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0.91487046182417908</v>
      </c>
      <c r="CL153" s="23">
        <f>EXP(-LN(2)/25)*CL152+(1-EXP(-LN(2)/25))/(LN(2)/25)*Calculateur!CG153*Calculateur!CI153*VLOOKUP('Données projet'!$B$12,Paramètres!$A$1:$I$89,3,0)*0.475*44/12</f>
        <v>0.50328661176619316</v>
      </c>
      <c r="CM153" s="23">
        <f>EXP(-LN(2)/2)*CM152+(1-EXP(-LN(2)/2))/(LN(2)/2)*CG153*CJ153*VLOOKUP('Données projet'!$B$12,Paramètres!$A$1:$I$89,3,0)*0.475*44/12</f>
        <v>1.3788207420718638E-18</v>
      </c>
      <c r="CN153" s="24">
        <f t="shared" si="120"/>
        <v>1.4181570735903724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244.82163392718377</v>
      </c>
      <c r="CZ153" s="62">
        <f t="shared" si="150"/>
        <v>342.30266518164211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0.54876732454038091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0.54876732454038091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-2.2737367544323206E-13</v>
      </c>
      <c r="DP153" s="18">
        <f>DO153*VLOOKUP('Données projet'!$B$14,Paramètres!$A$1:$I$89,3,0)*VLOOKUP('Données projet'!$B$14,Paramètres!$A$1:$I$89,5,0)</f>
        <v>-1.8089849618263545E-13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298.89893065707554</v>
      </c>
      <c r="DU153" s="62">
        <f t="shared" si="152"/>
        <v>294.28794439094878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439.06700232017681</v>
      </c>
      <c r="EP153" s="62">
        <f t="shared" si="154"/>
        <v>278.21741231699929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0.32775381733352815</v>
      </c>
      <c r="EX153" s="23">
        <f>EXP(-LN(2)/2)*EX152+(1-EXP(-LN(2)/2))/(LN(2)/2)*ER153*EU153*VLOOKUP('Données projet'!$B$15,Paramètres!$A$1:$I$89,3,0)*0.475*44/12</f>
        <v>1.2932168048718962E-17</v>
      </c>
      <c r="EY153" s="24">
        <f t="shared" si="129"/>
        <v>0.32775381733352815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>
        <f>FE153*VLOOKUP('Données projet'!$B$16,Paramètres!$A$1:$I$89,3,0)*VLOOKUP('Données projet'!$B$16,Paramètres!$A$1:$I$89,5,0)</f>
        <v>0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466.4945858005575</v>
      </c>
      <c r="FK153" s="62">
        <f t="shared" si="156"/>
        <v>294.45557293177131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2.6229334536625809E-17</v>
      </c>
      <c r="FT153" s="24">
        <f t="shared" si="132"/>
        <v>2.6229334536625809E-17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>
        <f>FZ153*VLOOKUP('Données projet'!$B$17,Paramètres!$A$1:$I$89,3,0)*VLOOKUP('Données projet'!$B$17,Paramètres!$A$1:$I$89,5,0)</f>
        <v>0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459.64120566196812</v>
      </c>
      <c r="GF153" s="62">
        <f t="shared" si="158"/>
        <v>290.39826583283588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2.8421709430404007E-14</v>
      </c>
      <c r="O154" s="14">
        <f>N154*VLOOKUP('Données projet'!$B$9,Paramètres!$A$1:$I$89,3,0)*VLOOKUP('Données projet'!$B$9,Paramètres!$A$1:$I$89,5,0)</f>
        <v>1.5518253349000589E-14</v>
      </c>
      <c r="P154" s="14">
        <f t="shared" si="141"/>
        <v>2.8958815659671149E-13</v>
      </c>
      <c r="Q154" s="22">
        <f t="shared" ref="Q154:Q203" si="162">(O154+P154)*0.475*44/12</f>
        <v>5.3139366398878183E-13</v>
      </c>
      <c r="R154" s="62">
        <f t="shared" si="109"/>
        <v>293.33333333333383</v>
      </c>
      <c r="S154" s="62">
        <f ca="1">AVERAGE(OFFSET($R$3,0,0,'Données projet'!$E$9+1,1))-AVERAGE(OFFSET($H$3,0,0,'Données projet'!$E$9+1,1))</f>
        <v>170.27677128684815</v>
      </c>
      <c r="T154" s="62">
        <f t="shared" si="142"/>
        <v>243.47439640666289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0.28831172565026003</v>
      </c>
      <c r="AB154" s="23">
        <f>EXP(-LN(2)/2)*AB153+(1-EXP(-LN(2)/2))/(LN(2)/2)*V154*Y154*VLOOKUP('Données projet'!$B$9,Paramètres!$A$1:$I$89,3,0)*0.475*44/12</f>
        <v>4.6694232539320785E-18</v>
      </c>
      <c r="AC154" s="24">
        <f t="shared" ref="AC154:AC203" si="163">SUM(Z154:AB154)</f>
        <v>0.28831172565026003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-9.9316821433603781E-14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327.826081588335</v>
      </c>
      <c r="AO154" s="62">
        <f t="shared" si="144"/>
        <v>348.84706693879735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0.55320643480736698</v>
      </c>
      <c r="AW154" s="23">
        <f>EXP(-LN(2)/2)*AW153+(1-EXP(-LN(2)/2))/(LN(2)/2)*AQ154*AT154*VLOOKUP('Données projet'!$B$10,Paramètres!$A$1:$I$89,3,0)*0.475*44/12</f>
        <v>9.135223950542077E-18</v>
      </c>
      <c r="AX154" s="23">
        <f t="shared" ref="AX154:AX203" si="166">SUM(AU154:AW154)</f>
        <v>0.55320643480736698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-3.4106051316484809E-13</v>
      </c>
      <c r="BE154" s="14">
        <f>BD154*VLOOKUP('Données projet'!$B$11,Paramètres!$A$1:$I$89,3,0)*VLOOKUP('Données projet'!$B$11,Paramètres!$A$1:$I$89,5,0)</f>
        <v>-2.5006556825246659E-13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376.5422416541544</v>
      </c>
      <c r="BJ154" s="62">
        <f t="shared" si="146"/>
        <v>365.76175372075869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2.2507239362481464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2.2507239362481464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405.09126081846171</v>
      </c>
      <c r="CE154" s="62">
        <f t="shared" si="148"/>
        <v>534.22295841722166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0.89693041008368912</v>
      </c>
      <c r="CL154" s="23">
        <f>EXP(-LN(2)/25)*CL153+(1-EXP(-LN(2)/25))/(LN(2)/25)*Calculateur!CG154*Calculateur!CI154*VLOOKUP('Données projet'!$B$12,Paramètres!$A$1:$I$89,3,0)*0.475*44/12</f>
        <v>0.48952421290075399</v>
      </c>
      <c r="CM154" s="23">
        <f>EXP(-LN(2)/2)*CM153+(1-EXP(-LN(2)/2))/(LN(2)/2)*CG154*CJ154*VLOOKUP('Données projet'!$B$12,Paramètres!$A$1:$I$89,3,0)*0.475*44/12</f>
        <v>9.7497349675968243E-19</v>
      </c>
      <c r="CN154" s="24">
        <f t="shared" ref="CN154:CN203" si="172">SUM(CK154:CM154)</f>
        <v>1.3864546229844432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244.82163392718377</v>
      </c>
      <c r="CZ154" s="62">
        <f t="shared" si="150"/>
        <v>342.30266518164211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0.53800633202116166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0.53800633202116166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-2.2737367544323206E-13</v>
      </c>
      <c r="DP154" s="18">
        <f>DO154*VLOOKUP('Données projet'!$B$14,Paramètres!$A$1:$I$89,3,0)*VLOOKUP('Données projet'!$B$14,Paramètres!$A$1:$I$89,5,0)</f>
        <v>-1.8089849618263545E-13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298.89893065707554</v>
      </c>
      <c r="DU154" s="62">
        <f t="shared" si="152"/>
        <v>294.28794439094878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439.06700232017681</v>
      </c>
      <c r="EP154" s="62">
        <f t="shared" si="154"/>
        <v>278.21741231699929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0.31879137196271867</v>
      </c>
      <c r="EX154" s="23">
        <f>EXP(-LN(2)/2)*EX153+(1-EXP(-LN(2)/2))/(LN(2)/2)*ER154*EU154*VLOOKUP('Données projet'!$B$15,Paramètres!$A$1:$I$89,3,0)*0.475*44/12</f>
        <v>9.1444237226931799E-18</v>
      </c>
      <c r="EY154" s="24">
        <f t="shared" ref="EY154:EY203" si="181">SUM(EV154:EX154)</f>
        <v>0.31879137196271867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>
        <f>FE154*VLOOKUP('Données projet'!$B$16,Paramètres!$A$1:$I$89,3,0)*VLOOKUP('Données projet'!$B$16,Paramètres!$A$1:$I$89,5,0)</f>
        <v>0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466.4945858005575</v>
      </c>
      <c r="FK154" s="62">
        <f t="shared" si="156"/>
        <v>294.45557293177131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1.854694031685862E-17</v>
      </c>
      <c r="FT154" s="24">
        <f t="shared" ref="FT154:FT203" si="184">SUM(FQ154:FS154)</f>
        <v>1.854694031685862E-17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>
        <f>FZ154*VLOOKUP('Données projet'!$B$17,Paramètres!$A$1:$I$89,3,0)*VLOOKUP('Données projet'!$B$17,Paramètres!$A$1:$I$89,5,0)</f>
        <v>0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459.64120566196812</v>
      </c>
      <c r="GF154" s="62">
        <f t="shared" si="158"/>
        <v>290.39826583283588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2.8421709430404007E-14</v>
      </c>
      <c r="O155" s="14">
        <f>N155*VLOOKUP('Données projet'!$B$9,Paramètres!$A$1:$I$89,3,0)*VLOOKUP('Données projet'!$B$9,Paramètres!$A$1:$I$89,5,0)</f>
        <v>1.5518253349000589E-14</v>
      </c>
      <c r="P155" s="14">
        <f t="shared" si="141"/>
        <v>2.8958815659671149E-13</v>
      </c>
      <c r="Q155" s="22">
        <f t="shared" si="162"/>
        <v>5.3139366398878183E-13</v>
      </c>
      <c r="R155" s="62">
        <f t="shared" si="109"/>
        <v>293.33333333333383</v>
      </c>
      <c r="S155" s="62">
        <f ca="1">AVERAGE(OFFSET($R$3,0,0,'Données projet'!$E$9+1,1))-AVERAGE(OFFSET($H$3,0,0,'Données projet'!$E$9+1,1))</f>
        <v>170.27677128684815</v>
      </c>
      <c r="T155" s="62">
        <f t="shared" si="142"/>
        <v>243.47439640666289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0.28042782635069896</v>
      </c>
      <c r="AB155" s="23">
        <f>EXP(-LN(2)/2)*AB154+(1-EXP(-LN(2)/2))/(LN(2)/2)*V155*Y155*VLOOKUP('Données projet'!$B$9,Paramètres!$A$1:$I$89,3,0)*0.475*44/12</f>
        <v>3.301780847085527E-18</v>
      </c>
      <c r="AC155" s="24">
        <f t="shared" si="163"/>
        <v>0.28042782635069896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-9.9316821433603781E-14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327.826081588335</v>
      </c>
      <c r="AO155" s="62">
        <f t="shared" si="144"/>
        <v>348.84706693879735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0.53807897575569752</v>
      </c>
      <c r="AW155" s="23">
        <f>EXP(-LN(2)/2)*AW154+(1-EXP(-LN(2)/2))/(LN(2)/2)*AQ155*AT155*VLOOKUP('Données projet'!$B$10,Paramètres!$A$1:$I$89,3,0)*0.475*44/12</f>
        <v>6.4595788030860648E-18</v>
      </c>
      <c r="AX155" s="23">
        <f t="shared" si="166"/>
        <v>0.53807897575569752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-3.4106051316484809E-13</v>
      </c>
      <c r="BE155" s="14">
        <f>BD155*VLOOKUP('Données projet'!$B$11,Paramètres!$A$1:$I$89,3,0)*VLOOKUP('Données projet'!$B$11,Paramètres!$A$1:$I$89,5,0)</f>
        <v>-2.5006556825246659E-13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376.5422416541544</v>
      </c>
      <c r="BJ155" s="62">
        <f t="shared" si="146"/>
        <v>365.76175372075869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2.2065886126643681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2.2065886126643681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405.09126081846171</v>
      </c>
      <c r="CE155" s="62">
        <f t="shared" si="148"/>
        <v>534.22295841722166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0.87934215181547914</v>
      </c>
      <c r="CL155" s="23">
        <f>EXP(-LN(2)/25)*CL154+(1-EXP(-LN(2)/25))/(LN(2)/25)*Calculateur!CG155*Calculateur!CI155*VLOOKUP('Données projet'!$B$12,Paramètres!$A$1:$I$89,3,0)*0.475*44/12</f>
        <v>0.47613814755602335</v>
      </c>
      <c r="CM155" s="23">
        <f>EXP(-LN(2)/2)*CM154+(1-EXP(-LN(2)/2))/(LN(2)/2)*CG155*CJ155*VLOOKUP('Données projet'!$B$12,Paramètres!$A$1:$I$89,3,0)*0.475*44/12</f>
        <v>6.8941037103593188E-19</v>
      </c>
      <c r="CN155" s="24">
        <f t="shared" si="172"/>
        <v>1.3554802993715025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244.82163392718377</v>
      </c>
      <c r="CZ155" s="62">
        <f t="shared" si="150"/>
        <v>342.30266518164211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0.52745635600168694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0.52745635600168694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-2.2737367544323206E-13</v>
      </c>
      <c r="DP155" s="18">
        <f>DO155*VLOOKUP('Données projet'!$B$14,Paramètres!$A$1:$I$89,3,0)*VLOOKUP('Données projet'!$B$14,Paramètres!$A$1:$I$89,5,0)</f>
        <v>-1.8089849618263545E-13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298.89893065707554</v>
      </c>
      <c r="DU155" s="62">
        <f t="shared" si="152"/>
        <v>294.28794439094878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439.06700232017681</v>
      </c>
      <c r="EP155" s="62">
        <f t="shared" si="154"/>
        <v>278.21741231699929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0.31007400513188849</v>
      </c>
      <c r="EX155" s="23">
        <f>EXP(-LN(2)/2)*EX154+(1-EXP(-LN(2)/2))/(LN(2)/2)*ER155*EU155*VLOOKUP('Données projet'!$B$15,Paramètres!$A$1:$I$89,3,0)*0.475*44/12</f>
        <v>6.4660840243594808E-18</v>
      </c>
      <c r="EY155" s="24">
        <f t="shared" si="181"/>
        <v>0.31007400513188849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>
        <f>FE155*VLOOKUP('Données projet'!$B$16,Paramètres!$A$1:$I$89,3,0)*VLOOKUP('Données projet'!$B$16,Paramètres!$A$1:$I$89,5,0)</f>
        <v>0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466.4945858005575</v>
      </c>
      <c r="FK155" s="62">
        <f t="shared" si="156"/>
        <v>294.45557293177131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1.3114667268312905E-17</v>
      </c>
      <c r="FT155" s="24">
        <f t="shared" si="184"/>
        <v>1.3114667268312905E-17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>
        <f>FZ155*VLOOKUP('Données projet'!$B$17,Paramètres!$A$1:$I$89,3,0)*VLOOKUP('Données projet'!$B$17,Paramètres!$A$1:$I$89,5,0)</f>
        <v>0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459.64120566196812</v>
      </c>
      <c r="GF155" s="62">
        <f t="shared" si="158"/>
        <v>290.39826583283588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2.8421709430404007E-14</v>
      </c>
      <c r="O156" s="14">
        <f>N156*VLOOKUP('Données projet'!$B$9,Paramètres!$A$1:$I$89,3,0)*VLOOKUP('Données projet'!$B$9,Paramètres!$A$1:$I$89,5,0)</f>
        <v>1.5518253349000589E-14</v>
      </c>
      <c r="P156" s="14">
        <f t="shared" si="141"/>
        <v>2.8958815659671149E-13</v>
      </c>
      <c r="Q156" s="22">
        <f t="shared" si="162"/>
        <v>5.3139366398878183E-13</v>
      </c>
      <c r="R156" s="62">
        <f t="shared" si="109"/>
        <v>293.33333333333383</v>
      </c>
      <c r="S156" s="62">
        <f ca="1">AVERAGE(OFFSET($R$3,0,0,'Données projet'!$E$9+1,1))-AVERAGE(OFFSET($H$3,0,0,'Données projet'!$E$9+1,1))</f>
        <v>170.27677128684815</v>
      </c>
      <c r="T156" s="62">
        <f t="shared" si="142"/>
        <v>243.47439640666289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0.27275951269208065</v>
      </c>
      <c r="AB156" s="23">
        <f>EXP(-LN(2)/2)*AB155+(1-EXP(-LN(2)/2))/(LN(2)/2)*V156*Y156*VLOOKUP('Données projet'!$B$9,Paramètres!$A$1:$I$89,3,0)*0.475*44/12</f>
        <v>2.3347116269660393E-18</v>
      </c>
      <c r="AC156" s="24">
        <f t="shared" si="163"/>
        <v>0.27275951269208065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-9.9316821433603781E-14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327.826081588335</v>
      </c>
      <c r="AO156" s="62">
        <f t="shared" si="144"/>
        <v>348.84706693879735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0.5233651778673144</v>
      </c>
      <c r="AW156" s="23">
        <f>EXP(-LN(2)/2)*AW155+(1-EXP(-LN(2)/2))/(LN(2)/2)*AQ156*AT156*VLOOKUP('Données projet'!$B$10,Paramètres!$A$1:$I$89,3,0)*0.475*44/12</f>
        <v>4.5676119752710385E-18</v>
      </c>
      <c r="AX156" s="23">
        <f t="shared" si="166"/>
        <v>0.5233651778673144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-3.4106051316484809E-13</v>
      </c>
      <c r="BE156" s="14">
        <f>BD156*VLOOKUP('Données projet'!$B$11,Paramètres!$A$1:$I$89,3,0)*VLOOKUP('Données projet'!$B$11,Paramètres!$A$1:$I$89,5,0)</f>
        <v>-2.5006556825246659E-13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376.5422416541544</v>
      </c>
      <c r="BJ156" s="62">
        <f t="shared" si="146"/>
        <v>365.76175372075869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2.1633187558561784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2.1633187558561784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405.09126081846171</v>
      </c>
      <c r="CE156" s="62">
        <f t="shared" si="148"/>
        <v>534.22295841722166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0.86209878856413047</v>
      </c>
      <c r="CL156" s="23">
        <f>EXP(-LN(2)/25)*CL155+(1-EXP(-LN(2)/25))/(LN(2)/25)*Calculateur!CG156*Calculateur!CI156*VLOOKUP('Données projet'!$B$12,Paramètres!$A$1:$I$89,3,0)*0.475*44/12</f>
        <v>0.46311812487208692</v>
      </c>
      <c r="CM156" s="23">
        <f>EXP(-LN(2)/2)*CM155+(1-EXP(-LN(2)/2))/(LN(2)/2)*CG156*CJ156*VLOOKUP('Données projet'!$B$12,Paramètres!$A$1:$I$89,3,0)*0.475*44/12</f>
        <v>4.8748674837984121E-19</v>
      </c>
      <c r="CN156" s="24">
        <f t="shared" si="172"/>
        <v>1.3252169134362175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244.82163392718377</v>
      </c>
      <c r="CZ156" s="62">
        <f t="shared" si="150"/>
        <v>342.30266518164211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0.51711325857710411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0.51711325857710411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-2.2737367544323206E-13</v>
      </c>
      <c r="DP156" s="18">
        <f>DO156*VLOOKUP('Données projet'!$B$14,Paramètres!$A$1:$I$89,3,0)*VLOOKUP('Données projet'!$B$14,Paramètres!$A$1:$I$89,5,0)</f>
        <v>-1.8089849618263545E-13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298.89893065707554</v>
      </c>
      <c r="DU156" s="62">
        <f t="shared" si="152"/>
        <v>294.28794439094878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439.06700232017681</v>
      </c>
      <c r="EP156" s="62">
        <f t="shared" si="154"/>
        <v>278.21741231699929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0.30159501515547377</v>
      </c>
      <c r="EX156" s="23">
        <f>EXP(-LN(2)/2)*EX155+(1-EXP(-LN(2)/2))/(LN(2)/2)*ER156*EU156*VLOOKUP('Données projet'!$B$15,Paramètres!$A$1:$I$89,3,0)*0.475*44/12</f>
        <v>4.57221186134659E-18</v>
      </c>
      <c r="EY156" s="24">
        <f t="shared" si="181"/>
        <v>0.30159501515547377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>
        <f>FE156*VLOOKUP('Données projet'!$B$16,Paramètres!$A$1:$I$89,3,0)*VLOOKUP('Données projet'!$B$16,Paramètres!$A$1:$I$89,5,0)</f>
        <v>0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466.4945858005575</v>
      </c>
      <c r="FK156" s="62">
        <f t="shared" si="156"/>
        <v>294.45557293177131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9.2734701584293099E-18</v>
      </c>
      <c r="FT156" s="24">
        <f t="shared" si="184"/>
        <v>9.2734701584293099E-18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>
        <f>FZ156*VLOOKUP('Données projet'!$B$17,Paramètres!$A$1:$I$89,3,0)*VLOOKUP('Données projet'!$B$17,Paramètres!$A$1:$I$89,5,0)</f>
        <v>0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459.64120566196812</v>
      </c>
      <c r="GF156" s="62">
        <f t="shared" si="158"/>
        <v>290.39826583283588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2.8421709430404007E-14</v>
      </c>
      <c r="O157" s="14">
        <f>N157*VLOOKUP('Données projet'!$B$9,Paramètres!$A$1:$I$89,3,0)*VLOOKUP('Données projet'!$B$9,Paramètres!$A$1:$I$89,5,0)</f>
        <v>1.5518253349000589E-14</v>
      </c>
      <c r="P157" s="14">
        <f t="shared" si="141"/>
        <v>2.8958815659671149E-13</v>
      </c>
      <c r="Q157" s="22">
        <f t="shared" si="162"/>
        <v>5.3139366398878183E-13</v>
      </c>
      <c r="R157" s="62">
        <f t="shared" si="109"/>
        <v>293.33333333333383</v>
      </c>
      <c r="S157" s="62">
        <f ca="1">AVERAGE(OFFSET($R$3,0,0,'Données projet'!$E$9+1,1))-AVERAGE(OFFSET($H$3,0,0,'Données projet'!$E$9+1,1))</f>
        <v>170.27677128684815</v>
      </c>
      <c r="T157" s="62">
        <f t="shared" si="142"/>
        <v>243.47439640666289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0.26530088947371633</v>
      </c>
      <c r="AB157" s="23">
        <f>EXP(-LN(2)/2)*AB156+(1-EXP(-LN(2)/2))/(LN(2)/2)*V157*Y157*VLOOKUP('Données projet'!$B$9,Paramètres!$A$1:$I$89,3,0)*0.475*44/12</f>
        <v>1.6508904235427635E-18</v>
      </c>
      <c r="AC157" s="24">
        <f t="shared" si="163"/>
        <v>0.26530088947371633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-9.9316821433603781E-14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327.826081588335</v>
      </c>
      <c r="AO157" s="62">
        <f t="shared" si="144"/>
        <v>348.84706693879735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0.50905372955595418</v>
      </c>
      <c r="AW157" s="23">
        <f>EXP(-LN(2)/2)*AW156+(1-EXP(-LN(2)/2))/(LN(2)/2)*AQ157*AT157*VLOOKUP('Données projet'!$B$10,Paramètres!$A$1:$I$89,3,0)*0.475*44/12</f>
        <v>3.2297894015430324E-18</v>
      </c>
      <c r="AX157" s="23">
        <f t="shared" si="166"/>
        <v>0.50905372955595418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-3.4106051316484809E-13</v>
      </c>
      <c r="BE157" s="14">
        <f>BD157*VLOOKUP('Données projet'!$B$11,Paramètres!$A$1:$I$89,3,0)*VLOOKUP('Données projet'!$B$11,Paramètres!$A$1:$I$89,5,0)</f>
        <v>-2.5006556825246659E-13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376.5422416541544</v>
      </c>
      <c r="BJ157" s="62">
        <f t="shared" si="146"/>
        <v>365.76175372075869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2.1208973945479905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2.1208973945479905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405.09126081846171</v>
      </c>
      <c r="CE157" s="62">
        <f t="shared" si="148"/>
        <v>534.22295841722166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0.84519355714872768</v>
      </c>
      <c r="CL157" s="23">
        <f>EXP(-LN(2)/25)*CL156+(1-EXP(-LN(2)/25))/(LN(2)/25)*Calculateur!CG157*Calculateur!CI157*VLOOKUP('Données projet'!$B$12,Paramètres!$A$1:$I$89,3,0)*0.475*44/12</f>
        <v>0.450454135393136</v>
      </c>
      <c r="CM157" s="23">
        <f>EXP(-LN(2)/2)*CM156+(1-EXP(-LN(2)/2))/(LN(2)/2)*CG157*CJ157*VLOOKUP('Données projet'!$B$12,Paramètres!$A$1:$I$89,3,0)*0.475*44/12</f>
        <v>3.4470518551796594E-19</v>
      </c>
      <c r="CN157" s="24">
        <f t="shared" si="172"/>
        <v>1.2956476925418636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244.82163392718377</v>
      </c>
      <c r="CZ157" s="62">
        <f t="shared" si="150"/>
        <v>342.30266518164211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0.5069729829843509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0.5069729829843509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-2.2737367544323206E-13</v>
      </c>
      <c r="DP157" s="18">
        <f>DO157*VLOOKUP('Données projet'!$B$14,Paramètres!$A$1:$I$89,3,0)*VLOOKUP('Données projet'!$B$14,Paramètres!$A$1:$I$89,5,0)</f>
        <v>-1.8089849618263545E-13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298.89893065707554</v>
      </c>
      <c r="DU157" s="62">
        <f t="shared" si="152"/>
        <v>294.28794439094878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439.06700232017681</v>
      </c>
      <c r="EP157" s="62">
        <f t="shared" si="154"/>
        <v>278.21741231699929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0.29334788360585479</v>
      </c>
      <c r="EX157" s="23">
        <f>EXP(-LN(2)/2)*EX156+(1-EXP(-LN(2)/2))/(LN(2)/2)*ER157*EU157*VLOOKUP('Données projet'!$B$15,Paramètres!$A$1:$I$89,3,0)*0.475*44/12</f>
        <v>3.2330420121797404E-18</v>
      </c>
      <c r="EY157" s="24">
        <f t="shared" si="181"/>
        <v>0.29334788360585479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>
        <f>FE157*VLOOKUP('Données projet'!$B$16,Paramètres!$A$1:$I$89,3,0)*VLOOKUP('Données projet'!$B$16,Paramètres!$A$1:$I$89,5,0)</f>
        <v>0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466.4945858005575</v>
      </c>
      <c r="FK157" s="62">
        <f t="shared" si="156"/>
        <v>294.45557293177131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6.5573336341564523E-18</v>
      </c>
      <c r="FT157" s="24">
        <f t="shared" si="184"/>
        <v>6.5573336341564523E-18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>
        <f>FZ157*VLOOKUP('Données projet'!$B$17,Paramètres!$A$1:$I$89,3,0)*VLOOKUP('Données projet'!$B$17,Paramètres!$A$1:$I$89,5,0)</f>
        <v>0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459.64120566196812</v>
      </c>
      <c r="GF157" s="62">
        <f t="shared" si="158"/>
        <v>290.39826583283588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2.8421709430404007E-14</v>
      </c>
      <c r="O158" s="14">
        <f>N158*VLOOKUP('Données projet'!$B$9,Paramètres!$A$1:$I$89,3,0)*VLOOKUP('Données projet'!$B$9,Paramètres!$A$1:$I$89,5,0)</f>
        <v>1.5518253349000589E-14</v>
      </c>
      <c r="P158" s="14">
        <f t="shared" si="141"/>
        <v>2.8958815659671149E-13</v>
      </c>
      <c r="Q158" s="22">
        <f t="shared" si="162"/>
        <v>5.3139366398878183E-13</v>
      </c>
      <c r="R158" s="62">
        <f t="shared" si="109"/>
        <v>293.33333333333383</v>
      </c>
      <c r="S158" s="62">
        <f ca="1">AVERAGE(OFFSET($R$3,0,0,'Données projet'!$E$9+1,1))-AVERAGE(OFFSET($H$3,0,0,'Données projet'!$E$9+1,1))</f>
        <v>170.27677128684815</v>
      </c>
      <c r="T158" s="62">
        <f t="shared" si="142"/>
        <v>243.47439640666289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0.25804622269949012</v>
      </c>
      <c r="AB158" s="23">
        <f>EXP(-LN(2)/2)*AB157+(1-EXP(-LN(2)/2))/(LN(2)/2)*V158*Y158*VLOOKUP('Données projet'!$B$9,Paramètres!$A$1:$I$89,3,0)*0.475*44/12</f>
        <v>1.1673558134830196E-18</v>
      </c>
      <c r="AC158" s="24">
        <f t="shared" si="163"/>
        <v>0.25804622269949012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-9.9316821433603781E-14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327.826081588335</v>
      </c>
      <c r="AO158" s="62">
        <f t="shared" si="144"/>
        <v>348.84706693879735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0.49513362855127446</v>
      </c>
      <c r="AW158" s="23">
        <f>EXP(-LN(2)/2)*AW157+(1-EXP(-LN(2)/2))/(LN(2)/2)*AQ158*AT158*VLOOKUP('Données projet'!$B$10,Paramètres!$A$1:$I$89,3,0)*0.475*44/12</f>
        <v>2.2838059876355193E-18</v>
      </c>
      <c r="AX158" s="23">
        <f t="shared" si="166"/>
        <v>0.49513362855127446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-3.4106051316484809E-13</v>
      </c>
      <c r="BE158" s="14">
        <f>BD158*VLOOKUP('Données projet'!$B$11,Paramètres!$A$1:$I$89,3,0)*VLOOKUP('Données projet'!$B$11,Paramètres!$A$1:$I$89,5,0)</f>
        <v>-2.5006556825246659E-13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376.5422416541544</v>
      </c>
      <c r="BJ158" s="62">
        <f t="shared" si="146"/>
        <v>365.76175372075869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2.0793078902605808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2.0793078902605808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405.09126081846171</v>
      </c>
      <c r="CE158" s="62">
        <f t="shared" si="148"/>
        <v>534.22295841722166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0.82861982701020787</v>
      </c>
      <c r="CL158" s="23">
        <f>EXP(-LN(2)/25)*CL157+(1-EXP(-LN(2)/25))/(LN(2)/25)*Calculateur!CG158*Calculateur!CI158*VLOOKUP('Données projet'!$B$12,Paramètres!$A$1:$I$89,3,0)*0.475*44/12</f>
        <v>0.43813644337245722</v>
      </c>
      <c r="CM158" s="23">
        <f>EXP(-LN(2)/2)*CM157+(1-EXP(-LN(2)/2))/(LN(2)/2)*CG158*CJ158*VLOOKUP('Données projet'!$B$12,Paramètres!$A$1:$I$89,3,0)*0.475*44/12</f>
        <v>2.4374337418992061E-19</v>
      </c>
      <c r="CN158" s="24">
        <f t="shared" si="172"/>
        <v>1.2667562703826651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244.82163392718377</v>
      </c>
      <c r="CZ158" s="62">
        <f t="shared" si="150"/>
        <v>342.30266518164211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0.49703155201101418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0.49703155201101418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-2.2737367544323206E-13</v>
      </c>
      <c r="DP158" s="18">
        <f>DO158*VLOOKUP('Données projet'!$B$14,Paramètres!$A$1:$I$89,3,0)*VLOOKUP('Données projet'!$B$14,Paramètres!$A$1:$I$89,5,0)</f>
        <v>-1.8089849618263545E-13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298.89893065707554</v>
      </c>
      <c r="DU158" s="62">
        <f t="shared" si="152"/>
        <v>294.28794439094878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439.06700232017681</v>
      </c>
      <c r="EP158" s="62">
        <f t="shared" si="154"/>
        <v>278.21741231699929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0.28532627030215796</v>
      </c>
      <c r="EX158" s="23">
        <f>EXP(-LN(2)/2)*EX157+(1-EXP(-LN(2)/2))/(LN(2)/2)*ER158*EU158*VLOOKUP('Données projet'!$B$15,Paramètres!$A$1:$I$89,3,0)*0.475*44/12</f>
        <v>2.286105930673295E-18</v>
      </c>
      <c r="EY158" s="24">
        <f t="shared" si="181"/>
        <v>0.28532627030215796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>
        <f>FE158*VLOOKUP('Données projet'!$B$16,Paramètres!$A$1:$I$89,3,0)*VLOOKUP('Données projet'!$B$16,Paramètres!$A$1:$I$89,5,0)</f>
        <v>0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466.4945858005575</v>
      </c>
      <c r="FK158" s="62">
        <f t="shared" si="156"/>
        <v>294.45557293177131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4.6367350792146549E-18</v>
      </c>
      <c r="FT158" s="24">
        <f t="shared" si="184"/>
        <v>4.6367350792146549E-18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>
        <f>FZ158*VLOOKUP('Données projet'!$B$17,Paramètres!$A$1:$I$89,3,0)*VLOOKUP('Données projet'!$B$17,Paramètres!$A$1:$I$89,5,0)</f>
        <v>0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459.64120566196812</v>
      </c>
      <c r="GF158" s="62">
        <f t="shared" si="158"/>
        <v>290.39826583283588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2.8421709430404007E-14</v>
      </c>
      <c r="O159" s="14">
        <f>N159*VLOOKUP('Données projet'!$B$9,Paramètres!$A$1:$I$89,3,0)*VLOOKUP('Données projet'!$B$9,Paramètres!$A$1:$I$89,5,0)</f>
        <v>1.5518253349000589E-14</v>
      </c>
      <c r="P159" s="14">
        <f t="shared" si="141"/>
        <v>2.8958815659671149E-13</v>
      </c>
      <c r="Q159" s="22">
        <f t="shared" si="162"/>
        <v>5.3139366398878183E-13</v>
      </c>
      <c r="R159" s="62">
        <f t="shared" si="109"/>
        <v>293.33333333333383</v>
      </c>
      <c r="S159" s="62">
        <f ca="1">AVERAGE(OFFSET($R$3,0,0,'Données projet'!$E$9+1,1))-AVERAGE(OFFSET($H$3,0,0,'Données projet'!$E$9+1,1))</f>
        <v>170.27677128684815</v>
      </c>
      <c r="T159" s="62">
        <f t="shared" si="142"/>
        <v>243.47439640666289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0.25098993516971146</v>
      </c>
      <c r="AB159" s="23">
        <f>EXP(-LN(2)/2)*AB158+(1-EXP(-LN(2)/2))/(LN(2)/2)*V159*Y159*VLOOKUP('Données projet'!$B$9,Paramètres!$A$1:$I$89,3,0)*0.475*44/12</f>
        <v>8.2544521177138175E-19</v>
      </c>
      <c r="AC159" s="24">
        <f t="shared" si="163"/>
        <v>0.25098993516971146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-9.9316821433603781E-14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327.826081588335</v>
      </c>
      <c r="AO159" s="62">
        <f t="shared" si="144"/>
        <v>348.84706693879735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0.48159417344059396</v>
      </c>
      <c r="AW159" s="23">
        <f>EXP(-LN(2)/2)*AW158+(1-EXP(-LN(2)/2))/(LN(2)/2)*AQ159*AT159*VLOOKUP('Données projet'!$B$10,Paramètres!$A$1:$I$89,3,0)*0.475*44/12</f>
        <v>1.6148947007715162E-18</v>
      </c>
      <c r="AX159" s="23">
        <f t="shared" si="166"/>
        <v>0.48159417344059396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-3.4106051316484809E-13</v>
      </c>
      <c r="BE159" s="14">
        <f>BD159*VLOOKUP('Données projet'!$B$11,Paramètres!$A$1:$I$89,3,0)*VLOOKUP('Données projet'!$B$11,Paramètres!$A$1:$I$89,5,0)</f>
        <v>-2.5006556825246659E-13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376.5422416541544</v>
      </c>
      <c r="BJ159" s="62">
        <f t="shared" si="146"/>
        <v>365.76175372075869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2.0385339307851544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2.0385339307851544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405.09126081846171</v>
      </c>
      <c r="CE159" s="62">
        <f t="shared" si="148"/>
        <v>534.22295841722166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0.81237109761072723</v>
      </c>
      <c r="CL159" s="23">
        <f>EXP(-LN(2)/25)*CL158+(1-EXP(-LN(2)/25))/(LN(2)/25)*Calculateur!CG159*Calculateur!CI159*VLOOKUP('Données projet'!$B$12,Paramètres!$A$1:$I$89,3,0)*0.475*44/12</f>
        <v>0.4261555792878432</v>
      </c>
      <c r="CM159" s="23">
        <f>EXP(-LN(2)/2)*CM158+(1-EXP(-LN(2)/2))/(LN(2)/2)*CG159*CJ159*VLOOKUP('Données projet'!$B$12,Paramètres!$A$1:$I$89,3,0)*0.475*44/12</f>
        <v>1.7235259275898297E-19</v>
      </c>
      <c r="CN159" s="24">
        <f t="shared" si="172"/>
        <v>1.2385266768985703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244.82163392718377</v>
      </c>
      <c r="CZ159" s="62">
        <f t="shared" si="150"/>
        <v>342.30266518164211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0.48728506643539043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0.48728506643539043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-2.2737367544323206E-13</v>
      </c>
      <c r="DP159" s="18">
        <f>DO159*VLOOKUP('Données projet'!$B$14,Paramètres!$A$1:$I$89,3,0)*VLOOKUP('Données projet'!$B$14,Paramètres!$A$1:$I$89,5,0)</f>
        <v>-1.8089849618263545E-13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298.89893065707554</v>
      </c>
      <c r="DU159" s="62">
        <f t="shared" si="152"/>
        <v>294.28794439094878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439.06700232017681</v>
      </c>
      <c r="EP159" s="62">
        <f t="shared" si="154"/>
        <v>278.21741231699929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0.27752400843608904</v>
      </c>
      <c r="EX159" s="23">
        <f>EXP(-LN(2)/2)*EX158+(1-EXP(-LN(2)/2))/(LN(2)/2)*ER159*EU159*VLOOKUP('Données projet'!$B$15,Paramètres!$A$1:$I$89,3,0)*0.475*44/12</f>
        <v>1.6165210060898702E-18</v>
      </c>
      <c r="EY159" s="24">
        <f t="shared" si="181"/>
        <v>0.27752400843608904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>
        <f>FE159*VLOOKUP('Données projet'!$B$16,Paramètres!$A$1:$I$89,3,0)*VLOOKUP('Données projet'!$B$16,Paramètres!$A$1:$I$89,5,0)</f>
        <v>0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466.4945858005575</v>
      </c>
      <c r="FK159" s="62">
        <f t="shared" si="156"/>
        <v>294.45557293177131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3.2786668170782262E-18</v>
      </c>
      <c r="FT159" s="24">
        <f t="shared" si="184"/>
        <v>3.2786668170782262E-18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>
        <f>FZ159*VLOOKUP('Données projet'!$B$17,Paramètres!$A$1:$I$89,3,0)*VLOOKUP('Données projet'!$B$17,Paramètres!$A$1:$I$89,5,0)</f>
        <v>0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459.64120566196812</v>
      </c>
      <c r="GF159" s="62">
        <f t="shared" si="158"/>
        <v>290.39826583283588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2.8421709430404007E-14</v>
      </c>
      <c r="O160" s="14">
        <f>N160*VLOOKUP('Données projet'!$B$9,Paramètres!$A$1:$I$89,3,0)*VLOOKUP('Données projet'!$B$9,Paramètres!$A$1:$I$89,5,0)</f>
        <v>1.5518253349000589E-14</v>
      </c>
      <c r="P160" s="14">
        <f t="shared" si="141"/>
        <v>2.8958815659671149E-13</v>
      </c>
      <c r="Q160" s="22">
        <f t="shared" si="162"/>
        <v>5.3139366398878183E-13</v>
      </c>
      <c r="R160" s="62">
        <f t="shared" si="109"/>
        <v>293.33333333333383</v>
      </c>
      <c r="S160" s="62">
        <f ca="1">AVERAGE(OFFSET($R$3,0,0,'Données projet'!$E$9+1,1))-AVERAGE(OFFSET($H$3,0,0,'Données projet'!$E$9+1,1))</f>
        <v>170.27677128684815</v>
      </c>
      <c r="T160" s="62">
        <f t="shared" si="142"/>
        <v>243.47439640666289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0.24412660219350865</v>
      </c>
      <c r="AB160" s="23">
        <f>EXP(-LN(2)/2)*AB159+(1-EXP(-LN(2)/2))/(LN(2)/2)*V160*Y160*VLOOKUP('Données projet'!$B$9,Paramètres!$A$1:$I$89,3,0)*0.475*44/12</f>
        <v>5.8367790674150981E-19</v>
      </c>
      <c r="AC160" s="24">
        <f t="shared" si="163"/>
        <v>0.24412660219350865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-9.9316821433603781E-14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327.826081588335</v>
      </c>
      <c r="AO160" s="62">
        <f t="shared" si="144"/>
        <v>348.84706693879735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0.46842495544192403</v>
      </c>
      <c r="AW160" s="23">
        <f>EXP(-LN(2)/2)*AW159+(1-EXP(-LN(2)/2))/(LN(2)/2)*AQ160*AT160*VLOOKUP('Données projet'!$B$10,Paramètres!$A$1:$I$89,3,0)*0.475*44/12</f>
        <v>1.1419029938177596E-18</v>
      </c>
      <c r="AX160" s="23">
        <f t="shared" si="166"/>
        <v>0.46842495544192403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-3.4106051316484809E-13</v>
      </c>
      <c r="BE160" s="14">
        <f>BD160*VLOOKUP('Données projet'!$B$11,Paramètres!$A$1:$I$89,3,0)*VLOOKUP('Données projet'!$B$11,Paramètres!$A$1:$I$89,5,0)</f>
        <v>-2.5006556825246659E-13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376.5422416541544</v>
      </c>
      <c r="BJ160" s="62">
        <f t="shared" si="146"/>
        <v>365.76175372075869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1.9985595237853815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1.9985595237853815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405.09126081846171</v>
      </c>
      <c r="CE160" s="62">
        <f t="shared" si="148"/>
        <v>534.22295841722166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0.79644099588402406</v>
      </c>
      <c r="CL160" s="23">
        <f>EXP(-LN(2)/25)*CL159+(1-EXP(-LN(2)/25))/(LN(2)/25)*Calculateur!CG160*Calculateur!CI160*VLOOKUP('Données projet'!$B$12,Paramètres!$A$1:$I$89,3,0)*0.475*44/12</f>
        <v>0.41450233256166918</v>
      </c>
      <c r="CM160" s="23">
        <f>EXP(-LN(2)/2)*CM159+(1-EXP(-LN(2)/2))/(LN(2)/2)*CG160*CJ160*VLOOKUP('Données projet'!$B$12,Paramètres!$A$1:$I$89,3,0)*0.475*44/12</f>
        <v>1.218716870949603E-19</v>
      </c>
      <c r="CN160" s="24">
        <f t="shared" si="172"/>
        <v>1.2109433284456932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244.82163392718377</v>
      </c>
      <c r="CZ160" s="62">
        <f t="shared" si="150"/>
        <v>342.30266518164211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0.47772970349713545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0.47772970349713545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-2.2737367544323206E-13</v>
      </c>
      <c r="DP160" s="18">
        <f>DO160*VLOOKUP('Données projet'!$B$14,Paramètres!$A$1:$I$89,3,0)*VLOOKUP('Données projet'!$B$14,Paramètres!$A$1:$I$89,5,0)</f>
        <v>-1.8089849618263545E-13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298.89893065707554</v>
      </c>
      <c r="DU160" s="62">
        <f t="shared" si="152"/>
        <v>294.28794439094878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439.06700232017681</v>
      </c>
      <c r="EP160" s="62">
        <f t="shared" si="154"/>
        <v>278.21741231699929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0.26993509983105085</v>
      </c>
      <c r="EX160" s="23">
        <f>EXP(-LN(2)/2)*EX159+(1-EXP(-LN(2)/2))/(LN(2)/2)*ER160*EU160*VLOOKUP('Données projet'!$B$15,Paramètres!$A$1:$I$89,3,0)*0.475*44/12</f>
        <v>1.1430529653366475E-18</v>
      </c>
      <c r="EY160" s="24">
        <f t="shared" si="181"/>
        <v>0.26993509983105085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>
        <f>FE160*VLOOKUP('Données projet'!$B$16,Paramètres!$A$1:$I$89,3,0)*VLOOKUP('Données projet'!$B$16,Paramètres!$A$1:$I$89,5,0)</f>
        <v>0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466.4945858005575</v>
      </c>
      <c r="FK160" s="62">
        <f t="shared" si="156"/>
        <v>294.45557293177131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2.3183675396073275E-18</v>
      </c>
      <c r="FT160" s="24">
        <f t="shared" si="184"/>
        <v>2.3183675396073275E-18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>
        <f>FZ160*VLOOKUP('Données projet'!$B$17,Paramètres!$A$1:$I$89,3,0)*VLOOKUP('Données projet'!$B$17,Paramètres!$A$1:$I$89,5,0)</f>
        <v>0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459.64120566196812</v>
      </c>
      <c r="GF160" s="62">
        <f t="shared" si="158"/>
        <v>290.39826583283588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2.8421709430404007E-14</v>
      </c>
      <c r="O161" s="14">
        <f>N161*VLOOKUP('Données projet'!$B$9,Paramètres!$A$1:$I$89,3,0)*VLOOKUP('Données projet'!$B$9,Paramètres!$A$1:$I$89,5,0)</f>
        <v>1.5518253349000589E-14</v>
      </c>
      <c r="P161" s="14">
        <f t="shared" si="141"/>
        <v>2.8958815659671149E-13</v>
      </c>
      <c r="Q161" s="22">
        <f t="shared" si="162"/>
        <v>5.3139366398878183E-13</v>
      </c>
      <c r="R161" s="62">
        <f t="shared" si="109"/>
        <v>293.33333333333383</v>
      </c>
      <c r="S161" s="62">
        <f ca="1">AVERAGE(OFFSET($R$3,0,0,'Données projet'!$E$9+1,1))-AVERAGE(OFFSET($H$3,0,0,'Données projet'!$E$9+1,1))</f>
        <v>170.27677128684815</v>
      </c>
      <c r="T161" s="62">
        <f t="shared" si="142"/>
        <v>243.47439640666289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0.23745094741846712</v>
      </c>
      <c r="AB161" s="23">
        <f>EXP(-LN(2)/2)*AB160+(1-EXP(-LN(2)/2))/(LN(2)/2)*V161*Y161*VLOOKUP('Données projet'!$B$9,Paramètres!$A$1:$I$89,3,0)*0.475*44/12</f>
        <v>4.1272260588569088E-19</v>
      </c>
      <c r="AC161" s="24">
        <f t="shared" si="163"/>
        <v>0.23745094741846712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-9.9316821433603781E-14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327.826081588335</v>
      </c>
      <c r="AO161" s="62">
        <f t="shared" si="144"/>
        <v>348.84706693879735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0.45561585040196678</v>
      </c>
      <c r="AW161" s="23">
        <f>EXP(-LN(2)/2)*AW160+(1-EXP(-LN(2)/2))/(LN(2)/2)*AQ161*AT161*VLOOKUP('Données projet'!$B$10,Paramètres!$A$1:$I$89,3,0)*0.475*44/12</f>
        <v>8.074473503857581E-19</v>
      </c>
      <c r="AX161" s="23">
        <f t="shared" si="166"/>
        <v>0.45561585040196678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-3.4106051316484809E-13</v>
      </c>
      <c r="BE161" s="14">
        <f>BD161*VLOOKUP('Données projet'!$B$11,Paramètres!$A$1:$I$89,3,0)*VLOOKUP('Données projet'!$B$11,Paramètres!$A$1:$I$89,5,0)</f>
        <v>-2.5006556825246659E-13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376.5422416541544</v>
      </c>
      <c r="BJ161" s="62">
        <f t="shared" si="146"/>
        <v>365.76175372075869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1.9593689905248932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1.9593689905248932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405.09126081846171</v>
      </c>
      <c r="CE161" s="62">
        <f t="shared" si="148"/>
        <v>534.22295841722166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0.78082327373577898</v>
      </c>
      <c r="CL161" s="23">
        <f>EXP(-LN(2)/25)*CL160+(1-EXP(-LN(2)/25))/(LN(2)/25)*Calculateur!CG161*Calculateur!CI161*VLOOKUP('Données projet'!$B$12,Paramètres!$A$1:$I$89,3,0)*0.475*44/12</f>
        <v>0.40316774448004</v>
      </c>
      <c r="CM161" s="23">
        <f>EXP(-LN(2)/2)*CM160+(1-EXP(-LN(2)/2))/(LN(2)/2)*CG161*CJ161*VLOOKUP('Données projet'!$B$12,Paramètres!$A$1:$I$89,3,0)*0.475*44/12</f>
        <v>8.6176296379491485E-20</v>
      </c>
      <c r="CN161" s="24">
        <f t="shared" si="172"/>
        <v>1.1839910182158189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244.82163392718377</v>
      </c>
      <c r="CZ161" s="62">
        <f t="shared" si="150"/>
        <v>342.30266518164211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0.46836171539790372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0.46836171539790372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-2.2737367544323206E-13</v>
      </c>
      <c r="DP161" s="18">
        <f>DO161*VLOOKUP('Données projet'!$B$14,Paramètres!$A$1:$I$89,3,0)*VLOOKUP('Données projet'!$B$14,Paramètres!$A$1:$I$89,5,0)</f>
        <v>-1.8089849618263545E-13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298.89893065707554</v>
      </c>
      <c r="DU161" s="62">
        <f t="shared" si="152"/>
        <v>294.28794439094878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439.06700232017681</v>
      </c>
      <c r="EP161" s="62">
        <f t="shared" si="154"/>
        <v>278.21741231699929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0.2625537103309008</v>
      </c>
      <c r="EX161" s="23">
        <f>EXP(-LN(2)/2)*EX160+(1-EXP(-LN(2)/2))/(LN(2)/2)*ER161*EU161*VLOOKUP('Données projet'!$B$15,Paramètres!$A$1:$I$89,3,0)*0.475*44/12</f>
        <v>8.082605030449351E-19</v>
      </c>
      <c r="EY161" s="24">
        <f t="shared" si="181"/>
        <v>0.2625537103309008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>
        <f>FE161*VLOOKUP('Données projet'!$B$16,Paramètres!$A$1:$I$89,3,0)*VLOOKUP('Données projet'!$B$16,Paramètres!$A$1:$I$89,5,0)</f>
        <v>0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466.4945858005575</v>
      </c>
      <c r="FK161" s="62">
        <f t="shared" si="156"/>
        <v>294.45557293177131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1.6393334085391131E-18</v>
      </c>
      <c r="FT161" s="24">
        <f t="shared" si="184"/>
        <v>1.6393334085391131E-18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>
        <f>FZ161*VLOOKUP('Données projet'!$B$17,Paramètres!$A$1:$I$89,3,0)*VLOOKUP('Données projet'!$B$17,Paramètres!$A$1:$I$89,5,0)</f>
        <v>0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459.64120566196812</v>
      </c>
      <c r="GF161" s="62">
        <f t="shared" si="158"/>
        <v>290.39826583283588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2.8421709430404007E-14</v>
      </c>
      <c r="O162" s="14">
        <f>N162*VLOOKUP('Données projet'!$B$9,Paramètres!$A$1:$I$89,3,0)*VLOOKUP('Données projet'!$B$9,Paramètres!$A$1:$I$89,5,0)</f>
        <v>1.5518253349000589E-14</v>
      </c>
      <c r="P162" s="14">
        <f t="shared" si="141"/>
        <v>2.8958815659671149E-13</v>
      </c>
      <c r="Q162" s="22">
        <f t="shared" si="162"/>
        <v>5.3139366398878183E-13</v>
      </c>
      <c r="R162" s="62">
        <f t="shared" si="109"/>
        <v>293.33333333333383</v>
      </c>
      <c r="S162" s="62">
        <f ca="1">AVERAGE(OFFSET($R$3,0,0,'Données projet'!$E$9+1,1))-AVERAGE(OFFSET($H$3,0,0,'Données projet'!$E$9+1,1))</f>
        <v>170.27677128684815</v>
      </c>
      <c r="T162" s="62">
        <f t="shared" si="142"/>
        <v>243.47439640666289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0.23095783877430651</v>
      </c>
      <c r="AB162" s="23">
        <f>EXP(-LN(2)/2)*AB161+(1-EXP(-LN(2)/2))/(LN(2)/2)*V162*Y162*VLOOKUP('Données projet'!$B$9,Paramètres!$A$1:$I$89,3,0)*0.475*44/12</f>
        <v>2.9183895337075491E-19</v>
      </c>
      <c r="AC162" s="24">
        <f t="shared" si="163"/>
        <v>0.23095783877430651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-9.9316821433603781E-14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327.826081588335</v>
      </c>
      <c r="AO162" s="62">
        <f t="shared" si="144"/>
        <v>348.84706693879735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0.44315701101292876</v>
      </c>
      <c r="AW162" s="23">
        <f>EXP(-LN(2)/2)*AW161+(1-EXP(-LN(2)/2))/(LN(2)/2)*AQ162*AT162*VLOOKUP('Données projet'!$B$10,Paramètres!$A$1:$I$89,3,0)*0.475*44/12</f>
        <v>5.7095149690887981E-19</v>
      </c>
      <c r="AX162" s="23">
        <f t="shared" si="166"/>
        <v>0.44315701101292876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-3.4106051316484809E-13</v>
      </c>
      <c r="BE162" s="14">
        <f>BD162*VLOOKUP('Données projet'!$B$11,Paramètres!$A$1:$I$89,3,0)*VLOOKUP('Données projet'!$B$11,Paramètres!$A$1:$I$89,5,0)</f>
        <v>-2.5006556825246659E-13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376.5422416541544</v>
      </c>
      <c r="BJ162" s="62">
        <f t="shared" si="146"/>
        <v>365.76175372075869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1.9209469597177782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1.9209469597177782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405.09126081846171</v>
      </c>
      <c r="CE162" s="62">
        <f t="shared" si="148"/>
        <v>534.22295841722166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0.76551180559299103</v>
      </c>
      <c r="CL162" s="23">
        <f>EXP(-LN(2)/25)*CL161+(1-EXP(-LN(2)/25))/(LN(2)/25)*Calculateur!CG162*Calculateur!CI162*VLOOKUP('Données projet'!$B$12,Paramètres!$A$1:$I$89,3,0)*0.475*44/12</f>
        <v>0.39214310130556307</v>
      </c>
      <c r="CM162" s="23">
        <f>EXP(-LN(2)/2)*CM161+(1-EXP(-LN(2)/2))/(LN(2)/2)*CG162*CJ162*VLOOKUP('Données projet'!$B$12,Paramètres!$A$1:$I$89,3,0)*0.475*44/12</f>
        <v>6.0935843547480152E-20</v>
      </c>
      <c r="CN162" s="24">
        <f t="shared" si="172"/>
        <v>1.157654906898554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244.82163392718377</v>
      </c>
      <c r="CZ162" s="62">
        <f t="shared" si="150"/>
        <v>342.30266518164211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0.45917742783138943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0.45917742783138943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-2.2737367544323206E-13</v>
      </c>
      <c r="DP162" s="18">
        <f>DO162*VLOOKUP('Données projet'!$B$14,Paramètres!$A$1:$I$89,3,0)*VLOOKUP('Données projet'!$B$14,Paramètres!$A$1:$I$89,5,0)</f>
        <v>-1.8089849618263545E-13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298.89893065707554</v>
      </c>
      <c r="DU162" s="62">
        <f t="shared" si="152"/>
        <v>294.28794439094878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439.06700232017681</v>
      </c>
      <c r="EP162" s="62">
        <f t="shared" si="154"/>
        <v>278.21741231699929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0.25537416531480278</v>
      </c>
      <c r="EX162" s="23">
        <f>EXP(-LN(2)/2)*EX161+(1-EXP(-LN(2)/2))/(LN(2)/2)*ER162*EU162*VLOOKUP('Données projet'!$B$15,Paramètres!$A$1:$I$89,3,0)*0.475*44/12</f>
        <v>5.7152648266832375E-19</v>
      </c>
      <c r="EY162" s="24">
        <f t="shared" si="181"/>
        <v>0.25537416531480278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>
        <f>FE162*VLOOKUP('Données projet'!$B$16,Paramètres!$A$1:$I$89,3,0)*VLOOKUP('Données projet'!$B$16,Paramètres!$A$1:$I$89,5,0)</f>
        <v>0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466.4945858005575</v>
      </c>
      <c r="FK162" s="62">
        <f t="shared" si="156"/>
        <v>294.45557293177131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1.1591837698036637E-18</v>
      </c>
      <c r="FT162" s="24">
        <f t="shared" si="184"/>
        <v>1.1591837698036637E-18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>
        <f>FZ162*VLOOKUP('Données projet'!$B$17,Paramètres!$A$1:$I$89,3,0)*VLOOKUP('Données projet'!$B$17,Paramètres!$A$1:$I$89,5,0)</f>
        <v>0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459.64120566196812</v>
      </c>
      <c r="GF162" s="62">
        <f t="shared" si="158"/>
        <v>290.39826583283588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2.8421709430404007E-14</v>
      </c>
      <c r="O163" s="14">
        <f>N163*VLOOKUP('Données projet'!$B$9,Paramètres!$A$1:$I$89,3,0)*VLOOKUP('Données projet'!$B$9,Paramètres!$A$1:$I$89,5,0)</f>
        <v>1.5518253349000589E-14</v>
      </c>
      <c r="P163" s="14">
        <f t="shared" si="141"/>
        <v>2.8958815659671149E-13</v>
      </c>
      <c r="Q163" s="22">
        <f t="shared" si="162"/>
        <v>5.3139366398878183E-13</v>
      </c>
      <c r="R163" s="62">
        <f t="shared" si="109"/>
        <v>293.33333333333383</v>
      </c>
      <c r="S163" s="62">
        <f ca="1">AVERAGE(OFFSET($R$3,0,0,'Données projet'!$E$9+1,1))-AVERAGE(OFFSET($H$3,0,0,'Données projet'!$E$9+1,1))</f>
        <v>170.27677128684815</v>
      </c>
      <c r="T163" s="62">
        <f t="shared" si="142"/>
        <v>243.47439640666289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0.22464228452747823</v>
      </c>
      <c r="AB163" s="23">
        <f>EXP(-LN(2)/2)*AB162+(1-EXP(-LN(2)/2))/(LN(2)/2)*V163*Y163*VLOOKUP('Données projet'!$B$9,Paramètres!$A$1:$I$89,3,0)*0.475*44/12</f>
        <v>2.0636130294284544E-19</v>
      </c>
      <c r="AC163" s="24">
        <f t="shared" si="163"/>
        <v>0.22464228452747823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-9.9316821433603781E-14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327.826081588335</v>
      </c>
      <c r="AO163" s="62">
        <f t="shared" si="144"/>
        <v>348.84706693879735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0.43103885924216584</v>
      </c>
      <c r="AW163" s="23">
        <f>EXP(-LN(2)/2)*AW162+(1-EXP(-LN(2)/2))/(LN(2)/2)*AQ163*AT163*VLOOKUP('Données projet'!$B$10,Paramètres!$A$1:$I$89,3,0)*0.475*44/12</f>
        <v>4.0372367519287905E-19</v>
      </c>
      <c r="AX163" s="23">
        <f t="shared" si="166"/>
        <v>0.43103885924216584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-3.4106051316484809E-13</v>
      </c>
      <c r="BE163" s="14">
        <f>BD163*VLOOKUP('Données projet'!$B$11,Paramètres!$A$1:$I$89,3,0)*VLOOKUP('Données projet'!$B$11,Paramètres!$A$1:$I$89,5,0)</f>
        <v>-2.5006556825246659E-13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376.5422416541544</v>
      </c>
      <c r="BJ163" s="62">
        <f t="shared" si="146"/>
        <v>365.76175372075869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1.883278361499666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1.883278361499666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405.09126081846171</v>
      </c>
      <c r="CE163" s="62">
        <f t="shared" si="148"/>
        <v>534.22295841722166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0.75050058600140979</v>
      </c>
      <c r="CL163" s="23">
        <f>EXP(-LN(2)/25)*CL162+(1-EXP(-LN(2)/25))/(LN(2)/25)*Calculateur!CG163*Calculateur!CI163*VLOOKUP('Données projet'!$B$12,Paramètres!$A$1:$I$89,3,0)*0.475*44/12</f>
        <v>0.381419927578453</v>
      </c>
      <c r="CM163" s="23">
        <f>EXP(-LN(2)/2)*CM162+(1-EXP(-LN(2)/2))/(LN(2)/2)*CG163*CJ163*VLOOKUP('Données projet'!$B$12,Paramètres!$A$1:$I$89,3,0)*0.475*44/12</f>
        <v>4.3088148189745742E-20</v>
      </c>
      <c r="CN163" s="24">
        <f t="shared" si="172"/>
        <v>1.1319205135798627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244.82163392718377</v>
      </c>
      <c r="CZ163" s="62">
        <f t="shared" si="150"/>
        <v>342.30266518164211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0.45017323854219221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0.45017323854219221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-2.2737367544323206E-13</v>
      </c>
      <c r="DP163" s="18">
        <f>DO163*VLOOKUP('Données projet'!$B$14,Paramètres!$A$1:$I$89,3,0)*VLOOKUP('Données projet'!$B$14,Paramètres!$A$1:$I$89,5,0)</f>
        <v>-1.8089849618263545E-13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298.89893065707554</v>
      </c>
      <c r="DU163" s="62">
        <f t="shared" si="152"/>
        <v>294.28794439094878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439.06700232017681</v>
      </c>
      <c r="EP163" s="62">
        <f t="shared" si="154"/>
        <v>278.21741231699929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0.2483909453347258</v>
      </c>
      <c r="EX163" s="23">
        <f>EXP(-LN(2)/2)*EX162+(1-EXP(-LN(2)/2))/(LN(2)/2)*ER163*EU163*VLOOKUP('Données projet'!$B$15,Paramètres!$A$1:$I$89,3,0)*0.475*44/12</f>
        <v>4.0413025152246755E-19</v>
      </c>
      <c r="EY163" s="24">
        <f t="shared" si="181"/>
        <v>0.2483909453347258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>
        <f>FE163*VLOOKUP('Données projet'!$B$16,Paramètres!$A$1:$I$89,3,0)*VLOOKUP('Données projet'!$B$16,Paramètres!$A$1:$I$89,5,0)</f>
        <v>0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466.4945858005575</v>
      </c>
      <c r="FK163" s="62">
        <f t="shared" si="156"/>
        <v>294.45557293177131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8.1966670426955654E-19</v>
      </c>
      <c r="FT163" s="24">
        <f t="shared" si="184"/>
        <v>8.1966670426955654E-19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>
        <f>FZ163*VLOOKUP('Données projet'!$B$17,Paramètres!$A$1:$I$89,3,0)*VLOOKUP('Données projet'!$B$17,Paramètres!$A$1:$I$89,5,0)</f>
        <v>0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459.64120566196812</v>
      </c>
      <c r="GF163" s="62">
        <f t="shared" si="158"/>
        <v>290.39826583283588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2.8421709430404007E-14</v>
      </c>
      <c r="O164" s="14">
        <f>N164*VLOOKUP('Données projet'!$B$9,Paramètres!$A$1:$I$89,3,0)*VLOOKUP('Données projet'!$B$9,Paramètres!$A$1:$I$89,5,0)</f>
        <v>1.5518253349000589E-14</v>
      </c>
      <c r="P164" s="14">
        <f t="shared" si="141"/>
        <v>2.8958815659671149E-13</v>
      </c>
      <c r="Q164" s="22">
        <f t="shared" si="162"/>
        <v>5.3139366398878183E-13</v>
      </c>
      <c r="R164" s="62">
        <f t="shared" si="109"/>
        <v>293.33333333333383</v>
      </c>
      <c r="S164" s="62">
        <f ca="1">AVERAGE(OFFSET($R$3,0,0,'Données projet'!$E$9+1,1))-AVERAGE(OFFSET($H$3,0,0,'Données projet'!$E$9+1,1))</f>
        <v>170.27677128684815</v>
      </c>
      <c r="T164" s="62">
        <f t="shared" si="142"/>
        <v>243.47439640666289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0.21849942944365003</v>
      </c>
      <c r="AB164" s="23">
        <f>EXP(-LN(2)/2)*AB163+(1-EXP(-LN(2)/2))/(LN(2)/2)*V164*Y164*VLOOKUP('Données projet'!$B$9,Paramètres!$A$1:$I$89,3,0)*0.475*44/12</f>
        <v>1.4591947668537745E-19</v>
      </c>
      <c r="AC164" s="24">
        <f t="shared" si="163"/>
        <v>0.21849942944365003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-9.9316821433603781E-14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327.826081588335</v>
      </c>
      <c r="AO164" s="62">
        <f t="shared" si="144"/>
        <v>348.84706693879735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0.41925207896884037</v>
      </c>
      <c r="AW164" s="23">
        <f>EXP(-LN(2)/2)*AW163+(1-EXP(-LN(2)/2))/(LN(2)/2)*AQ164*AT164*VLOOKUP('Données projet'!$B$10,Paramètres!$A$1:$I$89,3,0)*0.475*44/12</f>
        <v>2.8547574845443991E-19</v>
      </c>
      <c r="AX164" s="23">
        <f t="shared" si="166"/>
        <v>0.41925207896884037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-3.4106051316484809E-13</v>
      </c>
      <c r="BE164" s="14">
        <f>BD164*VLOOKUP('Données projet'!$B$11,Paramètres!$A$1:$I$89,3,0)*VLOOKUP('Données projet'!$B$11,Paramètres!$A$1:$I$89,5,0)</f>
        <v>-2.5006556825246659E-13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376.5422416541544</v>
      </c>
      <c r="BJ164" s="62">
        <f t="shared" si="146"/>
        <v>365.76175372075869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1.8463484215170347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1.8463484215170347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405.09126081846171</v>
      </c>
      <c r="CE164" s="62">
        <f t="shared" si="148"/>
        <v>534.22295841722166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0.73578372727007957</v>
      </c>
      <c r="CL164" s="23">
        <f>EXP(-LN(2)/25)*CL163+(1-EXP(-LN(2)/25))/(LN(2)/25)*Calculateur!CG164*Calculateur!CI164*VLOOKUP('Données projet'!$B$12,Paramètres!$A$1:$I$89,3,0)*0.475*44/12</f>
        <v>0.37098997960081798</v>
      </c>
      <c r="CM164" s="23">
        <f>EXP(-LN(2)/2)*CM163+(1-EXP(-LN(2)/2))/(LN(2)/2)*CG164*CJ164*VLOOKUP('Données projet'!$B$12,Paramètres!$A$1:$I$89,3,0)*0.475*44/12</f>
        <v>3.0467921773740076E-20</v>
      </c>
      <c r="CN164" s="24">
        <f t="shared" si="172"/>
        <v>1.1067737068708976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244.82163392718377</v>
      </c>
      <c r="CZ164" s="62">
        <f t="shared" si="150"/>
        <v>342.30266518164211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0.44134561591294297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0.44134561591294297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-2.2737367544323206E-13</v>
      </c>
      <c r="DP164" s="18">
        <f>DO164*VLOOKUP('Données projet'!$B$14,Paramètres!$A$1:$I$89,3,0)*VLOOKUP('Données projet'!$B$14,Paramètres!$A$1:$I$89,5,0)</f>
        <v>-1.8089849618263545E-13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298.89893065707554</v>
      </c>
      <c r="DU164" s="62">
        <f t="shared" si="152"/>
        <v>294.28794439094878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439.06700232017681</v>
      </c>
      <c r="EP164" s="62">
        <f t="shared" si="154"/>
        <v>278.21741231699929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0.24159868187223563</v>
      </c>
      <c r="EX164" s="23">
        <f>EXP(-LN(2)/2)*EX163+(1-EXP(-LN(2)/2))/(LN(2)/2)*ER164*EU164*VLOOKUP('Données projet'!$B$15,Paramètres!$A$1:$I$89,3,0)*0.475*44/12</f>
        <v>2.8576324133416187E-19</v>
      </c>
      <c r="EY164" s="24">
        <f t="shared" si="181"/>
        <v>0.24159868187223563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>
        <f>FE164*VLOOKUP('Données projet'!$B$16,Paramètres!$A$1:$I$89,3,0)*VLOOKUP('Données projet'!$B$16,Paramètres!$A$1:$I$89,5,0)</f>
        <v>0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466.4945858005575</v>
      </c>
      <c r="FK164" s="62">
        <f t="shared" si="156"/>
        <v>294.45557293177131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5.7959188490183187E-19</v>
      </c>
      <c r="FT164" s="24">
        <f t="shared" si="184"/>
        <v>5.7959188490183187E-19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>
        <f>FZ164*VLOOKUP('Données projet'!$B$17,Paramètres!$A$1:$I$89,3,0)*VLOOKUP('Données projet'!$B$17,Paramètres!$A$1:$I$89,5,0)</f>
        <v>0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459.64120566196812</v>
      </c>
      <c r="GF164" s="62">
        <f t="shared" si="158"/>
        <v>290.39826583283588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2.8421709430404007E-14</v>
      </c>
      <c r="O165" s="14">
        <f>N165*VLOOKUP('Données projet'!$B$9,Paramètres!$A$1:$I$89,3,0)*VLOOKUP('Données projet'!$B$9,Paramètres!$A$1:$I$89,5,0)</f>
        <v>1.5518253349000589E-14</v>
      </c>
      <c r="P165" s="14">
        <f t="shared" si="141"/>
        <v>2.8958815659671149E-13</v>
      </c>
      <c r="Q165" s="22">
        <f t="shared" si="162"/>
        <v>5.3139366398878183E-13</v>
      </c>
      <c r="R165" s="62">
        <f t="shared" si="109"/>
        <v>293.33333333333383</v>
      </c>
      <c r="S165" s="62">
        <f ca="1">AVERAGE(OFFSET($R$3,0,0,'Données projet'!$E$9+1,1))-AVERAGE(OFFSET($H$3,0,0,'Données projet'!$E$9+1,1))</f>
        <v>170.27677128684815</v>
      </c>
      <c r="T165" s="62">
        <f t="shared" si="142"/>
        <v>243.47439640666289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0.21252455105512782</v>
      </c>
      <c r="AB165" s="23">
        <f>EXP(-LN(2)/2)*AB164+(1-EXP(-LN(2)/2))/(LN(2)/2)*V165*Y165*VLOOKUP('Données projet'!$B$9,Paramètres!$A$1:$I$89,3,0)*0.475*44/12</f>
        <v>1.0318065147142272E-19</v>
      </c>
      <c r="AC165" s="24">
        <f t="shared" si="163"/>
        <v>0.21252455105512782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-9.9316821433603781E-14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327.826081588335</v>
      </c>
      <c r="AO165" s="62">
        <f t="shared" si="144"/>
        <v>348.84706693879735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0.40778760882192883</v>
      </c>
      <c r="AW165" s="23">
        <f>EXP(-LN(2)/2)*AW164+(1-EXP(-LN(2)/2))/(LN(2)/2)*AQ165*AT165*VLOOKUP('Données projet'!$B$10,Paramètres!$A$1:$I$89,3,0)*0.475*44/12</f>
        <v>2.0186183759643952E-19</v>
      </c>
      <c r="AX165" s="23">
        <f t="shared" si="166"/>
        <v>0.40778760882192883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-3.4106051316484809E-13</v>
      </c>
      <c r="BE165" s="14">
        <f>BD165*VLOOKUP('Données projet'!$B$11,Paramètres!$A$1:$I$89,3,0)*VLOOKUP('Données projet'!$B$11,Paramètres!$A$1:$I$89,5,0)</f>
        <v>-2.5006556825246659E-13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376.5422416541544</v>
      </c>
      <c r="BJ165" s="62">
        <f t="shared" si="146"/>
        <v>365.76175372075869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1.8101426551324236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1.8101426551324236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405.09126081846171</v>
      </c>
      <c r="CE165" s="62">
        <f t="shared" si="148"/>
        <v>534.22295841722166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0.72135545716207328</v>
      </c>
      <c r="CL165" s="23">
        <f>EXP(-LN(2)/25)*CL164+(1-EXP(-LN(2)/25))/(LN(2)/25)*Calculateur!CG165*Calculateur!CI165*VLOOKUP('Données projet'!$B$12,Paramètres!$A$1:$I$89,3,0)*0.475*44/12</f>
        <v>0.36084523909911848</v>
      </c>
      <c r="CM165" s="23">
        <f>EXP(-LN(2)/2)*CM164+(1-EXP(-LN(2)/2))/(LN(2)/2)*CG165*CJ165*VLOOKUP('Données projet'!$B$12,Paramètres!$A$1:$I$89,3,0)*0.475*44/12</f>
        <v>2.1544074094872871E-20</v>
      </c>
      <c r="CN165" s="24">
        <f t="shared" si="172"/>
        <v>1.0822006962611916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244.82163392718377</v>
      </c>
      <c r="CZ165" s="62">
        <f t="shared" si="150"/>
        <v>342.30266518164211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0.43269109757913515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0.43269109757913515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-2.2737367544323206E-13</v>
      </c>
      <c r="DP165" s="18">
        <f>DO165*VLOOKUP('Données projet'!$B$14,Paramètres!$A$1:$I$89,3,0)*VLOOKUP('Données projet'!$B$14,Paramètres!$A$1:$I$89,5,0)</f>
        <v>-1.8089849618263545E-13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298.89893065707554</v>
      </c>
      <c r="DU165" s="62">
        <f t="shared" si="152"/>
        <v>294.28794439094878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439.06700232017681</v>
      </c>
      <c r="EP165" s="62">
        <f t="shared" si="154"/>
        <v>278.21741231699929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0.23499215321131683</v>
      </c>
      <c r="EX165" s="23">
        <f>EXP(-LN(2)/2)*EX164+(1-EXP(-LN(2)/2))/(LN(2)/2)*ER165*EU165*VLOOKUP('Données projet'!$B$15,Paramètres!$A$1:$I$89,3,0)*0.475*44/12</f>
        <v>2.0206512576123377E-19</v>
      </c>
      <c r="EY165" s="24">
        <f t="shared" si="181"/>
        <v>0.23499215321131683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>
        <f>FE165*VLOOKUP('Données projet'!$B$16,Paramètres!$A$1:$I$89,3,0)*VLOOKUP('Données projet'!$B$16,Paramètres!$A$1:$I$89,5,0)</f>
        <v>0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466.4945858005575</v>
      </c>
      <c r="FK165" s="62">
        <f t="shared" si="156"/>
        <v>294.45557293177131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4.0983335213477827E-19</v>
      </c>
      <c r="FT165" s="24">
        <f t="shared" si="184"/>
        <v>4.0983335213477827E-19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>
        <f>FZ165*VLOOKUP('Données projet'!$B$17,Paramètres!$A$1:$I$89,3,0)*VLOOKUP('Données projet'!$B$17,Paramètres!$A$1:$I$89,5,0)</f>
        <v>0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459.64120566196812</v>
      </c>
      <c r="GF165" s="62">
        <f t="shared" si="158"/>
        <v>290.39826583283588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2.8421709430404007E-14</v>
      </c>
      <c r="O166" s="14">
        <f>N166*VLOOKUP('Données projet'!$B$9,Paramètres!$A$1:$I$89,3,0)*VLOOKUP('Données projet'!$B$9,Paramètres!$A$1:$I$89,5,0)</f>
        <v>1.5518253349000589E-14</v>
      </c>
      <c r="P166" s="14">
        <f t="shared" si="141"/>
        <v>2.8958815659671149E-13</v>
      </c>
      <c r="Q166" s="22">
        <f t="shared" si="162"/>
        <v>5.3139366398878183E-13</v>
      </c>
      <c r="R166" s="62">
        <f t="shared" si="109"/>
        <v>293.33333333333383</v>
      </c>
      <c r="S166" s="62">
        <f ca="1">AVERAGE(OFFSET($R$3,0,0,'Données projet'!$E$9+1,1))-AVERAGE(OFFSET($H$3,0,0,'Données projet'!$E$9+1,1))</f>
        <v>170.27677128684815</v>
      </c>
      <c r="T166" s="62">
        <f t="shared" si="142"/>
        <v>243.47439640666289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0.20671305603034495</v>
      </c>
      <c r="AB166" s="23">
        <f>EXP(-LN(2)/2)*AB165+(1-EXP(-LN(2)/2))/(LN(2)/2)*V166*Y166*VLOOKUP('Données projet'!$B$9,Paramètres!$A$1:$I$89,3,0)*0.475*44/12</f>
        <v>7.2959738342688727E-20</v>
      </c>
      <c r="AC166" s="24">
        <f t="shared" si="163"/>
        <v>0.20671305603034495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-9.9316821433603781E-14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327.826081588335</v>
      </c>
      <c r="AO166" s="62">
        <f t="shared" si="144"/>
        <v>348.84706693879735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0.39663663521407483</v>
      </c>
      <c r="AW166" s="23">
        <f>EXP(-LN(2)/2)*AW165+(1-EXP(-LN(2)/2))/(LN(2)/2)*AQ166*AT166*VLOOKUP('Données projet'!$B$10,Paramètres!$A$1:$I$89,3,0)*0.475*44/12</f>
        <v>1.4273787422721995E-19</v>
      </c>
      <c r="AX166" s="23">
        <f t="shared" si="166"/>
        <v>0.39663663521407483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-3.4106051316484809E-13</v>
      </c>
      <c r="BE166" s="14">
        <f>BD166*VLOOKUP('Données projet'!$B$11,Paramètres!$A$1:$I$89,3,0)*VLOOKUP('Données projet'!$B$11,Paramètres!$A$1:$I$89,5,0)</f>
        <v>-2.5006556825246659E-13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376.5422416541544</v>
      </c>
      <c r="BJ166" s="62">
        <f t="shared" si="146"/>
        <v>365.76175372075869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1.7746468617432778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1.7746468617432778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405.09126081846171</v>
      </c>
      <c r="CE166" s="62">
        <f t="shared" si="148"/>
        <v>534.22295841722166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0.70721011663050914</v>
      </c>
      <c r="CL166" s="23">
        <f>EXP(-LN(2)/25)*CL165+(1-EXP(-LN(2)/25))/(LN(2)/25)*Calculateur!CG166*Calculateur!CI166*VLOOKUP('Données projet'!$B$12,Paramètres!$A$1:$I$89,3,0)*0.475*44/12</f>
        <v>0.35097790705992665</v>
      </c>
      <c r="CM166" s="23">
        <f>EXP(-LN(2)/2)*CM165+(1-EXP(-LN(2)/2))/(LN(2)/2)*CG166*CJ166*VLOOKUP('Données projet'!$B$12,Paramètres!$A$1:$I$89,3,0)*0.475*44/12</f>
        <v>1.5233960886870038E-20</v>
      </c>
      <c r="CN166" s="24">
        <f t="shared" si="172"/>
        <v>1.0581880236904357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244.82163392718377</v>
      </c>
      <c r="CZ166" s="62">
        <f t="shared" si="150"/>
        <v>342.30266518164211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0.42420628907111835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0.42420628907111835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-2.2737367544323206E-13</v>
      </c>
      <c r="DP166" s="18">
        <f>DO166*VLOOKUP('Données projet'!$B$14,Paramètres!$A$1:$I$89,3,0)*VLOOKUP('Données projet'!$B$14,Paramètres!$A$1:$I$89,5,0)</f>
        <v>-1.8089849618263545E-13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298.89893065707554</v>
      </c>
      <c r="DU166" s="62">
        <f t="shared" si="152"/>
        <v>294.28794439094878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439.06700232017681</v>
      </c>
      <c r="EP166" s="62">
        <f t="shared" si="154"/>
        <v>278.21741231699929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0.22856628042405311</v>
      </c>
      <c r="EX166" s="23">
        <f>EXP(-LN(2)/2)*EX165+(1-EXP(-LN(2)/2))/(LN(2)/2)*ER166*EU166*VLOOKUP('Données projet'!$B$15,Paramètres!$A$1:$I$89,3,0)*0.475*44/12</f>
        <v>1.4288162066708094E-19</v>
      </c>
      <c r="EY166" s="24">
        <f t="shared" si="181"/>
        <v>0.22856628042405311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>
        <f>FE166*VLOOKUP('Données projet'!$B$16,Paramètres!$A$1:$I$89,3,0)*VLOOKUP('Données projet'!$B$16,Paramètres!$A$1:$I$89,5,0)</f>
        <v>0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466.4945858005575</v>
      </c>
      <c r="FK166" s="62">
        <f t="shared" si="156"/>
        <v>294.45557293177131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2.8979594245091593E-19</v>
      </c>
      <c r="FT166" s="24">
        <f t="shared" si="184"/>
        <v>2.8979594245091593E-19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>
        <f>FZ166*VLOOKUP('Données projet'!$B$17,Paramètres!$A$1:$I$89,3,0)*VLOOKUP('Données projet'!$B$17,Paramètres!$A$1:$I$89,5,0)</f>
        <v>0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459.64120566196812</v>
      </c>
      <c r="GF166" s="62">
        <f t="shared" si="158"/>
        <v>290.39826583283588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2.8421709430404007E-14</v>
      </c>
      <c r="O167" s="14">
        <f>N167*VLOOKUP('Données projet'!$B$9,Paramètres!$A$1:$I$89,3,0)*VLOOKUP('Données projet'!$B$9,Paramètres!$A$1:$I$89,5,0)</f>
        <v>1.5518253349000589E-14</v>
      </c>
      <c r="P167" s="14">
        <f t="shared" si="141"/>
        <v>2.8958815659671149E-13</v>
      </c>
      <c r="Q167" s="22">
        <f t="shared" si="162"/>
        <v>5.3139366398878183E-13</v>
      </c>
      <c r="R167" s="62">
        <f t="shared" si="109"/>
        <v>293.33333333333383</v>
      </c>
      <c r="S167" s="62">
        <f ca="1">AVERAGE(OFFSET($R$3,0,0,'Données projet'!$E$9+1,1))-AVERAGE(OFFSET($H$3,0,0,'Données projet'!$E$9+1,1))</f>
        <v>170.27677128684815</v>
      </c>
      <c r="T167" s="62">
        <f t="shared" si="142"/>
        <v>243.47439640666289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0.20106047664262799</v>
      </c>
      <c r="AB167" s="23">
        <f>EXP(-LN(2)/2)*AB166+(1-EXP(-LN(2)/2))/(LN(2)/2)*V167*Y167*VLOOKUP('Données projet'!$B$9,Paramètres!$A$1:$I$89,3,0)*0.475*44/12</f>
        <v>5.159032573571136E-20</v>
      </c>
      <c r="AC167" s="24">
        <f t="shared" si="163"/>
        <v>0.20106047664262799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-9.9316821433603781E-14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327.826081588335</v>
      </c>
      <c r="AO167" s="62">
        <f t="shared" si="144"/>
        <v>348.84706693879735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0.38579058556593182</v>
      </c>
      <c r="AW167" s="23">
        <f>EXP(-LN(2)/2)*AW166+(1-EXP(-LN(2)/2))/(LN(2)/2)*AQ167*AT167*VLOOKUP('Données projet'!$B$10,Paramètres!$A$1:$I$89,3,0)*0.475*44/12</f>
        <v>1.0093091879821976E-19</v>
      </c>
      <c r="AX167" s="23">
        <f t="shared" si="166"/>
        <v>0.38579058556593182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-3.4106051316484809E-13</v>
      </c>
      <c r="BE167" s="14">
        <f>BD167*VLOOKUP('Données projet'!$B$11,Paramètres!$A$1:$I$89,3,0)*VLOOKUP('Données projet'!$B$11,Paramètres!$A$1:$I$89,5,0)</f>
        <v>-2.5006556825246659E-13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376.5422416541544</v>
      </c>
      <c r="BJ167" s="62">
        <f t="shared" si="146"/>
        <v>365.76175372075869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1.7398471192121969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1.7398471192121969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405.09126081846171</v>
      </c>
      <c r="CE167" s="62">
        <f t="shared" si="148"/>
        <v>534.22295841722166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0.69334215759896323</v>
      </c>
      <c r="CL167" s="23">
        <f>EXP(-LN(2)/25)*CL166+(1-EXP(-LN(2)/25))/(LN(2)/25)*Calculateur!CG167*Calculateur!CI167*VLOOKUP('Données projet'!$B$12,Paramètres!$A$1:$I$89,3,0)*0.475*44/12</f>
        <v>0.341380397734247</v>
      </c>
      <c r="CM167" s="23">
        <f>EXP(-LN(2)/2)*CM166+(1-EXP(-LN(2)/2))/(LN(2)/2)*CG167*CJ167*VLOOKUP('Données projet'!$B$12,Paramètres!$A$1:$I$89,3,0)*0.475*44/12</f>
        <v>1.0772037047436436E-20</v>
      </c>
      <c r="CN167" s="24">
        <f t="shared" si="172"/>
        <v>1.0347225553332102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244.82163392718377</v>
      </c>
      <c r="CZ167" s="62">
        <f t="shared" si="150"/>
        <v>342.30266518164211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0.41588786248272158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0.41588786248272158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-2.2737367544323206E-13</v>
      </c>
      <c r="DP167" s="18">
        <f>DO167*VLOOKUP('Données projet'!$B$14,Paramètres!$A$1:$I$89,3,0)*VLOOKUP('Données projet'!$B$14,Paramètres!$A$1:$I$89,5,0)</f>
        <v>-1.8089849618263545E-13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298.89893065707554</v>
      </c>
      <c r="DU167" s="62">
        <f t="shared" si="152"/>
        <v>294.28794439094878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439.06700232017681</v>
      </c>
      <c r="EP167" s="62">
        <f t="shared" si="154"/>
        <v>278.21741231699929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0.2223161234660791</v>
      </c>
      <c r="EX167" s="23">
        <f>EXP(-LN(2)/2)*EX166+(1-EXP(-LN(2)/2))/(LN(2)/2)*ER167*EU167*VLOOKUP('Données projet'!$B$15,Paramètres!$A$1:$I$89,3,0)*0.475*44/12</f>
        <v>1.0103256288061689E-19</v>
      </c>
      <c r="EY167" s="24">
        <f t="shared" si="181"/>
        <v>0.2223161234660791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>
        <f>FE167*VLOOKUP('Données projet'!$B$16,Paramètres!$A$1:$I$89,3,0)*VLOOKUP('Données projet'!$B$16,Paramètres!$A$1:$I$89,5,0)</f>
        <v>0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466.4945858005575</v>
      </c>
      <c r="FK167" s="62">
        <f t="shared" si="156"/>
        <v>294.45557293177131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2.0491667606738913E-19</v>
      </c>
      <c r="FT167" s="24">
        <f t="shared" si="184"/>
        <v>2.0491667606738913E-19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>
        <f>FZ167*VLOOKUP('Données projet'!$B$17,Paramètres!$A$1:$I$89,3,0)*VLOOKUP('Données projet'!$B$17,Paramètres!$A$1:$I$89,5,0)</f>
        <v>0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459.64120566196812</v>
      </c>
      <c r="GF167" s="62">
        <f t="shared" si="158"/>
        <v>290.39826583283588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2.8421709430404007E-14</v>
      </c>
      <c r="O168" s="14">
        <f>N168*VLOOKUP('Données projet'!$B$9,Paramètres!$A$1:$I$89,3,0)*VLOOKUP('Données projet'!$B$9,Paramètres!$A$1:$I$89,5,0)</f>
        <v>1.5518253349000589E-14</v>
      </c>
      <c r="P168" s="14">
        <f t="shared" si="141"/>
        <v>2.8958815659671149E-13</v>
      </c>
      <c r="Q168" s="22">
        <f t="shared" si="162"/>
        <v>5.3139366398878183E-13</v>
      </c>
      <c r="R168" s="62">
        <f t="shared" si="109"/>
        <v>293.33333333333383</v>
      </c>
      <c r="S168" s="62">
        <f ca="1">AVERAGE(OFFSET($R$3,0,0,'Données projet'!$E$9+1,1))-AVERAGE(OFFSET($H$3,0,0,'Données projet'!$E$9+1,1))</f>
        <v>170.27677128684815</v>
      </c>
      <c r="T168" s="62">
        <f t="shared" si="142"/>
        <v>243.47439640666289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0.1955624673355244</v>
      </c>
      <c r="AB168" s="23">
        <f>EXP(-LN(2)/2)*AB167+(1-EXP(-LN(2)/2))/(LN(2)/2)*V168*Y168*VLOOKUP('Données projet'!$B$9,Paramètres!$A$1:$I$89,3,0)*0.475*44/12</f>
        <v>3.6479869171344363E-20</v>
      </c>
      <c r="AC168" s="24">
        <f t="shared" si="163"/>
        <v>0.1955624673355244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-9.9316821433603781E-14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327.826081588335</v>
      </c>
      <c r="AO168" s="62">
        <f t="shared" si="144"/>
        <v>348.84706693879735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0.37524112171578627</v>
      </c>
      <c r="AW168" s="23">
        <f>EXP(-LN(2)/2)*AW167+(1-EXP(-LN(2)/2))/(LN(2)/2)*AQ168*AT168*VLOOKUP('Données projet'!$B$10,Paramètres!$A$1:$I$89,3,0)*0.475*44/12</f>
        <v>7.1368937113609977E-20</v>
      </c>
      <c r="AX168" s="23">
        <f t="shared" si="166"/>
        <v>0.37524112171578627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-3.4106051316484809E-13</v>
      </c>
      <c r="BE168" s="14">
        <f>BD168*VLOOKUP('Données projet'!$B$11,Paramètres!$A$1:$I$89,3,0)*VLOOKUP('Données projet'!$B$11,Paramètres!$A$1:$I$89,5,0)</f>
        <v>-2.5006556825246659E-13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376.5422416541544</v>
      </c>
      <c r="BJ168" s="62">
        <f t="shared" si="146"/>
        <v>365.76175372075869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1.7057297784064034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1.7057297784064034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405.09126081846171</v>
      </c>
      <c r="CE168" s="62">
        <f t="shared" si="148"/>
        <v>534.22295841722166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0.67974614078540607</v>
      </c>
      <c r="CL168" s="23">
        <f>EXP(-LN(2)/25)*CL167+(1-EXP(-LN(2)/25))/(LN(2)/25)*Calculateur!CG168*Calculateur!CI168*VLOOKUP('Données projet'!$B$12,Paramètres!$A$1:$I$89,3,0)*0.475*44/12</f>
        <v>0.33204533280578913</v>
      </c>
      <c r="CM168" s="23">
        <f>EXP(-LN(2)/2)*CM167+(1-EXP(-LN(2)/2))/(LN(2)/2)*CG168*CJ168*VLOOKUP('Données projet'!$B$12,Paramètres!$A$1:$I$89,3,0)*0.475*44/12</f>
        <v>7.6169804434350189E-21</v>
      </c>
      <c r="CN168" s="24">
        <f t="shared" si="172"/>
        <v>1.0117914735911953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244.82163392718377</v>
      </c>
      <c r="CZ168" s="62">
        <f t="shared" si="150"/>
        <v>342.30266518164211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0.40773255516598406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0.40773255516598406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-2.2737367544323206E-13</v>
      </c>
      <c r="DP168" s="18">
        <f>DO168*VLOOKUP('Données projet'!$B$14,Paramètres!$A$1:$I$89,3,0)*VLOOKUP('Données projet'!$B$14,Paramètres!$A$1:$I$89,5,0)</f>
        <v>-1.8089849618263545E-13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298.89893065707554</v>
      </c>
      <c r="DU168" s="62">
        <f t="shared" si="152"/>
        <v>294.28794439094878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439.06700232017681</v>
      </c>
      <c r="EP168" s="62">
        <f t="shared" si="154"/>
        <v>278.21741231699929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0.21623687737880234</v>
      </c>
      <c r="EX168" s="23">
        <f>EXP(-LN(2)/2)*EX167+(1-EXP(-LN(2)/2))/(LN(2)/2)*ER168*EU168*VLOOKUP('Données projet'!$B$15,Paramètres!$A$1:$I$89,3,0)*0.475*44/12</f>
        <v>7.1440810333540468E-20</v>
      </c>
      <c r="EY168" s="24">
        <f t="shared" si="181"/>
        <v>0.21623687737880234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>
        <f>FE168*VLOOKUP('Données projet'!$B$16,Paramètres!$A$1:$I$89,3,0)*VLOOKUP('Données projet'!$B$16,Paramètres!$A$1:$I$89,5,0)</f>
        <v>0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466.4945858005575</v>
      </c>
      <c r="FK168" s="62">
        <f t="shared" si="156"/>
        <v>294.45557293177131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1.4489797122545797E-19</v>
      </c>
      <c r="FT168" s="24">
        <f t="shared" si="184"/>
        <v>1.4489797122545797E-19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>
        <f>FZ168*VLOOKUP('Données projet'!$B$17,Paramètres!$A$1:$I$89,3,0)*VLOOKUP('Données projet'!$B$17,Paramètres!$A$1:$I$89,5,0)</f>
        <v>0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459.64120566196812</v>
      </c>
      <c r="GF168" s="62">
        <f t="shared" si="158"/>
        <v>290.39826583283588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2.8421709430404007E-14</v>
      </c>
      <c r="O169" s="14">
        <f>N169*VLOOKUP('Données projet'!$B$9,Paramètres!$A$1:$I$89,3,0)*VLOOKUP('Données projet'!$B$9,Paramètres!$A$1:$I$89,5,0)</f>
        <v>1.5518253349000589E-14</v>
      </c>
      <c r="P169" s="14">
        <f t="shared" si="141"/>
        <v>2.8958815659671149E-13</v>
      </c>
      <c r="Q169" s="22">
        <f t="shared" si="162"/>
        <v>5.3139366398878183E-13</v>
      </c>
      <c r="R169" s="62">
        <f t="shared" si="109"/>
        <v>293.33333333333383</v>
      </c>
      <c r="S169" s="62">
        <f ca="1">AVERAGE(OFFSET($R$3,0,0,'Données projet'!$E$9+1,1))-AVERAGE(OFFSET($H$3,0,0,'Données projet'!$E$9+1,1))</f>
        <v>170.27677128684815</v>
      </c>
      <c r="T169" s="62">
        <f t="shared" si="142"/>
        <v>243.47439640666289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0.1902148013820513</v>
      </c>
      <c r="AB169" s="23">
        <f>EXP(-LN(2)/2)*AB168+(1-EXP(-LN(2)/2))/(LN(2)/2)*V169*Y169*VLOOKUP('Données projet'!$B$9,Paramètres!$A$1:$I$89,3,0)*0.475*44/12</f>
        <v>2.579516286785568E-20</v>
      </c>
      <c r="AC169" s="24">
        <f t="shared" si="163"/>
        <v>0.1902148013820513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-9.9316821433603781E-14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327.826081588335</v>
      </c>
      <c r="AO169" s="62">
        <f t="shared" si="144"/>
        <v>348.84706693879735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0.36498013350939512</v>
      </c>
      <c r="AW169" s="23">
        <f>EXP(-LN(2)/2)*AW168+(1-EXP(-LN(2)/2))/(LN(2)/2)*AQ169*AT169*VLOOKUP('Données projet'!$B$10,Paramètres!$A$1:$I$89,3,0)*0.475*44/12</f>
        <v>5.0465459399109881E-20</v>
      </c>
      <c r="AX169" s="23">
        <f t="shared" si="166"/>
        <v>0.36498013350939512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-3.4106051316484809E-13</v>
      </c>
      <c r="BE169" s="14">
        <f>BD169*VLOOKUP('Données projet'!$B$11,Paramètres!$A$1:$I$89,3,0)*VLOOKUP('Données projet'!$B$11,Paramètres!$A$1:$I$89,5,0)</f>
        <v>-2.5006556825246659E-13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376.5422416541544</v>
      </c>
      <c r="BJ169" s="62">
        <f t="shared" si="146"/>
        <v>365.76175372075869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1.6722814578442884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1.6722814578442884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405.09126081846171</v>
      </c>
      <c r="CE169" s="62">
        <f t="shared" si="148"/>
        <v>534.22295841722166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0.66641673356881137</v>
      </c>
      <c r="CL169" s="23">
        <f>EXP(-LN(2)/25)*CL168+(1-EXP(-LN(2)/25))/(LN(2)/25)*Calculateur!CG169*Calculateur!CI169*VLOOKUP('Données projet'!$B$12,Paramètres!$A$1:$I$89,3,0)*0.475*44/12</f>
        <v>0.32296553571870967</v>
      </c>
      <c r="CM169" s="23">
        <f>EXP(-LN(2)/2)*CM168+(1-EXP(-LN(2)/2))/(LN(2)/2)*CG169*CJ169*VLOOKUP('Données projet'!$B$12,Paramètres!$A$1:$I$89,3,0)*0.475*44/12</f>
        <v>5.3860185237182178E-21</v>
      </c>
      <c r="CN169" s="24">
        <f t="shared" si="172"/>
        <v>0.98938226928752104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244.82163392718377</v>
      </c>
      <c r="CZ169" s="62">
        <f t="shared" si="150"/>
        <v>342.30266518164211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0.39973716845148144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0.39973716845148144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-2.2737367544323206E-13</v>
      </c>
      <c r="DP169" s="18">
        <f>DO169*VLOOKUP('Données projet'!$B$14,Paramètres!$A$1:$I$89,3,0)*VLOOKUP('Données projet'!$B$14,Paramètres!$A$1:$I$89,5,0)</f>
        <v>-1.8089849618263545E-13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298.89893065707554</v>
      </c>
      <c r="DU169" s="62">
        <f t="shared" si="152"/>
        <v>294.28794439094878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439.06700232017681</v>
      </c>
      <c r="EP169" s="62">
        <f t="shared" si="154"/>
        <v>278.21741231699929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0.21032386859547583</v>
      </c>
      <c r="EX169" s="23">
        <f>EXP(-LN(2)/2)*EX168+(1-EXP(-LN(2)/2))/(LN(2)/2)*ER169*EU169*VLOOKUP('Données projet'!$B$15,Paramètres!$A$1:$I$89,3,0)*0.475*44/12</f>
        <v>5.0516281440308444E-20</v>
      </c>
      <c r="EY169" s="24">
        <f t="shared" si="181"/>
        <v>0.21032386859547583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>
        <f>FE169*VLOOKUP('Données projet'!$B$16,Paramètres!$A$1:$I$89,3,0)*VLOOKUP('Données projet'!$B$16,Paramètres!$A$1:$I$89,5,0)</f>
        <v>0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466.4945858005575</v>
      </c>
      <c r="FK169" s="62">
        <f t="shared" si="156"/>
        <v>294.45557293177131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1.0245833803369457E-19</v>
      </c>
      <c r="FT169" s="24">
        <f t="shared" si="184"/>
        <v>1.0245833803369457E-19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>
        <f>FZ169*VLOOKUP('Données projet'!$B$17,Paramètres!$A$1:$I$89,3,0)*VLOOKUP('Données projet'!$B$17,Paramètres!$A$1:$I$89,5,0)</f>
        <v>0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459.64120566196812</v>
      </c>
      <c r="GF169" s="62">
        <f t="shared" si="158"/>
        <v>290.39826583283588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2.8421709430404007E-14</v>
      </c>
      <c r="O170" s="14">
        <f>N170*VLOOKUP('Données projet'!$B$9,Paramètres!$A$1:$I$89,3,0)*VLOOKUP('Données projet'!$B$9,Paramètres!$A$1:$I$89,5,0)</f>
        <v>1.5518253349000589E-14</v>
      </c>
      <c r="P170" s="14">
        <f t="shared" si="141"/>
        <v>2.8958815659671149E-13</v>
      </c>
      <c r="Q170" s="22">
        <f t="shared" si="162"/>
        <v>5.3139366398878183E-13</v>
      </c>
      <c r="R170" s="62">
        <f t="shared" si="109"/>
        <v>293.33333333333383</v>
      </c>
      <c r="S170" s="62">
        <f ca="1">AVERAGE(OFFSET($R$3,0,0,'Données projet'!$E$9+1,1))-AVERAGE(OFFSET($H$3,0,0,'Données projet'!$E$9+1,1))</f>
        <v>170.27677128684815</v>
      </c>
      <c r="T170" s="62">
        <f t="shared" si="142"/>
        <v>243.47439640666289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0.18501336763529744</v>
      </c>
      <c r="AB170" s="23">
        <f>EXP(-LN(2)/2)*AB169+(1-EXP(-LN(2)/2))/(LN(2)/2)*V170*Y170*VLOOKUP('Données projet'!$B$9,Paramètres!$A$1:$I$89,3,0)*0.475*44/12</f>
        <v>1.8239934585672182E-20</v>
      </c>
      <c r="AC170" s="24">
        <f t="shared" si="163"/>
        <v>0.18501336763529744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-9.9316821433603781E-14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327.826081588335</v>
      </c>
      <c r="AO170" s="62">
        <f t="shared" si="144"/>
        <v>348.84706693879735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0.35499973256510964</v>
      </c>
      <c r="AW170" s="23">
        <f>EXP(-LN(2)/2)*AW169+(1-EXP(-LN(2)/2))/(LN(2)/2)*AQ170*AT170*VLOOKUP('Données projet'!$B$10,Paramètres!$A$1:$I$89,3,0)*0.475*44/12</f>
        <v>3.5684468556804988E-20</v>
      </c>
      <c r="AX170" s="23">
        <f t="shared" si="166"/>
        <v>0.35499973256510964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-3.4106051316484809E-13</v>
      </c>
      <c r="BE170" s="14">
        <f>BD170*VLOOKUP('Données projet'!$B$11,Paramètres!$A$1:$I$89,3,0)*VLOOKUP('Données projet'!$B$11,Paramètres!$A$1:$I$89,5,0)</f>
        <v>-2.5006556825246659E-13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376.5422416541544</v>
      </c>
      <c r="BJ170" s="62">
        <f t="shared" si="146"/>
        <v>365.76175372075869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1.6394890384469354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1.6394890384469354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405.09126081846171</v>
      </c>
      <c r="CE170" s="62">
        <f t="shared" si="148"/>
        <v>534.22295841722166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0.65334870789759847</v>
      </c>
      <c r="CL170" s="23">
        <f>EXP(-LN(2)/25)*CL169+(1-EXP(-LN(2)/25))/(LN(2)/25)*Calculateur!CG170*Calculateur!CI170*VLOOKUP('Données projet'!$B$12,Paramètres!$A$1:$I$89,3,0)*0.475*44/12</f>
        <v>0.31413402616046215</v>
      </c>
      <c r="CM170" s="23">
        <f>EXP(-LN(2)/2)*CM169+(1-EXP(-LN(2)/2))/(LN(2)/2)*CG170*CJ170*VLOOKUP('Données projet'!$B$12,Paramètres!$A$1:$I$89,3,0)*0.475*44/12</f>
        <v>3.8084902217175095E-21</v>
      </c>
      <c r="CN170" s="24">
        <f t="shared" si="172"/>
        <v>0.96748273405806062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244.82163392718377</v>
      </c>
      <c r="CZ170" s="62">
        <f t="shared" si="150"/>
        <v>342.30266518164211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0.39189856639374587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0.39189856639374587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-2.2737367544323206E-13</v>
      </c>
      <c r="DP170" s="18">
        <f>DO170*VLOOKUP('Données projet'!$B$14,Paramètres!$A$1:$I$89,3,0)*VLOOKUP('Données projet'!$B$14,Paramètres!$A$1:$I$89,5,0)</f>
        <v>-1.8089849618263545E-13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298.89893065707554</v>
      </c>
      <c r="DU170" s="62">
        <f t="shared" si="152"/>
        <v>294.28794439094878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439.06700232017681</v>
      </c>
      <c r="EP170" s="62">
        <f t="shared" si="154"/>
        <v>278.21741231699929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0.20457255134828101</v>
      </c>
      <c r="EX170" s="23">
        <f>EXP(-LN(2)/2)*EX169+(1-EXP(-LN(2)/2))/(LN(2)/2)*ER170*EU170*VLOOKUP('Données projet'!$B$15,Paramètres!$A$1:$I$89,3,0)*0.475*44/12</f>
        <v>3.5720405166770234E-20</v>
      </c>
      <c r="EY170" s="24">
        <f t="shared" si="181"/>
        <v>0.20457255134828101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>
        <f>FE170*VLOOKUP('Données projet'!$B$16,Paramètres!$A$1:$I$89,3,0)*VLOOKUP('Données projet'!$B$16,Paramètres!$A$1:$I$89,5,0)</f>
        <v>0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466.4945858005575</v>
      </c>
      <c r="FK170" s="62">
        <f t="shared" si="156"/>
        <v>294.45557293177131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7.2448985612728984E-20</v>
      </c>
      <c r="FT170" s="24">
        <f t="shared" si="184"/>
        <v>7.2448985612728984E-20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>
        <f>FZ170*VLOOKUP('Données projet'!$B$17,Paramètres!$A$1:$I$89,3,0)*VLOOKUP('Données projet'!$B$17,Paramètres!$A$1:$I$89,5,0)</f>
        <v>0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459.64120566196812</v>
      </c>
      <c r="GF170" s="62">
        <f t="shared" si="158"/>
        <v>290.39826583283588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2.8421709430404007E-14</v>
      </c>
      <c r="O171" s="14">
        <f>N171*VLOOKUP('Données projet'!$B$9,Paramètres!$A$1:$I$89,3,0)*VLOOKUP('Données projet'!$B$9,Paramètres!$A$1:$I$89,5,0)</f>
        <v>1.5518253349000589E-14</v>
      </c>
      <c r="P171" s="14">
        <f t="shared" si="141"/>
        <v>2.8958815659671149E-13</v>
      </c>
      <c r="Q171" s="22">
        <f t="shared" si="162"/>
        <v>5.3139366398878183E-13</v>
      </c>
      <c r="R171" s="62">
        <f t="shared" si="109"/>
        <v>293.33333333333383</v>
      </c>
      <c r="S171" s="62">
        <f ca="1">AVERAGE(OFFSET($R$3,0,0,'Données projet'!$E$9+1,1))-AVERAGE(OFFSET($H$3,0,0,'Données projet'!$E$9+1,1))</f>
        <v>170.27677128684815</v>
      </c>
      <c r="T171" s="62">
        <f t="shared" si="142"/>
        <v>243.47439640666289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0.17995416736788009</v>
      </c>
      <c r="AB171" s="23">
        <f>EXP(-LN(2)/2)*AB170+(1-EXP(-LN(2)/2))/(LN(2)/2)*V171*Y171*VLOOKUP('Données projet'!$B$9,Paramètres!$A$1:$I$89,3,0)*0.475*44/12</f>
        <v>1.289758143392784E-20</v>
      </c>
      <c r="AC171" s="24">
        <f t="shared" si="163"/>
        <v>0.17995416736788009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-9.9316821433603781E-14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327.826081588335</v>
      </c>
      <c r="AO171" s="62">
        <f t="shared" si="144"/>
        <v>348.84706693879735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0.34529224620949212</v>
      </c>
      <c r="AW171" s="23">
        <f>EXP(-LN(2)/2)*AW170+(1-EXP(-LN(2)/2))/(LN(2)/2)*AQ171*AT171*VLOOKUP('Données projet'!$B$10,Paramètres!$A$1:$I$89,3,0)*0.475*44/12</f>
        <v>2.523272969955494E-20</v>
      </c>
      <c r="AX171" s="23">
        <f t="shared" si="166"/>
        <v>0.34529224620949212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-3.4106051316484809E-13</v>
      </c>
      <c r="BE171" s="14">
        <f>BD171*VLOOKUP('Données projet'!$B$11,Paramètres!$A$1:$I$89,3,0)*VLOOKUP('Données projet'!$B$11,Paramètres!$A$1:$I$89,5,0)</f>
        <v>-2.5006556825246659E-13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376.5422416541544</v>
      </c>
      <c r="BJ171" s="62">
        <f t="shared" si="146"/>
        <v>365.76175372075869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1.6073396583925637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1.6073396583925637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405.09126081846171</v>
      </c>
      <c r="CE171" s="62">
        <f t="shared" si="148"/>
        <v>534.22295841722166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0.64053693823908942</v>
      </c>
      <c r="CL171" s="23">
        <f>EXP(-LN(2)/25)*CL170+(1-EXP(-LN(2)/25))/(LN(2)/25)*Calculateur!CG171*Calculateur!CI171*VLOOKUP('Données projet'!$B$12,Paramètres!$A$1:$I$89,3,0)*0.475*44/12</f>
        <v>0.30554401469551384</v>
      </c>
      <c r="CM171" s="23">
        <f>EXP(-LN(2)/2)*CM170+(1-EXP(-LN(2)/2))/(LN(2)/2)*CG171*CJ171*VLOOKUP('Données projet'!$B$12,Paramètres!$A$1:$I$89,3,0)*0.475*44/12</f>
        <v>2.6930092618591089E-21</v>
      </c>
      <c r="CN171" s="24">
        <f t="shared" si="172"/>
        <v>0.94608095293460326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244.82163392718377</v>
      </c>
      <c r="CZ171" s="62">
        <f t="shared" si="150"/>
        <v>342.30266518164211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0.3842136745412873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0.3842136745412873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-2.2737367544323206E-13</v>
      </c>
      <c r="DP171" s="18">
        <f>DO171*VLOOKUP('Données projet'!$B$14,Paramètres!$A$1:$I$89,3,0)*VLOOKUP('Données projet'!$B$14,Paramètres!$A$1:$I$89,5,0)</f>
        <v>-1.8089849618263545E-13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298.89893065707554</v>
      </c>
      <c r="DU171" s="62">
        <f t="shared" si="152"/>
        <v>294.28794439094878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439.06700232017681</v>
      </c>
      <c r="EP171" s="62">
        <f t="shared" si="154"/>
        <v>278.21741231699929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0.19897850417365934</v>
      </c>
      <c r="EX171" s="23">
        <f>EXP(-LN(2)/2)*EX170+(1-EXP(-LN(2)/2))/(LN(2)/2)*ER171*EU171*VLOOKUP('Données projet'!$B$15,Paramètres!$A$1:$I$89,3,0)*0.475*44/12</f>
        <v>2.5258140720154222E-20</v>
      </c>
      <c r="EY171" s="24">
        <f t="shared" si="181"/>
        <v>0.19897850417365934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>
        <f>FE171*VLOOKUP('Données projet'!$B$16,Paramètres!$A$1:$I$89,3,0)*VLOOKUP('Données projet'!$B$16,Paramètres!$A$1:$I$89,5,0)</f>
        <v>0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466.4945858005575</v>
      </c>
      <c r="FK171" s="62">
        <f t="shared" si="156"/>
        <v>294.45557293177131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5.1229169016847284E-20</v>
      </c>
      <c r="FT171" s="24">
        <f t="shared" si="184"/>
        <v>5.1229169016847284E-20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>
        <f>FZ171*VLOOKUP('Données projet'!$B$17,Paramètres!$A$1:$I$89,3,0)*VLOOKUP('Données projet'!$B$17,Paramètres!$A$1:$I$89,5,0)</f>
        <v>0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459.64120566196812</v>
      </c>
      <c r="GF171" s="62">
        <f t="shared" si="158"/>
        <v>290.39826583283588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2.8421709430404007E-14</v>
      </c>
      <c r="O172" s="14">
        <f>N172*VLOOKUP('Données projet'!$B$9,Paramètres!$A$1:$I$89,3,0)*VLOOKUP('Données projet'!$B$9,Paramètres!$A$1:$I$89,5,0)</f>
        <v>1.5518253349000589E-14</v>
      </c>
      <c r="P172" s="14">
        <f t="shared" si="141"/>
        <v>2.8958815659671149E-13</v>
      </c>
      <c r="Q172" s="22">
        <f t="shared" si="162"/>
        <v>5.3139366398878183E-13</v>
      </c>
      <c r="R172" s="62">
        <f t="shared" si="109"/>
        <v>293.33333333333383</v>
      </c>
      <c r="S172" s="62">
        <f ca="1">AVERAGE(OFFSET($R$3,0,0,'Données projet'!$E$9+1,1))-AVERAGE(OFFSET($H$3,0,0,'Données projet'!$E$9+1,1))</f>
        <v>170.27677128684815</v>
      </c>
      <c r="T172" s="62">
        <f t="shared" si="142"/>
        <v>243.47439640666289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0.17503331119782703</v>
      </c>
      <c r="AB172" s="23">
        <f>EXP(-LN(2)/2)*AB171+(1-EXP(-LN(2)/2))/(LN(2)/2)*V172*Y172*VLOOKUP('Données projet'!$B$9,Paramètres!$A$1:$I$89,3,0)*0.475*44/12</f>
        <v>9.1199672928360909E-21</v>
      </c>
      <c r="AC172" s="24">
        <f t="shared" si="163"/>
        <v>0.17503331119782703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-9.9316821433603781E-14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327.826081588335</v>
      </c>
      <c r="AO172" s="62">
        <f t="shared" si="144"/>
        <v>348.84706693879735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0.33585021157876349</v>
      </c>
      <c r="AW172" s="23">
        <f>EXP(-LN(2)/2)*AW171+(1-EXP(-LN(2)/2))/(LN(2)/2)*AQ172*AT172*VLOOKUP('Données projet'!$B$10,Paramètres!$A$1:$I$89,3,0)*0.475*44/12</f>
        <v>1.7842234278402494E-20</v>
      </c>
      <c r="AX172" s="23">
        <f t="shared" si="166"/>
        <v>0.33585021157876349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-3.4106051316484809E-13</v>
      </c>
      <c r="BE172" s="14">
        <f>BD172*VLOOKUP('Données projet'!$B$11,Paramètres!$A$1:$I$89,3,0)*VLOOKUP('Données projet'!$B$11,Paramètres!$A$1:$I$89,5,0)</f>
        <v>-2.5006556825246659E-13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376.5422416541544</v>
      </c>
      <c r="BJ172" s="62">
        <f t="shared" si="146"/>
        <v>365.76175372075869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1.5758207080718725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1.5758207080718725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405.09126081846171</v>
      </c>
      <c r="CE172" s="62">
        <f t="shared" si="148"/>
        <v>534.22295841722166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0.62797639956917584</v>
      </c>
      <c r="CL172" s="23">
        <f>EXP(-LN(2)/25)*CL171+(1-EXP(-LN(2)/25))/(LN(2)/25)*Calculateur!CG172*Calculateur!CI172*VLOOKUP('Données projet'!$B$12,Paramètres!$A$1:$I$89,3,0)*0.475*44/12</f>
        <v>0.29718889754580363</v>
      </c>
      <c r="CM172" s="23">
        <f>EXP(-LN(2)/2)*CM171+(1-EXP(-LN(2)/2))/(LN(2)/2)*CG172*CJ172*VLOOKUP('Données projet'!$B$12,Paramètres!$A$1:$I$89,3,0)*0.475*44/12</f>
        <v>1.9042451108587547E-21</v>
      </c>
      <c r="CN172" s="24">
        <f t="shared" si="172"/>
        <v>0.92516529711497952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244.82163392718377</v>
      </c>
      <c r="CZ172" s="62">
        <f t="shared" si="150"/>
        <v>342.30266518164211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0.37667947873073426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0.37667947873073426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-2.2737367544323206E-13</v>
      </c>
      <c r="DP172" s="18">
        <f>DO172*VLOOKUP('Données projet'!$B$14,Paramètres!$A$1:$I$89,3,0)*VLOOKUP('Données projet'!$B$14,Paramètres!$A$1:$I$89,5,0)</f>
        <v>-1.8089849618263545E-13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298.89893065707554</v>
      </c>
      <c r="DU172" s="62">
        <f t="shared" si="152"/>
        <v>294.28794439094878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439.06700232017681</v>
      </c>
      <c r="EP172" s="62">
        <f t="shared" si="154"/>
        <v>278.21741231699929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0.19353742651320585</v>
      </c>
      <c r="EX172" s="23">
        <f>EXP(-LN(2)/2)*EX171+(1-EXP(-LN(2)/2))/(LN(2)/2)*ER172*EU172*VLOOKUP('Données projet'!$B$15,Paramètres!$A$1:$I$89,3,0)*0.475*44/12</f>
        <v>1.7860202583385117E-20</v>
      </c>
      <c r="EY172" s="24">
        <f t="shared" si="181"/>
        <v>0.19353742651320585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>
        <f>FE172*VLOOKUP('Données projet'!$B$16,Paramètres!$A$1:$I$89,3,0)*VLOOKUP('Données projet'!$B$16,Paramètres!$A$1:$I$89,5,0)</f>
        <v>0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466.4945858005575</v>
      </c>
      <c r="FK172" s="62">
        <f t="shared" si="156"/>
        <v>294.45557293177131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3.6224492806364492E-20</v>
      </c>
      <c r="FT172" s="24">
        <f t="shared" si="184"/>
        <v>3.6224492806364492E-20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>
        <f>FZ172*VLOOKUP('Données projet'!$B$17,Paramètres!$A$1:$I$89,3,0)*VLOOKUP('Données projet'!$B$17,Paramètres!$A$1:$I$89,5,0)</f>
        <v>0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459.64120566196812</v>
      </c>
      <c r="GF172" s="62">
        <f t="shared" si="158"/>
        <v>290.39826583283588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2.8421709430404007E-14</v>
      </c>
      <c r="O173" s="14">
        <f>N173*VLOOKUP('Données projet'!$B$9,Paramètres!$A$1:$I$89,3,0)*VLOOKUP('Données projet'!$B$9,Paramètres!$A$1:$I$89,5,0)</f>
        <v>1.5518253349000589E-14</v>
      </c>
      <c r="P173" s="14">
        <f t="shared" si="141"/>
        <v>2.8958815659671149E-13</v>
      </c>
      <c r="Q173" s="22">
        <f t="shared" si="162"/>
        <v>5.3139366398878183E-13</v>
      </c>
      <c r="R173" s="62">
        <f t="shared" si="109"/>
        <v>293.33333333333383</v>
      </c>
      <c r="S173" s="62">
        <f ca="1">AVERAGE(OFFSET($R$3,0,0,'Données projet'!$E$9+1,1))-AVERAGE(OFFSET($H$3,0,0,'Données projet'!$E$9+1,1))</f>
        <v>170.27677128684815</v>
      </c>
      <c r="T173" s="62">
        <f t="shared" si="142"/>
        <v>243.47439640666289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0.17024701609852066</v>
      </c>
      <c r="AB173" s="23">
        <f>EXP(-LN(2)/2)*AB172+(1-EXP(-LN(2)/2))/(LN(2)/2)*V173*Y173*VLOOKUP('Données projet'!$B$9,Paramètres!$A$1:$I$89,3,0)*0.475*44/12</f>
        <v>6.44879071696392E-21</v>
      </c>
      <c r="AC173" s="24">
        <f t="shared" si="163"/>
        <v>0.17024701609852066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-9.9316821433603781E-14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327.826081588335</v>
      </c>
      <c r="AO173" s="62">
        <f t="shared" si="144"/>
        <v>348.84706693879735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0.32666636988154718</v>
      </c>
      <c r="AW173" s="23">
        <f>EXP(-LN(2)/2)*AW172+(1-EXP(-LN(2)/2))/(LN(2)/2)*AQ173*AT173*VLOOKUP('Données projet'!$B$10,Paramètres!$A$1:$I$89,3,0)*0.475*44/12</f>
        <v>1.261636484977747E-20</v>
      </c>
      <c r="AX173" s="23">
        <f t="shared" si="166"/>
        <v>0.32666636988154718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-3.4106051316484809E-13</v>
      </c>
      <c r="BE173" s="14">
        <f>BD173*VLOOKUP('Données projet'!$B$11,Paramètres!$A$1:$I$89,3,0)*VLOOKUP('Données projet'!$B$11,Paramètres!$A$1:$I$89,5,0)</f>
        <v>-2.5006556825246659E-13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376.5422416541544</v>
      </c>
      <c r="BJ173" s="62">
        <f t="shared" si="146"/>
        <v>365.76175372075869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1.5449198251423086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1.5449198251423086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405.09126081846171</v>
      </c>
      <c r="CE173" s="62">
        <f t="shared" si="148"/>
        <v>534.22295841722166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0.61566216540140717</v>
      </c>
      <c r="CL173" s="23">
        <f>EXP(-LN(2)/25)*CL172+(1-EXP(-LN(2)/25))/(LN(2)/25)*Calculateur!CG173*Calculateur!CI173*VLOOKUP('Données projet'!$B$12,Paramètres!$A$1:$I$89,3,0)*0.475*44/12</f>
        <v>0.28906225151392873</v>
      </c>
      <c r="CM173" s="23">
        <f>EXP(-LN(2)/2)*CM172+(1-EXP(-LN(2)/2))/(LN(2)/2)*CG173*CJ173*VLOOKUP('Données projet'!$B$12,Paramètres!$A$1:$I$89,3,0)*0.475*44/12</f>
        <v>1.3465046309295544E-21</v>
      </c>
      <c r="CN173" s="24">
        <f t="shared" si="172"/>
        <v>0.90472441691533589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244.82163392718377</v>
      </c>
      <c r="CZ173" s="62">
        <f t="shared" si="150"/>
        <v>342.30266518164211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0.36929302390462049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0.36929302390462049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-2.2737367544323206E-13</v>
      </c>
      <c r="DP173" s="18">
        <f>DO173*VLOOKUP('Données projet'!$B$14,Paramètres!$A$1:$I$89,3,0)*VLOOKUP('Données projet'!$B$14,Paramètres!$A$1:$I$89,5,0)</f>
        <v>-1.8089849618263545E-13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298.89893065707554</v>
      </c>
      <c r="DU173" s="62">
        <f t="shared" si="152"/>
        <v>294.28794439094878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439.06700232017681</v>
      </c>
      <c r="EP173" s="62">
        <f t="shared" si="154"/>
        <v>278.21741231699929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0.18824513540751131</v>
      </c>
      <c r="EX173" s="23">
        <f>EXP(-LN(2)/2)*EX172+(1-EXP(-LN(2)/2))/(LN(2)/2)*ER173*EU173*VLOOKUP('Données projet'!$B$15,Paramètres!$A$1:$I$89,3,0)*0.475*44/12</f>
        <v>1.2629070360077111E-20</v>
      </c>
      <c r="EY173" s="24">
        <f t="shared" si="181"/>
        <v>0.18824513540751131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>
        <f>FE173*VLOOKUP('Données projet'!$B$16,Paramètres!$A$1:$I$89,3,0)*VLOOKUP('Données projet'!$B$16,Paramètres!$A$1:$I$89,5,0)</f>
        <v>0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466.4945858005575</v>
      </c>
      <c r="FK173" s="62">
        <f t="shared" si="156"/>
        <v>294.45557293177131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2.5614584508423642E-20</v>
      </c>
      <c r="FT173" s="24">
        <f t="shared" si="184"/>
        <v>2.5614584508423642E-20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>
        <f>FZ173*VLOOKUP('Données projet'!$B$17,Paramètres!$A$1:$I$89,3,0)*VLOOKUP('Données projet'!$B$17,Paramètres!$A$1:$I$89,5,0)</f>
        <v>0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459.64120566196812</v>
      </c>
      <c r="GF173" s="62">
        <f t="shared" si="158"/>
        <v>290.39826583283588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2.8421709430404007E-14</v>
      </c>
      <c r="O174" s="14">
        <f>N174*VLOOKUP('Données projet'!$B$9,Paramètres!$A$1:$I$89,3,0)*VLOOKUP('Données projet'!$B$9,Paramètres!$A$1:$I$89,5,0)</f>
        <v>1.5518253349000589E-14</v>
      </c>
      <c r="P174" s="14">
        <f t="shared" si="141"/>
        <v>2.8958815659671149E-13</v>
      </c>
      <c r="Q174" s="22">
        <f t="shared" si="162"/>
        <v>5.3139366398878183E-13</v>
      </c>
      <c r="R174" s="62">
        <f t="shared" si="109"/>
        <v>293.33333333333383</v>
      </c>
      <c r="S174" s="62">
        <f ca="1">AVERAGE(OFFSET($R$3,0,0,'Données projet'!$E$9+1,1))-AVERAGE(OFFSET($H$3,0,0,'Données projet'!$E$9+1,1))</f>
        <v>170.27677128684815</v>
      </c>
      <c r="T174" s="62">
        <f t="shared" si="142"/>
        <v>243.47439640666289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0.16559160249040514</v>
      </c>
      <c r="AB174" s="23">
        <f>EXP(-LN(2)/2)*AB173+(1-EXP(-LN(2)/2))/(LN(2)/2)*V174*Y174*VLOOKUP('Données projet'!$B$9,Paramètres!$A$1:$I$89,3,0)*0.475*44/12</f>
        <v>4.5599836464180454E-21</v>
      </c>
      <c r="AC174" s="24">
        <f t="shared" si="163"/>
        <v>0.16559160249040514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-9.9316821433603781E-14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327.826081588335</v>
      </c>
      <c r="AO174" s="62">
        <f t="shared" si="144"/>
        <v>348.84706693879735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0.31773366081849846</v>
      </c>
      <c r="AW174" s="23">
        <f>EXP(-LN(2)/2)*AW173+(1-EXP(-LN(2)/2))/(LN(2)/2)*AQ174*AT174*VLOOKUP('Données projet'!$B$10,Paramètres!$A$1:$I$89,3,0)*0.475*44/12</f>
        <v>8.9211171392012471E-21</v>
      </c>
      <c r="AX174" s="23">
        <f t="shared" si="166"/>
        <v>0.31773366081849846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-3.4106051316484809E-13</v>
      </c>
      <c r="BE174" s="14">
        <f>BD174*VLOOKUP('Données projet'!$B$11,Paramètres!$A$1:$I$89,3,0)*VLOOKUP('Données projet'!$B$11,Paramètres!$A$1:$I$89,5,0)</f>
        <v>-2.5006556825246659E-13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376.5422416541544</v>
      </c>
      <c r="BJ174" s="62">
        <f t="shared" si="146"/>
        <v>365.76175372075869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1.5146248896793162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1.5146248896793162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405.09126081846171</v>
      </c>
      <c r="CE174" s="62">
        <f t="shared" si="148"/>
        <v>534.22295841722166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0.60358940585472731</v>
      </c>
      <c r="CL174" s="23">
        <f>EXP(-LN(2)/25)*CL173+(1-EXP(-LN(2)/25))/(LN(2)/25)*Calculateur!CG174*Calculateur!CI174*VLOOKUP('Données projet'!$B$12,Paramètres!$A$1:$I$89,3,0)*0.475*44/12</f>
        <v>0.28115782904515718</v>
      </c>
      <c r="CM174" s="23">
        <f>EXP(-LN(2)/2)*CM173+(1-EXP(-LN(2)/2))/(LN(2)/2)*CG174*CJ174*VLOOKUP('Données projet'!$B$12,Paramètres!$A$1:$I$89,3,0)*0.475*44/12</f>
        <v>9.5212255542937737E-22</v>
      </c>
      <c r="CN174" s="24">
        <f t="shared" si="172"/>
        <v>0.88474723489988449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244.82163392718377</v>
      </c>
      <c r="CZ174" s="62">
        <f t="shared" si="150"/>
        <v>342.30266518164211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0.36205141295235421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0.36205141295235421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-2.2737367544323206E-13</v>
      </c>
      <c r="DP174" s="18">
        <f>DO174*VLOOKUP('Données projet'!$B$14,Paramètres!$A$1:$I$89,3,0)*VLOOKUP('Données projet'!$B$14,Paramètres!$A$1:$I$89,5,0)</f>
        <v>-1.8089849618263545E-13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298.89893065707554</v>
      </c>
      <c r="DU174" s="62">
        <f t="shared" si="152"/>
        <v>294.28794439094878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439.06700232017681</v>
      </c>
      <c r="EP174" s="62">
        <f t="shared" si="154"/>
        <v>278.21741231699929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0.18309756228041149</v>
      </c>
      <c r="EX174" s="23">
        <f>EXP(-LN(2)/2)*EX173+(1-EXP(-LN(2)/2))/(LN(2)/2)*ER174*EU174*VLOOKUP('Données projet'!$B$15,Paramètres!$A$1:$I$89,3,0)*0.475*44/12</f>
        <v>8.9301012916925585E-21</v>
      </c>
      <c r="EY174" s="24">
        <f t="shared" si="181"/>
        <v>0.18309756228041149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>
        <f>FE174*VLOOKUP('Données projet'!$B$16,Paramètres!$A$1:$I$89,3,0)*VLOOKUP('Données projet'!$B$16,Paramètres!$A$1:$I$89,5,0)</f>
        <v>0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466.4945858005575</v>
      </c>
      <c r="FK174" s="62">
        <f t="shared" si="156"/>
        <v>294.45557293177131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1.8112246403182246E-20</v>
      </c>
      <c r="FT174" s="24">
        <f t="shared" si="184"/>
        <v>1.8112246403182246E-20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>
        <f>FZ174*VLOOKUP('Données projet'!$B$17,Paramètres!$A$1:$I$89,3,0)*VLOOKUP('Données projet'!$B$17,Paramètres!$A$1:$I$89,5,0)</f>
        <v>0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459.64120566196812</v>
      </c>
      <c r="GF174" s="62">
        <f t="shared" si="158"/>
        <v>290.39826583283588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2.8421709430404007E-14</v>
      </c>
      <c r="O175" s="14">
        <f>N175*VLOOKUP('Données projet'!$B$9,Paramètres!$A$1:$I$89,3,0)*VLOOKUP('Données projet'!$B$9,Paramètres!$A$1:$I$89,5,0)</f>
        <v>1.5518253349000589E-14</v>
      </c>
      <c r="P175" s="14">
        <f t="shared" si="141"/>
        <v>2.8958815659671149E-13</v>
      </c>
      <c r="Q175" s="22">
        <f t="shared" si="162"/>
        <v>5.3139366398878183E-13</v>
      </c>
      <c r="R175" s="62">
        <f t="shared" si="109"/>
        <v>293.33333333333383</v>
      </c>
      <c r="S175" s="62">
        <f ca="1">AVERAGE(OFFSET($R$3,0,0,'Données projet'!$E$9+1,1))-AVERAGE(OFFSET($H$3,0,0,'Données projet'!$E$9+1,1))</f>
        <v>170.27677128684815</v>
      </c>
      <c r="T175" s="62">
        <f t="shared" si="142"/>
        <v>243.47439640666289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0.16106349141222109</v>
      </c>
      <c r="AB175" s="23">
        <f>EXP(-LN(2)/2)*AB174+(1-EXP(-LN(2)/2))/(LN(2)/2)*V175*Y175*VLOOKUP('Données projet'!$B$9,Paramètres!$A$1:$I$89,3,0)*0.475*44/12</f>
        <v>3.22439535848196E-21</v>
      </c>
      <c r="AC175" s="24">
        <f t="shared" si="163"/>
        <v>0.16106349141222109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-9.9316821433603781E-14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327.826081588335</v>
      </c>
      <c r="AO175" s="62">
        <f t="shared" si="144"/>
        <v>348.84706693879735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0.30904521715452959</v>
      </c>
      <c r="AW175" s="23">
        <f>EXP(-LN(2)/2)*AW174+(1-EXP(-LN(2)/2))/(LN(2)/2)*AQ175*AT175*VLOOKUP('Données projet'!$B$10,Paramètres!$A$1:$I$89,3,0)*0.475*44/12</f>
        <v>6.3081824248887351E-21</v>
      </c>
      <c r="AX175" s="23">
        <f t="shared" si="166"/>
        <v>0.30904521715452959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-3.4106051316484809E-13</v>
      </c>
      <c r="BE175" s="14">
        <f>BD175*VLOOKUP('Données projet'!$B$11,Paramètres!$A$1:$I$89,3,0)*VLOOKUP('Données projet'!$B$11,Paramètres!$A$1:$I$89,5,0)</f>
        <v>-2.5006556825246659E-13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376.5422416541544</v>
      </c>
      <c r="BJ175" s="62">
        <f t="shared" si="146"/>
        <v>365.76175372075869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1.4849240194226669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1.4849240194226669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405.09126081846171</v>
      </c>
      <c r="CE175" s="62">
        <f t="shared" si="148"/>
        <v>534.22295841722166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0.59175338575910152</v>
      </c>
      <c r="CL175" s="23">
        <f>EXP(-LN(2)/25)*CL174+(1-EXP(-LN(2)/25))/(LN(2)/25)*Calculateur!CG175*Calculateur!CI175*VLOOKUP('Données projet'!$B$12,Paramètres!$A$1:$I$89,3,0)*0.475*44/12</f>
        <v>0.27346955342446971</v>
      </c>
      <c r="CM175" s="23">
        <f>EXP(-LN(2)/2)*CM174+(1-EXP(-LN(2)/2))/(LN(2)/2)*CG175*CJ175*VLOOKUP('Données projet'!$B$12,Paramètres!$A$1:$I$89,3,0)*0.475*44/12</f>
        <v>6.7325231546477722E-22</v>
      </c>
      <c r="CN175" s="24">
        <f t="shared" si="172"/>
        <v>0.86522293918357129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244.82163392718377</v>
      </c>
      <c r="CZ175" s="62">
        <f t="shared" si="150"/>
        <v>342.30266518164211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0.35495180557391531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0.35495180557391531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-2.2737367544323206E-13</v>
      </c>
      <c r="DP175" s="18">
        <f>DO175*VLOOKUP('Données projet'!$B$14,Paramètres!$A$1:$I$89,3,0)*VLOOKUP('Données projet'!$B$14,Paramètres!$A$1:$I$89,5,0)</f>
        <v>-1.8089849618263545E-13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298.89893065707554</v>
      </c>
      <c r="DU175" s="62">
        <f t="shared" si="152"/>
        <v>294.28794439094878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439.06700232017681</v>
      </c>
      <c r="EP175" s="62">
        <f t="shared" si="154"/>
        <v>278.21741231699929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0.17809074981117132</v>
      </c>
      <c r="EX175" s="23">
        <f>EXP(-LN(2)/2)*EX174+(1-EXP(-LN(2)/2))/(LN(2)/2)*ER175*EU175*VLOOKUP('Données projet'!$B$15,Paramètres!$A$1:$I$89,3,0)*0.475*44/12</f>
        <v>6.3145351800385555E-21</v>
      </c>
      <c r="EY175" s="24">
        <f t="shared" si="181"/>
        <v>0.17809074981117132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>
        <f>FE175*VLOOKUP('Données projet'!$B$16,Paramètres!$A$1:$I$89,3,0)*VLOOKUP('Données projet'!$B$16,Paramètres!$A$1:$I$89,5,0)</f>
        <v>0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466.4945858005575</v>
      </c>
      <c r="FK175" s="62">
        <f t="shared" si="156"/>
        <v>294.45557293177131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1.2807292254211821E-20</v>
      </c>
      <c r="FT175" s="24">
        <f t="shared" si="184"/>
        <v>1.2807292254211821E-20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>
        <f>FZ175*VLOOKUP('Données projet'!$B$17,Paramètres!$A$1:$I$89,3,0)*VLOOKUP('Données projet'!$B$17,Paramètres!$A$1:$I$89,5,0)</f>
        <v>0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459.64120566196812</v>
      </c>
      <c r="GF175" s="62">
        <f t="shared" si="158"/>
        <v>290.39826583283588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2.8421709430404007E-14</v>
      </c>
      <c r="O176" s="14">
        <f>N176*VLOOKUP('Données projet'!$B$9,Paramètres!$A$1:$I$89,3,0)*VLOOKUP('Données projet'!$B$9,Paramètres!$A$1:$I$89,5,0)</f>
        <v>1.5518253349000589E-14</v>
      </c>
      <c r="P176" s="14">
        <f t="shared" si="141"/>
        <v>2.8958815659671149E-13</v>
      </c>
      <c r="Q176" s="22">
        <f t="shared" si="162"/>
        <v>5.3139366398878183E-13</v>
      </c>
      <c r="R176" s="62">
        <f t="shared" si="109"/>
        <v>293.33333333333383</v>
      </c>
      <c r="S176" s="62">
        <f ca="1">AVERAGE(OFFSET($R$3,0,0,'Données projet'!$E$9+1,1))-AVERAGE(OFFSET($H$3,0,0,'Données projet'!$E$9+1,1))</f>
        <v>170.27677128684815</v>
      </c>
      <c r="T176" s="62">
        <f t="shared" si="142"/>
        <v>243.47439640666289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0.156659201769593</v>
      </c>
      <c r="AB176" s="23">
        <f>EXP(-LN(2)/2)*AB175+(1-EXP(-LN(2)/2))/(LN(2)/2)*V176*Y176*VLOOKUP('Données projet'!$B$9,Paramètres!$A$1:$I$89,3,0)*0.475*44/12</f>
        <v>2.2799918232090227E-21</v>
      </c>
      <c r="AC176" s="24">
        <f t="shared" si="163"/>
        <v>0.156659201769593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-9.9316821433603781E-14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327.826081588335</v>
      </c>
      <c r="AO176" s="62">
        <f t="shared" si="144"/>
        <v>348.84706693879735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0.30059435943945734</v>
      </c>
      <c r="AW176" s="23">
        <f>EXP(-LN(2)/2)*AW175+(1-EXP(-LN(2)/2))/(LN(2)/2)*AQ176*AT176*VLOOKUP('Données projet'!$B$10,Paramètres!$A$1:$I$89,3,0)*0.475*44/12</f>
        <v>4.4605585696006235E-21</v>
      </c>
      <c r="AX176" s="23">
        <f t="shared" si="166"/>
        <v>0.30059435943945734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-3.4106051316484809E-13</v>
      </c>
      <c r="BE176" s="14">
        <f>BD176*VLOOKUP('Données projet'!$B$11,Paramètres!$A$1:$I$89,3,0)*VLOOKUP('Données projet'!$B$11,Paramètres!$A$1:$I$89,5,0)</f>
        <v>-2.5006556825246659E-13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376.5422416541544</v>
      </c>
      <c r="BJ176" s="62">
        <f t="shared" si="146"/>
        <v>365.76175372075869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1.4558055651160084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1.4558055651160084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405.09126081846171</v>
      </c>
      <c r="CE176" s="62">
        <f t="shared" si="148"/>
        <v>534.22295841722166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0.5801494627982916</v>
      </c>
      <c r="CL176" s="23">
        <f>EXP(-LN(2)/25)*CL175+(1-EXP(-LN(2)/25))/(LN(2)/25)*Calculateur!CG176*Calculateur!CI176*VLOOKUP('Données projet'!$B$12,Paramètres!$A$1:$I$89,3,0)*0.475*44/12</f>
        <v>0.26599151410493882</v>
      </c>
      <c r="CM176" s="23">
        <f>EXP(-LN(2)/2)*CM175+(1-EXP(-LN(2)/2))/(LN(2)/2)*CG176*CJ176*VLOOKUP('Données projet'!$B$12,Paramètres!$A$1:$I$89,3,0)*0.475*44/12</f>
        <v>4.7606127771468868E-22</v>
      </c>
      <c r="CN176" s="24">
        <f t="shared" si="172"/>
        <v>0.84614097690323042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244.82163392718377</v>
      </c>
      <c r="CZ176" s="62">
        <f t="shared" si="150"/>
        <v>342.30266518164211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0.3479914171658347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0.3479914171658347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-2.2737367544323206E-13</v>
      </c>
      <c r="DP176" s="18">
        <f>DO176*VLOOKUP('Données projet'!$B$14,Paramètres!$A$1:$I$89,3,0)*VLOOKUP('Données projet'!$B$14,Paramètres!$A$1:$I$89,5,0)</f>
        <v>-1.8089849618263545E-13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298.89893065707554</v>
      </c>
      <c r="DU176" s="62">
        <f t="shared" si="152"/>
        <v>294.28794439094878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439.06700232017681</v>
      </c>
      <c r="EP176" s="62">
        <f t="shared" si="154"/>
        <v>278.21741231699929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0.17322084889219933</v>
      </c>
      <c r="EX176" s="23">
        <f>EXP(-LN(2)/2)*EX175+(1-EXP(-LN(2)/2))/(LN(2)/2)*ER176*EU176*VLOOKUP('Données projet'!$B$15,Paramètres!$A$1:$I$89,3,0)*0.475*44/12</f>
        <v>4.4650506458462793E-21</v>
      </c>
      <c r="EY176" s="24">
        <f t="shared" si="181"/>
        <v>0.17322084889219933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>
        <f>FE176*VLOOKUP('Données projet'!$B$16,Paramètres!$A$1:$I$89,3,0)*VLOOKUP('Données projet'!$B$16,Paramètres!$A$1:$I$89,5,0)</f>
        <v>0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466.4945858005575</v>
      </c>
      <c r="FK176" s="62">
        <f t="shared" si="156"/>
        <v>294.45557293177131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9.0561232015911229E-21</v>
      </c>
      <c r="FT176" s="24">
        <f t="shared" si="184"/>
        <v>9.0561232015911229E-21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>
        <f>FZ176*VLOOKUP('Données projet'!$B$17,Paramètres!$A$1:$I$89,3,0)*VLOOKUP('Données projet'!$B$17,Paramètres!$A$1:$I$89,5,0)</f>
        <v>0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459.64120566196812</v>
      </c>
      <c r="GF176" s="62">
        <f t="shared" si="158"/>
        <v>290.39826583283588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2.8421709430404007E-14</v>
      </c>
      <c r="O177" s="14">
        <f>N177*VLOOKUP('Données projet'!$B$9,Paramètres!$A$1:$I$89,3,0)*VLOOKUP('Données projet'!$B$9,Paramètres!$A$1:$I$89,5,0)</f>
        <v>1.5518253349000589E-14</v>
      </c>
      <c r="P177" s="14">
        <f t="shared" si="141"/>
        <v>2.8958815659671149E-13</v>
      </c>
      <c r="Q177" s="22">
        <f t="shared" si="162"/>
        <v>5.3139366398878183E-13</v>
      </c>
      <c r="R177" s="62">
        <f t="shared" si="109"/>
        <v>293.33333333333383</v>
      </c>
      <c r="S177" s="62">
        <f ca="1">AVERAGE(OFFSET($R$3,0,0,'Données projet'!$E$9+1,1))-AVERAGE(OFFSET($H$3,0,0,'Données projet'!$E$9+1,1))</f>
        <v>170.27677128684815</v>
      </c>
      <c r="T177" s="62">
        <f t="shared" si="142"/>
        <v>243.47439640666289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0.1523753476588541</v>
      </c>
      <c r="AB177" s="23">
        <f>EXP(-LN(2)/2)*AB176+(1-EXP(-LN(2)/2))/(LN(2)/2)*V177*Y177*VLOOKUP('Données projet'!$B$9,Paramètres!$A$1:$I$89,3,0)*0.475*44/12</f>
        <v>1.61219767924098E-21</v>
      </c>
      <c r="AC177" s="24">
        <f t="shared" si="163"/>
        <v>0.1523753476588541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-9.9316821433603781E-14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327.826081588335</v>
      </c>
      <c r="AO177" s="62">
        <f t="shared" si="144"/>
        <v>348.84706693879735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0.29237459087301504</v>
      </c>
      <c r="AW177" s="23">
        <f>EXP(-LN(2)/2)*AW176+(1-EXP(-LN(2)/2))/(LN(2)/2)*AQ177*AT177*VLOOKUP('Données projet'!$B$10,Paramètres!$A$1:$I$89,3,0)*0.475*44/12</f>
        <v>3.1540912124443676E-21</v>
      </c>
      <c r="AX177" s="23">
        <f t="shared" si="166"/>
        <v>0.29237459087301504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-3.4106051316484809E-13</v>
      </c>
      <c r="BE177" s="14">
        <f>BD177*VLOOKUP('Données projet'!$B$11,Paramètres!$A$1:$I$89,3,0)*VLOOKUP('Données projet'!$B$11,Paramètres!$A$1:$I$89,5,0)</f>
        <v>-2.5006556825246659E-13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376.5422416541544</v>
      </c>
      <c r="BJ177" s="62">
        <f t="shared" si="146"/>
        <v>365.76175372075869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1.4272581059378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1.4272581059378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405.09126081846171</v>
      </c>
      <c r="CE177" s="62">
        <f t="shared" si="148"/>
        <v>534.22295841722166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0.56877308568904905</v>
      </c>
      <c r="CL177" s="23">
        <f>EXP(-LN(2)/25)*CL176+(1-EXP(-LN(2)/25))/(LN(2)/25)*Calculateur!CG177*Calculateur!CI177*VLOOKUP('Données projet'!$B$12,Paramètres!$A$1:$I$89,3,0)*0.475*44/12</f>
        <v>0.25871796216385345</v>
      </c>
      <c r="CM177" s="23">
        <f>EXP(-LN(2)/2)*CM176+(1-EXP(-LN(2)/2))/(LN(2)/2)*CG177*CJ177*VLOOKUP('Données projet'!$B$12,Paramètres!$A$1:$I$89,3,0)*0.475*44/12</f>
        <v>3.3662615773238861E-22</v>
      </c>
      <c r="CN177" s="24">
        <f t="shared" si="172"/>
        <v>0.82749104785290251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244.82163392718377</v>
      </c>
      <c r="CZ177" s="62">
        <f t="shared" si="150"/>
        <v>342.30266518164211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0.34116751772901882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0.34116751772901882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-2.2737367544323206E-13</v>
      </c>
      <c r="DP177" s="18">
        <f>DO177*VLOOKUP('Données projet'!$B$14,Paramètres!$A$1:$I$89,3,0)*VLOOKUP('Données projet'!$B$14,Paramètres!$A$1:$I$89,5,0)</f>
        <v>-1.8089849618263545E-13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298.89893065707554</v>
      </c>
      <c r="DU177" s="62">
        <f t="shared" si="152"/>
        <v>294.28794439094878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439.06700232017681</v>
      </c>
      <c r="EP177" s="62">
        <f t="shared" si="154"/>
        <v>278.21741231699929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0.16848411566995358</v>
      </c>
      <c r="EX177" s="23">
        <f>EXP(-LN(2)/2)*EX176+(1-EXP(-LN(2)/2))/(LN(2)/2)*ER177*EU177*VLOOKUP('Données projet'!$B$15,Paramètres!$A$1:$I$89,3,0)*0.475*44/12</f>
        <v>3.1572675900192777E-21</v>
      </c>
      <c r="EY177" s="24">
        <f t="shared" si="181"/>
        <v>0.16848411566995358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>
        <f>FE177*VLOOKUP('Données projet'!$B$16,Paramètres!$A$1:$I$89,3,0)*VLOOKUP('Données projet'!$B$16,Paramètres!$A$1:$I$89,5,0)</f>
        <v>0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466.4945858005575</v>
      </c>
      <c r="FK177" s="62">
        <f t="shared" si="156"/>
        <v>294.45557293177131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6.4036461271059105E-21</v>
      </c>
      <c r="FT177" s="24">
        <f t="shared" si="184"/>
        <v>6.4036461271059105E-21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>
        <f>FZ177*VLOOKUP('Données projet'!$B$17,Paramètres!$A$1:$I$89,3,0)*VLOOKUP('Données projet'!$B$17,Paramètres!$A$1:$I$89,5,0)</f>
        <v>0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459.64120566196812</v>
      </c>
      <c r="GF177" s="62">
        <f t="shared" si="158"/>
        <v>290.39826583283588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2.8421709430404007E-14</v>
      </c>
      <c r="O178" s="14">
        <f>N178*VLOOKUP('Données projet'!$B$9,Paramètres!$A$1:$I$89,3,0)*VLOOKUP('Données projet'!$B$9,Paramètres!$A$1:$I$89,5,0)</f>
        <v>1.5518253349000589E-14</v>
      </c>
      <c r="P178" s="14">
        <f t="shared" si="141"/>
        <v>2.8958815659671149E-13</v>
      </c>
      <c r="Q178" s="22">
        <f t="shared" si="162"/>
        <v>5.3139366398878183E-13</v>
      </c>
      <c r="R178" s="62">
        <f t="shared" si="109"/>
        <v>293.33333333333383</v>
      </c>
      <c r="S178" s="62">
        <f ca="1">AVERAGE(OFFSET($R$3,0,0,'Données projet'!$E$9+1,1))-AVERAGE(OFFSET($H$3,0,0,'Données projet'!$E$9+1,1))</f>
        <v>170.27677128684815</v>
      </c>
      <c r="T178" s="62">
        <f t="shared" si="142"/>
        <v>243.47439640666289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0.14820863576405147</v>
      </c>
      <c r="AB178" s="23">
        <f>EXP(-LN(2)/2)*AB177+(1-EXP(-LN(2)/2))/(LN(2)/2)*V178*Y178*VLOOKUP('Données projet'!$B$9,Paramètres!$A$1:$I$89,3,0)*0.475*44/12</f>
        <v>1.1399959116045114E-21</v>
      </c>
      <c r="AC178" s="24">
        <f t="shared" si="163"/>
        <v>0.14820863576405147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-9.9316821433603781E-14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327.826081588335</v>
      </c>
      <c r="AO178" s="62">
        <f t="shared" si="144"/>
        <v>348.84706693879735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0.28437959231028093</v>
      </c>
      <c r="AW178" s="23">
        <f>EXP(-LN(2)/2)*AW177+(1-EXP(-LN(2)/2))/(LN(2)/2)*AQ178*AT178*VLOOKUP('Données projet'!$B$10,Paramètres!$A$1:$I$89,3,0)*0.475*44/12</f>
        <v>2.2302792848003118E-21</v>
      </c>
      <c r="AX178" s="23">
        <f t="shared" si="166"/>
        <v>0.28437959231028093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-3.4106051316484809E-13</v>
      </c>
      <c r="BE178" s="14">
        <f>BD178*VLOOKUP('Données projet'!$B$11,Paramètres!$A$1:$I$89,3,0)*VLOOKUP('Données projet'!$B$11,Paramètres!$A$1:$I$89,5,0)</f>
        <v>-2.5006556825246659E-13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376.5422416541544</v>
      </c>
      <c r="BJ178" s="62">
        <f t="shared" si="146"/>
        <v>365.76175372075869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1.3992704450218456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1.3992704450218456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405.09126081846171</v>
      </c>
      <c r="CE178" s="62">
        <f t="shared" si="148"/>
        <v>534.22295841722166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0.55761979239601378</v>
      </c>
      <c r="CL178" s="23">
        <f>EXP(-LN(2)/25)*CL177+(1-EXP(-LN(2)/25))/(LN(2)/25)*Calculateur!CG178*Calculateur!CI178*VLOOKUP('Données projet'!$B$12,Paramètres!$A$1:$I$89,3,0)*0.475*44/12</f>
        <v>0.25164330588309658</v>
      </c>
      <c r="CM178" s="23">
        <f>EXP(-LN(2)/2)*CM177+(1-EXP(-LN(2)/2))/(LN(2)/2)*CG178*CJ178*VLOOKUP('Données projet'!$B$12,Paramètres!$A$1:$I$89,3,0)*0.475*44/12</f>
        <v>2.3803063885734434E-22</v>
      </c>
      <c r="CN178" s="24">
        <f t="shared" si="172"/>
        <v>0.80926309827911036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244.82163392718377</v>
      </c>
      <c r="CZ178" s="62">
        <f t="shared" si="150"/>
        <v>342.30266518164211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0.33447743079799125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0.33447743079799125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-2.2737367544323206E-13</v>
      </c>
      <c r="DP178" s="18">
        <f>DO178*VLOOKUP('Données projet'!$B$14,Paramètres!$A$1:$I$89,3,0)*VLOOKUP('Données projet'!$B$14,Paramètres!$A$1:$I$89,5,0)</f>
        <v>-1.8089849618263545E-13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298.89893065707554</v>
      </c>
      <c r="DU178" s="62">
        <f t="shared" si="152"/>
        <v>294.28794439094878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439.06700232017681</v>
      </c>
      <c r="EP178" s="62">
        <f t="shared" si="154"/>
        <v>278.21741231699929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0.16387690866676413</v>
      </c>
      <c r="EX178" s="23">
        <f>EXP(-LN(2)/2)*EX177+(1-EXP(-LN(2)/2))/(LN(2)/2)*ER178*EU178*VLOOKUP('Données projet'!$B$15,Paramètres!$A$1:$I$89,3,0)*0.475*44/12</f>
        <v>2.2325253229231396E-21</v>
      </c>
      <c r="EY178" s="24">
        <f t="shared" si="181"/>
        <v>0.16387690866676413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>
        <f>FE178*VLOOKUP('Données projet'!$B$16,Paramètres!$A$1:$I$89,3,0)*VLOOKUP('Données projet'!$B$16,Paramètres!$A$1:$I$89,5,0)</f>
        <v>0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466.4945858005575</v>
      </c>
      <c r="FK178" s="62">
        <f t="shared" si="156"/>
        <v>294.45557293177131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4.5280616007955615E-21</v>
      </c>
      <c r="FT178" s="24">
        <f t="shared" si="184"/>
        <v>4.5280616007955615E-21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>
        <f>FZ178*VLOOKUP('Données projet'!$B$17,Paramètres!$A$1:$I$89,3,0)*VLOOKUP('Données projet'!$B$17,Paramètres!$A$1:$I$89,5,0)</f>
        <v>0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459.64120566196812</v>
      </c>
      <c r="GF178" s="62">
        <f t="shared" si="158"/>
        <v>290.39826583283588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2.8421709430404007E-14</v>
      </c>
      <c r="O179" s="14">
        <f>N179*VLOOKUP('Données projet'!$B$9,Paramètres!$A$1:$I$89,3,0)*VLOOKUP('Données projet'!$B$9,Paramètres!$A$1:$I$89,5,0)</f>
        <v>1.5518253349000589E-14</v>
      </c>
      <c r="P179" s="14">
        <f t="shared" si="141"/>
        <v>2.8958815659671149E-13</v>
      </c>
      <c r="Q179" s="22">
        <f t="shared" si="162"/>
        <v>5.3139366398878183E-13</v>
      </c>
      <c r="R179" s="62">
        <f t="shared" si="109"/>
        <v>293.33333333333383</v>
      </c>
      <c r="S179" s="62">
        <f ca="1">AVERAGE(OFFSET($R$3,0,0,'Données projet'!$E$9+1,1))-AVERAGE(OFFSET($H$3,0,0,'Données projet'!$E$9+1,1))</f>
        <v>170.27677128684815</v>
      </c>
      <c r="T179" s="62">
        <f t="shared" si="142"/>
        <v>243.47439640666289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0.14415586282513007</v>
      </c>
      <c r="AB179" s="23">
        <f>EXP(-LN(2)/2)*AB178+(1-EXP(-LN(2)/2))/(LN(2)/2)*V179*Y179*VLOOKUP('Données projet'!$B$9,Paramètres!$A$1:$I$89,3,0)*0.475*44/12</f>
        <v>8.0609883962048999E-22</v>
      </c>
      <c r="AC179" s="24">
        <f t="shared" si="163"/>
        <v>0.14415586282513007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-9.9316821433603781E-14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327.826081588335</v>
      </c>
      <c r="AO179" s="62">
        <f t="shared" si="144"/>
        <v>348.84706693879735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0.27660321740368349</v>
      </c>
      <c r="AW179" s="23">
        <f>EXP(-LN(2)/2)*AW178+(1-EXP(-LN(2)/2))/(LN(2)/2)*AQ179*AT179*VLOOKUP('Données projet'!$B$10,Paramètres!$A$1:$I$89,3,0)*0.475*44/12</f>
        <v>1.5770456062221838E-21</v>
      </c>
      <c r="AX179" s="23">
        <f t="shared" si="166"/>
        <v>0.27660321740368349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-3.4106051316484809E-13</v>
      </c>
      <c r="BE179" s="14">
        <f>BD179*VLOOKUP('Données projet'!$B$11,Paramètres!$A$1:$I$89,3,0)*VLOOKUP('Données projet'!$B$11,Paramètres!$A$1:$I$89,5,0)</f>
        <v>-2.5006556825246659E-13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376.5422416541544</v>
      </c>
      <c r="BJ179" s="62">
        <f t="shared" si="146"/>
        <v>365.76175372075869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1.3718316050656654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1.3718316050656654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405.09126081846171</v>
      </c>
      <c r="CE179" s="62">
        <f t="shared" si="148"/>
        <v>534.22295841722166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0.54668520838161783</v>
      </c>
      <c r="CL179" s="23">
        <f>EXP(-LN(2)/25)*CL178+(1-EXP(-LN(2)/25))/(LN(2)/25)*Calculateur!CG179*Calculateur!CI179*VLOOKUP('Données projet'!$B$12,Paramètres!$A$1:$I$89,3,0)*0.475*44/12</f>
        <v>0.24476210645037699</v>
      </c>
      <c r="CM179" s="23">
        <f>EXP(-LN(2)/2)*CM178+(1-EXP(-LN(2)/2))/(LN(2)/2)*CG179*CJ179*VLOOKUP('Données projet'!$B$12,Paramètres!$A$1:$I$89,3,0)*0.475*44/12</f>
        <v>1.6831307886619431E-22</v>
      </c>
      <c r="CN179" s="24">
        <f t="shared" si="172"/>
        <v>0.79144731483199482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244.82163392718377</v>
      </c>
      <c r="CZ179" s="62">
        <f t="shared" si="150"/>
        <v>342.30266518164211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0.327918532391131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0.327918532391131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-2.2737367544323206E-13</v>
      </c>
      <c r="DP179" s="18">
        <f>DO179*VLOOKUP('Données projet'!$B$14,Paramètres!$A$1:$I$89,3,0)*VLOOKUP('Données projet'!$B$14,Paramètres!$A$1:$I$89,5,0)</f>
        <v>-1.8089849618263545E-13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298.89893065707554</v>
      </c>
      <c r="DU179" s="62">
        <f t="shared" si="152"/>
        <v>294.28794439094878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439.06700232017681</v>
      </c>
      <c r="EP179" s="62">
        <f t="shared" si="154"/>
        <v>278.21741231699929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0.15939568598135939</v>
      </c>
      <c r="EX179" s="23">
        <f>EXP(-LN(2)/2)*EX178+(1-EXP(-LN(2)/2))/(LN(2)/2)*ER179*EU179*VLOOKUP('Données projet'!$B$15,Paramètres!$A$1:$I$89,3,0)*0.475*44/12</f>
        <v>1.5786337950096389E-21</v>
      </c>
      <c r="EY179" s="24">
        <f t="shared" si="181"/>
        <v>0.15939568598135939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>
        <f>FE179*VLOOKUP('Données projet'!$B$16,Paramètres!$A$1:$I$89,3,0)*VLOOKUP('Données projet'!$B$16,Paramètres!$A$1:$I$89,5,0)</f>
        <v>0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466.4945858005575</v>
      </c>
      <c r="FK179" s="62">
        <f t="shared" si="156"/>
        <v>294.45557293177131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3.2018230635529552E-21</v>
      </c>
      <c r="FT179" s="24">
        <f t="shared" si="184"/>
        <v>3.2018230635529552E-21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>
        <f>FZ179*VLOOKUP('Données projet'!$B$17,Paramètres!$A$1:$I$89,3,0)*VLOOKUP('Données projet'!$B$17,Paramètres!$A$1:$I$89,5,0)</f>
        <v>0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459.64120566196812</v>
      </c>
      <c r="GF179" s="62">
        <f t="shared" si="158"/>
        <v>290.39826583283588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2.8421709430404007E-14</v>
      </c>
      <c r="O180" s="14">
        <f>N180*VLOOKUP('Données projet'!$B$9,Paramètres!$A$1:$I$89,3,0)*VLOOKUP('Données projet'!$B$9,Paramètres!$A$1:$I$89,5,0)</f>
        <v>1.5518253349000589E-14</v>
      </c>
      <c r="P180" s="14">
        <f t="shared" si="141"/>
        <v>2.8958815659671149E-13</v>
      </c>
      <c r="Q180" s="22">
        <f t="shared" si="162"/>
        <v>5.3139366398878183E-13</v>
      </c>
      <c r="R180" s="62">
        <f t="shared" si="109"/>
        <v>293.33333333333383</v>
      </c>
      <c r="S180" s="62">
        <f ca="1">AVERAGE(OFFSET($R$3,0,0,'Données projet'!$E$9+1,1))-AVERAGE(OFFSET($H$3,0,0,'Données projet'!$E$9+1,1))</f>
        <v>170.27677128684815</v>
      </c>
      <c r="T180" s="62">
        <f t="shared" si="142"/>
        <v>243.47439640666289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0.14021391317534954</v>
      </c>
      <c r="AB180" s="23">
        <f>EXP(-LN(2)/2)*AB179+(1-EXP(-LN(2)/2))/(LN(2)/2)*V180*Y180*VLOOKUP('Données projet'!$B$9,Paramètres!$A$1:$I$89,3,0)*0.475*44/12</f>
        <v>5.6999795580225568E-22</v>
      </c>
      <c r="AC180" s="24">
        <f t="shared" si="163"/>
        <v>0.14021391317534954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-9.9316821433603781E-14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327.826081588335</v>
      </c>
      <c r="AO180" s="62">
        <f t="shared" si="144"/>
        <v>348.84706693879735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0.26903948787784876</v>
      </c>
      <c r="AW180" s="23">
        <f>EXP(-LN(2)/2)*AW179+(1-EXP(-LN(2)/2))/(LN(2)/2)*AQ180*AT180*VLOOKUP('Données projet'!$B$10,Paramètres!$A$1:$I$89,3,0)*0.475*44/12</f>
        <v>1.1151396424001559E-21</v>
      </c>
      <c r="AX180" s="23">
        <f t="shared" si="166"/>
        <v>0.26903948787784876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-3.4106051316484809E-13</v>
      </c>
      <c r="BE180" s="14">
        <f>BD180*VLOOKUP('Données projet'!$B$11,Paramètres!$A$1:$I$89,3,0)*VLOOKUP('Données projet'!$B$11,Paramètres!$A$1:$I$89,5,0)</f>
        <v>-2.5006556825246659E-13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376.5422416541544</v>
      </c>
      <c r="BJ180" s="62">
        <f t="shared" si="146"/>
        <v>365.76175372075869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1.344930824024986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1.344930824024986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405.09126081846171</v>
      </c>
      <c r="CE180" s="62">
        <f t="shared" si="148"/>
        <v>534.22295841722166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0.5359650448903065</v>
      </c>
      <c r="CL180" s="23">
        <f>EXP(-LN(2)/25)*CL179+(1-EXP(-LN(2)/25))/(LN(2)/25)*Calculateur!CG180*Calculateur!CI180*VLOOKUP('Données projet'!$B$12,Paramètres!$A$1:$I$89,3,0)*0.475*44/12</f>
        <v>0.23806907377801168</v>
      </c>
      <c r="CM180" s="23">
        <f>EXP(-LN(2)/2)*CM179+(1-EXP(-LN(2)/2))/(LN(2)/2)*CG180*CJ180*VLOOKUP('Données projet'!$B$12,Paramètres!$A$1:$I$89,3,0)*0.475*44/12</f>
        <v>1.1901531942867217E-22</v>
      </c>
      <c r="CN180" s="24">
        <f t="shared" si="172"/>
        <v>0.77403411866831817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244.82163392718377</v>
      </c>
      <c r="CZ180" s="62">
        <f t="shared" si="150"/>
        <v>342.30266518164211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0.32148824998149628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0.32148824998149628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-2.2737367544323206E-13</v>
      </c>
      <c r="DP180" s="18">
        <f>DO180*VLOOKUP('Données projet'!$B$14,Paramètres!$A$1:$I$89,3,0)*VLOOKUP('Données projet'!$B$14,Paramètres!$A$1:$I$89,5,0)</f>
        <v>-1.8089849618263545E-13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298.89893065707554</v>
      </c>
      <c r="DU180" s="62">
        <f t="shared" si="152"/>
        <v>294.28794439094878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439.06700232017681</v>
      </c>
      <c r="EP180" s="62">
        <f t="shared" si="154"/>
        <v>278.21741231699929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0.1550370025659443</v>
      </c>
      <c r="EX180" s="23">
        <f>EXP(-LN(2)/2)*EX179+(1-EXP(-LN(2)/2))/(LN(2)/2)*ER180*EU180*VLOOKUP('Données projet'!$B$15,Paramètres!$A$1:$I$89,3,0)*0.475*44/12</f>
        <v>1.1162626614615698E-21</v>
      </c>
      <c r="EY180" s="24">
        <f t="shared" si="181"/>
        <v>0.1550370025659443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>
        <f>FE180*VLOOKUP('Données projet'!$B$16,Paramètres!$A$1:$I$89,3,0)*VLOOKUP('Données projet'!$B$16,Paramètres!$A$1:$I$89,5,0)</f>
        <v>0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466.4945858005575</v>
      </c>
      <c r="FK180" s="62">
        <f t="shared" si="156"/>
        <v>294.45557293177131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2.2640308003977807E-21</v>
      </c>
      <c r="FT180" s="24">
        <f t="shared" si="184"/>
        <v>2.2640308003977807E-21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>
        <f>FZ180*VLOOKUP('Données projet'!$B$17,Paramètres!$A$1:$I$89,3,0)*VLOOKUP('Données projet'!$B$17,Paramètres!$A$1:$I$89,5,0)</f>
        <v>0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459.64120566196812</v>
      </c>
      <c r="GF180" s="62">
        <f t="shared" si="158"/>
        <v>290.39826583283588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2.8421709430404007E-14</v>
      </c>
      <c r="O181" s="14">
        <f>N181*VLOOKUP('Données projet'!$B$9,Paramètres!$A$1:$I$89,3,0)*VLOOKUP('Données projet'!$B$9,Paramètres!$A$1:$I$89,5,0)</f>
        <v>1.5518253349000589E-14</v>
      </c>
      <c r="P181" s="14">
        <f t="shared" si="141"/>
        <v>2.8958815659671149E-13</v>
      </c>
      <c r="Q181" s="22">
        <f t="shared" si="162"/>
        <v>5.3139366398878183E-13</v>
      </c>
      <c r="R181" s="62">
        <f t="shared" si="109"/>
        <v>293.33333333333383</v>
      </c>
      <c r="S181" s="62">
        <f ca="1">AVERAGE(OFFSET($R$3,0,0,'Données projet'!$E$9+1,1))-AVERAGE(OFFSET($H$3,0,0,'Données projet'!$E$9+1,1))</f>
        <v>170.27677128684815</v>
      </c>
      <c r="T181" s="62">
        <f t="shared" si="142"/>
        <v>243.47439640666289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0.13637975634604038</v>
      </c>
      <c r="AB181" s="23">
        <f>EXP(-LN(2)/2)*AB180+(1-EXP(-LN(2)/2))/(LN(2)/2)*V181*Y181*VLOOKUP('Données projet'!$B$9,Paramètres!$A$1:$I$89,3,0)*0.475*44/12</f>
        <v>4.03049419810245E-22</v>
      </c>
      <c r="AC181" s="24">
        <f t="shared" si="163"/>
        <v>0.13637975634604038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-9.9316821433603781E-14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327.826081588335</v>
      </c>
      <c r="AO181" s="62">
        <f t="shared" si="144"/>
        <v>348.84706693879735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0.2616825889336572</v>
      </c>
      <c r="AW181" s="23">
        <f>EXP(-LN(2)/2)*AW180+(1-EXP(-LN(2)/2))/(LN(2)/2)*AQ181*AT181*VLOOKUP('Données projet'!$B$10,Paramètres!$A$1:$I$89,3,0)*0.475*44/12</f>
        <v>7.8852280311109189E-22</v>
      </c>
      <c r="AX181" s="23">
        <f t="shared" si="166"/>
        <v>0.2616825889336572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-3.4106051316484809E-13</v>
      </c>
      <c r="BE181" s="14">
        <f>BD181*VLOOKUP('Données projet'!$B$11,Paramètres!$A$1:$I$89,3,0)*VLOOKUP('Données projet'!$B$11,Paramètres!$A$1:$I$89,5,0)</f>
        <v>-2.5006556825246659E-13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376.5422416541544</v>
      </c>
      <c r="BJ181" s="62">
        <f t="shared" si="146"/>
        <v>365.76175372075869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1.3185575508926581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1.3185575508926581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405.09126081846171</v>
      </c>
      <c r="CE181" s="62">
        <f t="shared" si="148"/>
        <v>534.22295841722166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0.5254550972664056</v>
      </c>
      <c r="CL181" s="23">
        <f>EXP(-LN(2)/25)*CL180+(1-EXP(-LN(2)/25))/(LN(2)/25)*Calculateur!CG181*Calculateur!CI181*VLOOKUP('Données projet'!$B$12,Paramètres!$A$1:$I$89,3,0)*0.475*44/12</f>
        <v>0.23155906243604346</v>
      </c>
      <c r="CM181" s="23">
        <f>EXP(-LN(2)/2)*CM180+(1-EXP(-LN(2)/2))/(LN(2)/2)*CG181*CJ181*VLOOKUP('Données projet'!$B$12,Paramètres!$A$1:$I$89,3,0)*0.475*44/12</f>
        <v>8.4156539433097153E-23</v>
      </c>
      <c r="CN181" s="24">
        <f t="shared" si="172"/>
        <v>0.75701415970244912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244.82163392718377</v>
      </c>
      <c r="CZ181" s="62">
        <f t="shared" si="150"/>
        <v>342.30266518164211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0.31518406148782951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0.31518406148782951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-2.2737367544323206E-13</v>
      </c>
      <c r="DP181" s="18">
        <f>DO181*VLOOKUP('Données projet'!$B$14,Paramètres!$A$1:$I$89,3,0)*VLOOKUP('Données projet'!$B$14,Paramètres!$A$1:$I$89,5,0)</f>
        <v>-1.8089849618263545E-13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298.89893065707554</v>
      </c>
      <c r="DU181" s="62">
        <f t="shared" si="152"/>
        <v>294.28794439094878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439.06700232017681</v>
      </c>
      <c r="EP181" s="62">
        <f t="shared" si="154"/>
        <v>278.21741231699929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0.15079750757773694</v>
      </c>
      <c r="EX181" s="23">
        <f>EXP(-LN(2)/2)*EX180+(1-EXP(-LN(2)/2))/(LN(2)/2)*ER181*EU181*VLOOKUP('Données projet'!$B$15,Paramètres!$A$1:$I$89,3,0)*0.475*44/12</f>
        <v>7.8931689750481943E-22</v>
      </c>
      <c r="EY181" s="24">
        <f t="shared" si="181"/>
        <v>0.15079750757773694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>
        <f>FE181*VLOOKUP('Données projet'!$B$16,Paramètres!$A$1:$I$89,3,0)*VLOOKUP('Données projet'!$B$16,Paramètres!$A$1:$I$89,5,0)</f>
        <v>0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466.4945858005575</v>
      </c>
      <c r="FK181" s="62">
        <f t="shared" si="156"/>
        <v>294.45557293177131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1.6009115317764776E-21</v>
      </c>
      <c r="FT181" s="24">
        <f t="shared" si="184"/>
        <v>1.6009115317764776E-21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>
        <f>FZ181*VLOOKUP('Données projet'!$B$17,Paramètres!$A$1:$I$89,3,0)*VLOOKUP('Données projet'!$B$17,Paramètres!$A$1:$I$89,5,0)</f>
        <v>0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459.64120566196812</v>
      </c>
      <c r="GF181" s="62">
        <f t="shared" si="158"/>
        <v>290.39826583283588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2.8421709430404007E-14</v>
      </c>
      <c r="O182" s="14">
        <f>N182*VLOOKUP('Données projet'!$B$9,Paramètres!$A$1:$I$89,3,0)*VLOOKUP('Données projet'!$B$9,Paramètres!$A$1:$I$89,5,0)</f>
        <v>1.5518253349000589E-14</v>
      </c>
      <c r="P182" s="14">
        <f t="shared" si="141"/>
        <v>2.8958815659671149E-13</v>
      </c>
      <c r="Q182" s="22">
        <f t="shared" si="162"/>
        <v>5.3139366398878183E-13</v>
      </c>
      <c r="R182" s="62">
        <f t="shared" si="109"/>
        <v>293.33333333333383</v>
      </c>
      <c r="S182" s="62">
        <f ca="1">AVERAGE(OFFSET($R$3,0,0,'Données projet'!$E$9+1,1))-AVERAGE(OFFSET($H$3,0,0,'Données projet'!$E$9+1,1))</f>
        <v>170.27677128684815</v>
      </c>
      <c r="T182" s="62">
        <f t="shared" si="142"/>
        <v>243.47439640666289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0.13265044473685822</v>
      </c>
      <c r="AB182" s="23">
        <f>EXP(-LN(2)/2)*AB181+(1-EXP(-LN(2)/2))/(LN(2)/2)*V182*Y182*VLOOKUP('Données projet'!$B$9,Paramètres!$A$1:$I$89,3,0)*0.475*44/12</f>
        <v>2.8499897790112784E-22</v>
      </c>
      <c r="AC182" s="24">
        <f t="shared" si="163"/>
        <v>0.13265044473685822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-9.9316821433603781E-14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327.826081588335</v>
      </c>
      <c r="AO182" s="62">
        <f t="shared" si="144"/>
        <v>348.84706693879735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0.25452686477797709</v>
      </c>
      <c r="AW182" s="23">
        <f>EXP(-LN(2)/2)*AW181+(1-EXP(-LN(2)/2))/(LN(2)/2)*AQ182*AT182*VLOOKUP('Données projet'!$B$10,Paramètres!$A$1:$I$89,3,0)*0.475*44/12</f>
        <v>5.5756982120007794E-22</v>
      </c>
      <c r="AX182" s="23">
        <f t="shared" si="166"/>
        <v>0.25452686477797709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-3.4106051316484809E-13</v>
      </c>
      <c r="BE182" s="14">
        <f>BD182*VLOOKUP('Données projet'!$B$11,Paramètres!$A$1:$I$89,3,0)*VLOOKUP('Données projet'!$B$11,Paramètres!$A$1:$I$89,5,0)</f>
        <v>-2.5006556825246659E-13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376.5422416541544</v>
      </c>
      <c r="BJ182" s="62">
        <f t="shared" si="146"/>
        <v>365.76175372075869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1.2927014415603471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1.2927014415603471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405.09126081846171</v>
      </c>
      <c r="CE182" s="62">
        <f t="shared" si="148"/>
        <v>534.22295841722166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0.51515124330497442</v>
      </c>
      <c r="CL182" s="23">
        <f>EXP(-LN(2)/25)*CL181+(1-EXP(-LN(2)/25))/(LN(2)/25)*Calculateur!CG182*Calculateur!CI182*VLOOKUP('Données projet'!$B$12,Paramètres!$A$1:$I$89,3,0)*0.475*44/12</f>
        <v>0.225227067696568</v>
      </c>
      <c r="CM182" s="23">
        <f>EXP(-LN(2)/2)*CM181+(1-EXP(-LN(2)/2))/(LN(2)/2)*CG182*CJ182*VLOOKUP('Données projet'!$B$12,Paramètres!$A$1:$I$89,3,0)*0.475*44/12</f>
        <v>5.9507659714336086E-23</v>
      </c>
      <c r="CN182" s="24">
        <f t="shared" si="172"/>
        <v>0.74037831100154239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244.82163392718377</v>
      </c>
      <c r="CZ182" s="62">
        <f t="shared" si="150"/>
        <v>342.30266518164211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0.30900349428534823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0.30900349428534823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-2.2737367544323206E-13</v>
      </c>
      <c r="DP182" s="18">
        <f>DO182*VLOOKUP('Données projet'!$B$14,Paramètres!$A$1:$I$89,3,0)*VLOOKUP('Données projet'!$B$14,Paramètres!$A$1:$I$89,5,0)</f>
        <v>-1.8089849618263545E-13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298.89893065707554</v>
      </c>
      <c r="DU182" s="62">
        <f t="shared" si="152"/>
        <v>294.28794439094878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439.06700232017681</v>
      </c>
      <c r="EP182" s="62">
        <f t="shared" si="154"/>
        <v>278.21741231699929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0.14667394180292745</v>
      </c>
      <c r="EX182" s="23">
        <f>EXP(-LN(2)/2)*EX181+(1-EXP(-LN(2)/2))/(LN(2)/2)*ER182*EU182*VLOOKUP('Données projet'!$B$15,Paramètres!$A$1:$I$89,3,0)*0.475*44/12</f>
        <v>5.5813133073078491E-22</v>
      </c>
      <c r="EY182" s="24">
        <f t="shared" si="181"/>
        <v>0.14667394180292745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>
        <f>FE182*VLOOKUP('Données projet'!$B$16,Paramètres!$A$1:$I$89,3,0)*VLOOKUP('Données projet'!$B$16,Paramètres!$A$1:$I$89,5,0)</f>
        <v>0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466.4945858005575</v>
      </c>
      <c r="FK182" s="62">
        <f t="shared" si="156"/>
        <v>294.45557293177131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1.1320154001988904E-21</v>
      </c>
      <c r="FT182" s="24">
        <f t="shared" si="184"/>
        <v>1.1320154001988904E-21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>
        <f>FZ182*VLOOKUP('Données projet'!$B$17,Paramètres!$A$1:$I$89,3,0)*VLOOKUP('Données projet'!$B$17,Paramètres!$A$1:$I$89,5,0)</f>
        <v>0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459.64120566196812</v>
      </c>
      <c r="GF182" s="62">
        <f t="shared" si="158"/>
        <v>290.39826583283588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2.8421709430404007E-14</v>
      </c>
      <c r="O183" s="14">
        <f>N183*VLOOKUP('Données projet'!$B$9,Paramètres!$A$1:$I$89,3,0)*VLOOKUP('Données projet'!$B$9,Paramètres!$A$1:$I$89,5,0)</f>
        <v>1.5518253349000589E-14</v>
      </c>
      <c r="P183" s="14">
        <f t="shared" si="141"/>
        <v>2.8958815659671149E-13</v>
      </c>
      <c r="Q183" s="22">
        <f t="shared" si="162"/>
        <v>5.3139366398878183E-13</v>
      </c>
      <c r="R183" s="62">
        <f t="shared" si="109"/>
        <v>293.33333333333383</v>
      </c>
      <c r="S183" s="62">
        <f ca="1">AVERAGE(OFFSET($R$3,0,0,'Données projet'!$E$9+1,1))-AVERAGE(OFFSET($H$3,0,0,'Données projet'!$E$9+1,1))</f>
        <v>170.27677128684815</v>
      </c>
      <c r="T183" s="62">
        <f t="shared" si="142"/>
        <v>243.47439640666289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0.12902311134974512</v>
      </c>
      <c r="AB183" s="23">
        <f>EXP(-LN(2)/2)*AB182+(1-EXP(-LN(2)/2))/(LN(2)/2)*V183*Y183*VLOOKUP('Données projet'!$B$9,Paramètres!$A$1:$I$89,3,0)*0.475*44/12</f>
        <v>2.015247099051225E-22</v>
      </c>
      <c r="AC183" s="24">
        <f t="shared" si="163"/>
        <v>0.12902311134974512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-9.9316821433603781E-14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327.826081588335</v>
      </c>
      <c r="AO183" s="62">
        <f t="shared" si="144"/>
        <v>348.84706693879735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0.24756681427563723</v>
      </c>
      <c r="AW183" s="23">
        <f>EXP(-LN(2)/2)*AW182+(1-EXP(-LN(2)/2))/(LN(2)/2)*AQ183*AT183*VLOOKUP('Données projet'!$B$10,Paramètres!$A$1:$I$89,3,0)*0.475*44/12</f>
        <v>3.9426140155554595E-22</v>
      </c>
      <c r="AX183" s="23">
        <f t="shared" si="166"/>
        <v>0.24756681427563723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-3.4106051316484809E-13</v>
      </c>
      <c r="BE183" s="14">
        <f>BD183*VLOOKUP('Données projet'!$B$11,Paramètres!$A$1:$I$89,3,0)*VLOOKUP('Données projet'!$B$11,Paramètres!$A$1:$I$89,5,0)</f>
        <v>-2.5006556825246659E-13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376.5422416541544</v>
      </c>
      <c r="BJ183" s="62">
        <f t="shared" si="146"/>
        <v>365.76175372075869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1.267352354761373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1.267352354761373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405.09126081846171</v>
      </c>
      <c r="CE183" s="62">
        <f t="shared" si="148"/>
        <v>534.22295841722166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0.50504944163499654</v>
      </c>
      <c r="CL183" s="23">
        <f>EXP(-LN(2)/25)*CL182+(1-EXP(-LN(2)/25))/(LN(2)/25)*Calculateur!CG183*Calculateur!CI183*VLOOKUP('Données projet'!$B$12,Paramètres!$A$1:$I$89,3,0)*0.475*44/12</f>
        <v>0.21906822168622861</v>
      </c>
      <c r="CM183" s="23">
        <f>EXP(-LN(2)/2)*CM182+(1-EXP(-LN(2)/2))/(LN(2)/2)*CG183*CJ183*VLOOKUP('Données projet'!$B$12,Paramètres!$A$1:$I$89,3,0)*0.475*44/12</f>
        <v>4.2078269716548576E-23</v>
      </c>
      <c r="CN183" s="24">
        <f t="shared" si="172"/>
        <v>0.72411766332122518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244.82163392718377</v>
      </c>
      <c r="CZ183" s="62">
        <f t="shared" si="150"/>
        <v>342.30266518164211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0.30294412423593386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0.30294412423593386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-2.2737367544323206E-13</v>
      </c>
      <c r="DP183" s="18">
        <f>DO183*VLOOKUP('Données projet'!$B$14,Paramètres!$A$1:$I$89,3,0)*VLOOKUP('Données projet'!$B$14,Paramètres!$A$1:$I$89,5,0)</f>
        <v>-1.8089849618263545E-13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298.89893065707554</v>
      </c>
      <c r="DU183" s="62">
        <f t="shared" si="152"/>
        <v>294.28794439094878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439.06700232017681</v>
      </c>
      <c r="EP183" s="62">
        <f t="shared" si="154"/>
        <v>278.21741231699929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0.14266313515107903</v>
      </c>
      <c r="EX183" s="23">
        <f>EXP(-LN(2)/2)*EX182+(1-EXP(-LN(2)/2))/(LN(2)/2)*ER183*EU183*VLOOKUP('Données projet'!$B$15,Paramètres!$A$1:$I$89,3,0)*0.475*44/12</f>
        <v>3.9465844875240972E-22</v>
      </c>
      <c r="EY183" s="24">
        <f t="shared" si="181"/>
        <v>0.14266313515107903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>
        <f>FE183*VLOOKUP('Données projet'!$B$16,Paramètres!$A$1:$I$89,3,0)*VLOOKUP('Données projet'!$B$16,Paramètres!$A$1:$I$89,5,0)</f>
        <v>0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466.4945858005575</v>
      </c>
      <c r="FK183" s="62">
        <f t="shared" si="156"/>
        <v>294.45557293177131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8.0045576588823881E-22</v>
      </c>
      <c r="FT183" s="24">
        <f t="shared" si="184"/>
        <v>8.0045576588823881E-22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>
        <f>FZ183*VLOOKUP('Données projet'!$B$17,Paramètres!$A$1:$I$89,3,0)*VLOOKUP('Données projet'!$B$17,Paramètres!$A$1:$I$89,5,0)</f>
        <v>0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459.64120566196812</v>
      </c>
      <c r="GF183" s="62">
        <f t="shared" si="158"/>
        <v>290.39826583283588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2.8421709430404007E-14</v>
      </c>
      <c r="O184" s="14">
        <f>N184*VLOOKUP('Données projet'!$B$9,Paramètres!$A$1:$I$89,3,0)*VLOOKUP('Données projet'!$B$9,Paramètres!$A$1:$I$89,5,0)</f>
        <v>1.5518253349000589E-14</v>
      </c>
      <c r="P184" s="14">
        <f t="shared" si="141"/>
        <v>2.8958815659671149E-13</v>
      </c>
      <c r="Q184" s="22">
        <f t="shared" si="162"/>
        <v>5.3139366398878183E-13</v>
      </c>
      <c r="R184" s="62">
        <f t="shared" si="109"/>
        <v>293.33333333333383</v>
      </c>
      <c r="S184" s="62">
        <f ca="1">AVERAGE(OFFSET($R$3,0,0,'Données projet'!$E$9+1,1))-AVERAGE(OFFSET($H$3,0,0,'Données projet'!$E$9+1,1))</f>
        <v>170.27677128684815</v>
      </c>
      <c r="T184" s="62">
        <f t="shared" si="142"/>
        <v>243.47439640666289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0.12549496758485579</v>
      </c>
      <c r="AB184" s="23">
        <f>EXP(-LN(2)/2)*AB183+(1-EXP(-LN(2)/2))/(LN(2)/2)*V184*Y184*VLOOKUP('Données projet'!$B$9,Paramètres!$A$1:$I$89,3,0)*0.475*44/12</f>
        <v>1.4249948895056392E-22</v>
      </c>
      <c r="AC184" s="24">
        <f t="shared" si="163"/>
        <v>0.12549496758485579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-9.9316821433603781E-14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327.826081588335</v>
      </c>
      <c r="AO184" s="62">
        <f t="shared" si="144"/>
        <v>348.84706693879735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0.24079708672029698</v>
      </c>
      <c r="AW184" s="23">
        <f>EXP(-LN(2)/2)*AW183+(1-EXP(-LN(2)/2))/(LN(2)/2)*AQ184*AT184*VLOOKUP('Données projet'!$B$10,Paramètres!$A$1:$I$89,3,0)*0.475*44/12</f>
        <v>2.7878491060003897E-22</v>
      </c>
      <c r="AX184" s="23">
        <f t="shared" si="166"/>
        <v>0.24079708672029698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-3.4106051316484809E-13</v>
      </c>
      <c r="BE184" s="14">
        <f>BD184*VLOOKUP('Données projet'!$B$11,Paramètres!$A$1:$I$89,3,0)*VLOOKUP('Données projet'!$B$11,Paramètres!$A$1:$I$89,5,0)</f>
        <v>-2.5006556825246659E-13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376.5422416541544</v>
      </c>
      <c r="BJ184" s="62">
        <f t="shared" si="146"/>
        <v>365.76175372075869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1.2425003480931105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1.2425003480931105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405.09126081846171</v>
      </c>
      <c r="CE184" s="62">
        <f t="shared" si="148"/>
        <v>534.22295841722166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0.49514573013427626</v>
      </c>
      <c r="CL184" s="23">
        <f>EXP(-LN(2)/25)*CL183+(1-EXP(-LN(2)/25))/(LN(2)/25)*Calculateur!CG184*Calculateur!CI184*VLOOKUP('Données projet'!$B$12,Paramètres!$A$1:$I$89,3,0)*0.475*44/12</f>
        <v>0.2130777896439216</v>
      </c>
      <c r="CM184" s="23">
        <f>EXP(-LN(2)/2)*CM183+(1-EXP(-LN(2)/2))/(LN(2)/2)*CG184*CJ184*VLOOKUP('Données projet'!$B$12,Paramètres!$A$1:$I$89,3,0)*0.475*44/12</f>
        <v>2.9753829857168043E-23</v>
      </c>
      <c r="CN184" s="24">
        <f t="shared" si="172"/>
        <v>0.70822351977819786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244.82163392718377</v>
      </c>
      <c r="CZ184" s="62">
        <f t="shared" si="150"/>
        <v>342.30266518164211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0.29700357473733768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0.29700357473733768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-2.2737367544323206E-13</v>
      </c>
      <c r="DP184" s="18">
        <f>DO184*VLOOKUP('Données projet'!$B$14,Paramètres!$A$1:$I$89,3,0)*VLOOKUP('Données projet'!$B$14,Paramètres!$A$1:$I$89,5,0)</f>
        <v>-1.8089849618263545E-13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298.89893065707554</v>
      </c>
      <c r="DU184" s="62">
        <f t="shared" si="152"/>
        <v>294.28794439094878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439.06700232017681</v>
      </c>
      <c r="EP184" s="62">
        <f t="shared" si="154"/>
        <v>278.21741231699929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0.13876200421804455</v>
      </c>
      <c r="EX184" s="23">
        <f>EXP(-LN(2)/2)*EX183+(1-EXP(-LN(2)/2))/(LN(2)/2)*ER184*EU184*VLOOKUP('Données projet'!$B$15,Paramètres!$A$1:$I$89,3,0)*0.475*44/12</f>
        <v>2.7906566536539245E-22</v>
      </c>
      <c r="EY184" s="24">
        <f t="shared" si="181"/>
        <v>0.13876200421804455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>
        <f>FE184*VLOOKUP('Données projet'!$B$16,Paramètres!$A$1:$I$89,3,0)*VLOOKUP('Données projet'!$B$16,Paramètres!$A$1:$I$89,5,0)</f>
        <v>0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466.4945858005575</v>
      </c>
      <c r="FK184" s="62">
        <f t="shared" si="156"/>
        <v>294.45557293177131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5.6600770009944518E-22</v>
      </c>
      <c r="FT184" s="24">
        <f t="shared" si="184"/>
        <v>5.6600770009944518E-22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>
        <f>FZ184*VLOOKUP('Données projet'!$B$17,Paramètres!$A$1:$I$89,3,0)*VLOOKUP('Données projet'!$B$17,Paramètres!$A$1:$I$89,5,0)</f>
        <v>0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459.64120566196812</v>
      </c>
      <c r="GF184" s="62">
        <f t="shared" si="158"/>
        <v>290.39826583283588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2.8421709430404007E-14</v>
      </c>
      <c r="O185" s="14">
        <f>N185*VLOOKUP('Données projet'!$B$9,Paramètres!$A$1:$I$89,3,0)*VLOOKUP('Données projet'!$B$9,Paramètres!$A$1:$I$89,5,0)</f>
        <v>1.5518253349000589E-14</v>
      </c>
      <c r="P185" s="14">
        <f t="shared" si="141"/>
        <v>2.8958815659671149E-13</v>
      </c>
      <c r="Q185" s="22">
        <f t="shared" si="162"/>
        <v>5.3139366398878183E-13</v>
      </c>
      <c r="R185" s="62">
        <f t="shared" si="109"/>
        <v>293.33333333333383</v>
      </c>
      <c r="S185" s="62">
        <f ca="1">AVERAGE(OFFSET($R$3,0,0,'Données projet'!$E$9+1,1))-AVERAGE(OFFSET($H$3,0,0,'Données projet'!$E$9+1,1))</f>
        <v>170.27677128684815</v>
      </c>
      <c r="T185" s="62">
        <f t="shared" si="142"/>
        <v>243.47439640666289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0.12206330109675438</v>
      </c>
      <c r="AB185" s="23">
        <f>EXP(-LN(2)/2)*AB184+(1-EXP(-LN(2)/2))/(LN(2)/2)*V185*Y185*VLOOKUP('Données projet'!$B$9,Paramètres!$A$1:$I$89,3,0)*0.475*44/12</f>
        <v>1.0076235495256125E-22</v>
      </c>
      <c r="AC185" s="24">
        <f t="shared" si="163"/>
        <v>0.12206330109675438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-9.9316821433603781E-14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327.826081588335</v>
      </c>
      <c r="AO185" s="62">
        <f t="shared" si="144"/>
        <v>348.84706693879735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0.23421247772096201</v>
      </c>
      <c r="AW185" s="23">
        <f>EXP(-LN(2)/2)*AW184+(1-EXP(-LN(2)/2))/(LN(2)/2)*AQ185*AT185*VLOOKUP('Données projet'!$B$10,Paramètres!$A$1:$I$89,3,0)*0.475*44/12</f>
        <v>1.9713070077777297E-22</v>
      </c>
      <c r="AX185" s="23">
        <f t="shared" si="166"/>
        <v>0.23421247772096201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-3.4106051316484809E-13</v>
      </c>
      <c r="BE185" s="14">
        <f>BD185*VLOOKUP('Données projet'!$B$11,Paramètres!$A$1:$I$89,3,0)*VLOOKUP('Données projet'!$B$11,Paramètres!$A$1:$I$89,5,0)</f>
        <v>-2.5006556825246659E-13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376.5422416541544</v>
      </c>
      <c r="BJ185" s="62">
        <f t="shared" si="146"/>
        <v>365.76175372075869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1.2181356741173854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1.2181356741173854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405.09126081846171</v>
      </c>
      <c r="CE185" s="62">
        <f t="shared" si="148"/>
        <v>534.22295841722166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0.48543622437541756</v>
      </c>
      <c r="CL185" s="23">
        <f>EXP(-LN(2)/25)*CL184+(1-EXP(-LN(2)/25))/(LN(2)/25)*Calculateur!CG185*Calculateur!CI185*VLOOKUP('Données projet'!$B$12,Paramètres!$A$1:$I$89,3,0)*0.475*44/12</f>
        <v>0.20725116628083459</v>
      </c>
      <c r="CM185" s="23">
        <f>EXP(-LN(2)/2)*CM184+(1-EXP(-LN(2)/2))/(LN(2)/2)*CG185*CJ185*VLOOKUP('Données projet'!$B$12,Paramètres!$A$1:$I$89,3,0)*0.475*44/12</f>
        <v>2.1039134858274288E-23</v>
      </c>
      <c r="CN185" s="24">
        <f t="shared" si="172"/>
        <v>0.69268739065625218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244.82163392718377</v>
      </c>
      <c r="CZ185" s="62">
        <f t="shared" si="150"/>
        <v>342.30266518164211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0.29117951579103157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0.29117951579103157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-2.2737367544323206E-13</v>
      </c>
      <c r="DP185" s="18">
        <f>DO185*VLOOKUP('Données projet'!$B$14,Paramètres!$A$1:$I$89,3,0)*VLOOKUP('Données projet'!$B$14,Paramètres!$A$1:$I$89,5,0)</f>
        <v>-1.8089849618263545E-13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298.89893065707554</v>
      </c>
      <c r="DU185" s="62">
        <f t="shared" si="152"/>
        <v>294.28794439094878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439.06700232017681</v>
      </c>
      <c r="EP185" s="62">
        <f t="shared" si="154"/>
        <v>278.21741231699929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0.13496754991552545</v>
      </c>
      <c r="EX185" s="23">
        <f>EXP(-LN(2)/2)*EX184+(1-EXP(-LN(2)/2))/(LN(2)/2)*ER185*EU185*VLOOKUP('Données projet'!$B$15,Paramètres!$A$1:$I$89,3,0)*0.475*44/12</f>
        <v>1.9732922437620486E-22</v>
      </c>
      <c r="EY185" s="24">
        <f t="shared" si="181"/>
        <v>0.13496754991552545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>
        <f>FE185*VLOOKUP('Données projet'!$B$16,Paramètres!$A$1:$I$89,3,0)*VLOOKUP('Données projet'!$B$16,Paramètres!$A$1:$I$89,5,0)</f>
        <v>0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466.4945858005575</v>
      </c>
      <c r="FK185" s="62">
        <f t="shared" si="156"/>
        <v>294.45557293177131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4.002278829441194E-22</v>
      </c>
      <c r="FT185" s="24">
        <f t="shared" si="184"/>
        <v>4.002278829441194E-22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>
        <f>FZ185*VLOOKUP('Données projet'!$B$17,Paramètres!$A$1:$I$89,3,0)*VLOOKUP('Données projet'!$B$17,Paramètres!$A$1:$I$89,5,0)</f>
        <v>0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459.64120566196812</v>
      </c>
      <c r="GF185" s="62">
        <f t="shared" si="158"/>
        <v>290.39826583283588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2.8421709430404007E-14</v>
      </c>
      <c r="O186" s="14">
        <f>N186*VLOOKUP('Données projet'!$B$9,Paramètres!$A$1:$I$89,3,0)*VLOOKUP('Données projet'!$B$9,Paramètres!$A$1:$I$89,5,0)</f>
        <v>1.5518253349000589E-14</v>
      </c>
      <c r="P186" s="14">
        <f t="shared" si="141"/>
        <v>2.8958815659671149E-13</v>
      </c>
      <c r="Q186" s="22">
        <f t="shared" si="162"/>
        <v>5.3139366398878183E-13</v>
      </c>
      <c r="R186" s="62">
        <f t="shared" si="109"/>
        <v>293.33333333333383</v>
      </c>
      <c r="S186" s="62">
        <f ca="1">AVERAGE(OFFSET($R$3,0,0,'Données projet'!$E$9+1,1))-AVERAGE(OFFSET($H$3,0,0,'Données projet'!$E$9+1,1))</f>
        <v>170.27677128684815</v>
      </c>
      <c r="T186" s="62">
        <f t="shared" si="142"/>
        <v>243.47439640666289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0.11872547370923361</v>
      </c>
      <c r="AB186" s="23">
        <f>EXP(-LN(2)/2)*AB185+(1-EXP(-LN(2)/2))/(LN(2)/2)*V186*Y186*VLOOKUP('Données projet'!$B$9,Paramètres!$A$1:$I$89,3,0)*0.475*44/12</f>
        <v>7.124974447528196E-23</v>
      </c>
      <c r="AC186" s="24">
        <f t="shared" si="163"/>
        <v>0.11872547370923361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-9.9316821433603781E-14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327.826081588335</v>
      </c>
      <c r="AO186" s="62">
        <f t="shared" si="144"/>
        <v>348.84706693879735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0.22780792520098339</v>
      </c>
      <c r="AW186" s="23">
        <f>EXP(-LN(2)/2)*AW185+(1-EXP(-LN(2)/2))/(LN(2)/2)*AQ186*AT186*VLOOKUP('Données projet'!$B$10,Paramètres!$A$1:$I$89,3,0)*0.475*44/12</f>
        <v>1.3939245530001949E-22</v>
      </c>
      <c r="AX186" s="23">
        <f t="shared" si="166"/>
        <v>0.22780792520098339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-3.4106051316484809E-13</v>
      </c>
      <c r="BE186" s="14">
        <f>BD186*VLOOKUP('Données projet'!$B$11,Paramètres!$A$1:$I$89,3,0)*VLOOKUP('Données projet'!$B$11,Paramètres!$A$1:$I$89,5,0)</f>
        <v>-2.5006556825246659E-13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376.5422416541544</v>
      </c>
      <c r="BJ186" s="62">
        <f t="shared" si="146"/>
        <v>365.76175372075869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1.1942487765373406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1.1942487765373406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405.09126081846171</v>
      </c>
      <c r="CE186" s="62">
        <f t="shared" si="148"/>
        <v>534.22295841722166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0.47591711610227633</v>
      </c>
      <c r="CL186" s="23">
        <f>EXP(-LN(2)/25)*CL185+(1-EXP(-LN(2)/25))/(LN(2)/25)*Calculateur!CG186*Calculateur!CI186*VLOOKUP('Données projet'!$B$12,Paramètres!$A$1:$I$89,3,0)*0.475*44/12</f>
        <v>0.20158387224002</v>
      </c>
      <c r="CM186" s="23">
        <f>EXP(-LN(2)/2)*CM185+(1-EXP(-LN(2)/2))/(LN(2)/2)*CG186*CJ186*VLOOKUP('Données projet'!$B$12,Paramètres!$A$1:$I$89,3,0)*0.475*44/12</f>
        <v>1.4876914928584021E-23</v>
      </c>
      <c r="CN186" s="24">
        <f t="shared" si="172"/>
        <v>0.67750098834229633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244.82163392718377</v>
      </c>
      <c r="CZ186" s="62">
        <f t="shared" si="150"/>
        <v>342.30266518164211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0.28546966308833732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0.28546966308833732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-2.2737367544323206E-13</v>
      </c>
      <c r="DP186" s="18">
        <f>DO186*VLOOKUP('Données projet'!$B$14,Paramètres!$A$1:$I$89,3,0)*VLOOKUP('Données projet'!$B$14,Paramètres!$A$1:$I$89,5,0)</f>
        <v>-1.8089849618263545E-13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298.89893065707554</v>
      </c>
      <c r="DU186" s="62">
        <f t="shared" si="152"/>
        <v>294.28794439094878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439.06700232017681</v>
      </c>
      <c r="EP186" s="62">
        <f t="shared" si="154"/>
        <v>278.21741231699929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0.13127685516545043</v>
      </c>
      <c r="EX186" s="23">
        <f>EXP(-LN(2)/2)*EX185+(1-EXP(-LN(2)/2))/(LN(2)/2)*ER186*EU186*VLOOKUP('Données projet'!$B$15,Paramètres!$A$1:$I$89,3,0)*0.475*44/12</f>
        <v>1.3953283268269623E-22</v>
      </c>
      <c r="EY186" s="24">
        <f t="shared" si="181"/>
        <v>0.13127685516545043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>
        <f>FE186*VLOOKUP('Données projet'!$B$16,Paramètres!$A$1:$I$89,3,0)*VLOOKUP('Données projet'!$B$16,Paramètres!$A$1:$I$89,5,0)</f>
        <v>0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466.4945858005575</v>
      </c>
      <c r="FK186" s="62">
        <f t="shared" si="156"/>
        <v>294.45557293177131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2.8300385004972259E-22</v>
      </c>
      <c r="FT186" s="24">
        <f t="shared" si="184"/>
        <v>2.8300385004972259E-22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>
        <f>FZ186*VLOOKUP('Données projet'!$B$17,Paramètres!$A$1:$I$89,3,0)*VLOOKUP('Données projet'!$B$17,Paramètres!$A$1:$I$89,5,0)</f>
        <v>0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459.64120566196812</v>
      </c>
      <c r="GF186" s="62">
        <f t="shared" si="158"/>
        <v>290.39826583283588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2.8421709430404007E-14</v>
      </c>
      <c r="O187" s="14">
        <f>N187*VLOOKUP('Données projet'!$B$9,Paramètres!$A$1:$I$89,3,0)*VLOOKUP('Données projet'!$B$9,Paramètres!$A$1:$I$89,5,0)</f>
        <v>1.5518253349000589E-14</v>
      </c>
      <c r="P187" s="14">
        <f t="shared" si="141"/>
        <v>2.8958815659671149E-13</v>
      </c>
      <c r="Q187" s="22">
        <f t="shared" si="162"/>
        <v>5.3139366398878183E-13</v>
      </c>
      <c r="R187" s="62">
        <f t="shared" si="109"/>
        <v>293.33333333333383</v>
      </c>
      <c r="S187" s="62">
        <f ca="1">AVERAGE(OFFSET($R$3,0,0,'Données projet'!$E$9+1,1))-AVERAGE(OFFSET($H$3,0,0,'Données projet'!$E$9+1,1))</f>
        <v>170.27677128684815</v>
      </c>
      <c r="T187" s="62">
        <f t="shared" si="142"/>
        <v>243.47439640666289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0.11547891938715331</v>
      </c>
      <c r="AB187" s="23">
        <f>EXP(-LN(2)/2)*AB186+(1-EXP(-LN(2)/2))/(LN(2)/2)*V187*Y187*VLOOKUP('Données projet'!$B$9,Paramètres!$A$1:$I$89,3,0)*0.475*44/12</f>
        <v>5.0381177476280625E-23</v>
      </c>
      <c r="AC187" s="24">
        <f t="shared" si="163"/>
        <v>0.11547891938715331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-9.9316821433603781E-14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327.826081588335</v>
      </c>
      <c r="AO187" s="62">
        <f t="shared" si="144"/>
        <v>348.84706693879735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0.22157850550646438</v>
      </c>
      <c r="AW187" s="23">
        <f>EXP(-LN(2)/2)*AW186+(1-EXP(-LN(2)/2))/(LN(2)/2)*AQ187*AT187*VLOOKUP('Données projet'!$B$10,Paramètres!$A$1:$I$89,3,0)*0.475*44/12</f>
        <v>9.8565350388886486E-23</v>
      </c>
      <c r="AX187" s="23">
        <f t="shared" si="166"/>
        <v>0.22157850550646438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-3.4106051316484809E-13</v>
      </c>
      <c r="BE187" s="14">
        <f>BD187*VLOOKUP('Données projet'!$B$11,Paramètres!$A$1:$I$89,3,0)*VLOOKUP('Données projet'!$B$11,Paramètres!$A$1:$I$89,5,0)</f>
        <v>-2.5006556825246659E-13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376.5422416541544</v>
      </c>
      <c r="BJ187" s="62">
        <f t="shared" si="146"/>
        <v>365.76175372075869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1.1708302864492717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1.1708302864492717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405.09126081846171</v>
      </c>
      <c r="CE187" s="62">
        <f t="shared" si="148"/>
        <v>534.22295841722166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0.46658467173628865</v>
      </c>
      <c r="CL187" s="23">
        <f>EXP(-LN(2)/25)*CL186+(1-EXP(-LN(2)/25))/(LN(2)/25)*Calculateur!CG187*Calculateur!CI187*VLOOKUP('Données projet'!$B$12,Paramètres!$A$1:$I$89,3,0)*0.475*44/12</f>
        <v>0.19607155065278153</v>
      </c>
      <c r="CM187" s="23">
        <f>EXP(-LN(2)/2)*CM186+(1-EXP(-LN(2)/2))/(LN(2)/2)*CG187*CJ187*VLOOKUP('Données projet'!$B$12,Paramètres!$A$1:$I$89,3,0)*0.475*44/12</f>
        <v>1.0519567429137144E-23</v>
      </c>
      <c r="CN187" s="24">
        <f t="shared" si="172"/>
        <v>0.66265622238907018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244.82163392718377</v>
      </c>
      <c r="CZ187" s="62">
        <f t="shared" si="150"/>
        <v>342.30266518164211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0.27987177711447664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0.27987177711447664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-2.2737367544323206E-13</v>
      </c>
      <c r="DP187" s="18">
        <f>DO187*VLOOKUP('Données projet'!$B$14,Paramètres!$A$1:$I$89,3,0)*VLOOKUP('Données projet'!$B$14,Paramètres!$A$1:$I$89,5,0)</f>
        <v>-1.8089849618263545E-13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298.89893065707554</v>
      </c>
      <c r="DU187" s="62">
        <f t="shared" si="152"/>
        <v>294.28794439094878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439.06700232017681</v>
      </c>
      <c r="EP187" s="62">
        <f t="shared" si="154"/>
        <v>278.21741231699929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0.12768708265740142</v>
      </c>
      <c r="EX187" s="23">
        <f>EXP(-LN(2)/2)*EX186+(1-EXP(-LN(2)/2))/(LN(2)/2)*ER187*EU187*VLOOKUP('Données projet'!$B$15,Paramètres!$A$1:$I$89,3,0)*0.475*44/12</f>
        <v>9.8664612188102429E-23</v>
      </c>
      <c r="EY187" s="24">
        <f t="shared" si="181"/>
        <v>0.12768708265740142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>
        <f>FE187*VLOOKUP('Données projet'!$B$16,Paramètres!$A$1:$I$89,3,0)*VLOOKUP('Données projet'!$B$16,Paramètres!$A$1:$I$89,5,0)</f>
        <v>0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466.4945858005575</v>
      </c>
      <c r="FK187" s="62">
        <f t="shared" si="156"/>
        <v>294.45557293177131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2.001139414720597E-22</v>
      </c>
      <c r="FT187" s="24">
        <f t="shared" si="184"/>
        <v>2.001139414720597E-22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>
        <f>FZ187*VLOOKUP('Données projet'!$B$17,Paramètres!$A$1:$I$89,3,0)*VLOOKUP('Données projet'!$B$17,Paramètres!$A$1:$I$89,5,0)</f>
        <v>0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459.64120566196812</v>
      </c>
      <c r="GF187" s="62">
        <f t="shared" si="158"/>
        <v>290.39826583283588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2.8421709430404007E-14</v>
      </c>
      <c r="O188" s="14">
        <f>N188*VLOOKUP('Données projet'!$B$9,Paramètres!$A$1:$I$89,3,0)*VLOOKUP('Données projet'!$B$9,Paramètres!$A$1:$I$89,5,0)</f>
        <v>1.5518253349000589E-14</v>
      </c>
      <c r="P188" s="14">
        <f t="shared" si="141"/>
        <v>2.8958815659671149E-13</v>
      </c>
      <c r="Q188" s="22">
        <f t="shared" si="162"/>
        <v>5.3139366398878183E-13</v>
      </c>
      <c r="R188" s="62">
        <f t="shared" si="109"/>
        <v>293.33333333333383</v>
      </c>
      <c r="S188" s="62">
        <f ca="1">AVERAGE(OFFSET($R$3,0,0,'Données projet'!$E$9+1,1))-AVERAGE(OFFSET($H$3,0,0,'Données projet'!$E$9+1,1))</f>
        <v>170.27677128684815</v>
      </c>
      <c r="T188" s="62">
        <f t="shared" si="142"/>
        <v>243.47439640666289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0.11232114226373917</v>
      </c>
      <c r="AB188" s="23">
        <f>EXP(-LN(2)/2)*AB187+(1-EXP(-LN(2)/2))/(LN(2)/2)*V188*Y188*VLOOKUP('Données projet'!$B$9,Paramètres!$A$1:$I$89,3,0)*0.475*44/12</f>
        <v>3.562487223764098E-23</v>
      </c>
      <c r="AC188" s="24">
        <f t="shared" si="163"/>
        <v>0.11232114226373917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-9.9316821433603781E-14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327.826081588335</v>
      </c>
      <c r="AO188" s="62">
        <f t="shared" si="144"/>
        <v>348.84706693879735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0.21551942962108292</v>
      </c>
      <c r="AW188" s="23">
        <f>EXP(-LN(2)/2)*AW187+(1-EXP(-LN(2)/2))/(LN(2)/2)*AQ188*AT188*VLOOKUP('Données projet'!$B$10,Paramètres!$A$1:$I$89,3,0)*0.475*44/12</f>
        <v>6.9696227650009743E-23</v>
      </c>
      <c r="AX188" s="23">
        <f t="shared" si="166"/>
        <v>0.21551942962108292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-3.4106051316484809E-13</v>
      </c>
      <c r="BE188" s="14">
        <f>BD188*VLOOKUP('Données projet'!$B$11,Paramètres!$A$1:$I$89,3,0)*VLOOKUP('Données projet'!$B$11,Paramètres!$A$1:$I$89,5,0)</f>
        <v>-2.5006556825246659E-13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376.5422416541544</v>
      </c>
      <c r="BJ188" s="62">
        <f t="shared" si="146"/>
        <v>365.76175372075869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1.147871018667961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1.147871018667961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405.09126081846171</v>
      </c>
      <c r="CE188" s="62">
        <f t="shared" si="148"/>
        <v>534.22295841722166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0.45743523091208899</v>
      </c>
      <c r="CL188" s="23">
        <f>EXP(-LN(2)/25)*CL187+(1-EXP(-LN(2)/25))/(LN(2)/25)*Calculateur!CG188*Calculateur!CI188*VLOOKUP('Données projet'!$B$12,Paramètres!$A$1:$I$89,3,0)*0.475*44/12</f>
        <v>0.1907099637892265</v>
      </c>
      <c r="CM188" s="23">
        <f>EXP(-LN(2)/2)*CM187+(1-EXP(-LN(2)/2))/(LN(2)/2)*CG188*CJ188*VLOOKUP('Données projet'!$B$12,Paramètres!$A$1:$I$89,3,0)*0.475*44/12</f>
        <v>7.4384574642920107E-24</v>
      </c>
      <c r="CN188" s="24">
        <f t="shared" si="172"/>
        <v>0.64814519470131549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244.82163392718377</v>
      </c>
      <c r="CZ188" s="62">
        <f t="shared" si="150"/>
        <v>342.30266518164211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0.27438366227019007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0.27438366227019007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-2.2737367544323206E-13</v>
      </c>
      <c r="DP188" s="18">
        <f>DO188*VLOOKUP('Données projet'!$B$14,Paramètres!$A$1:$I$89,3,0)*VLOOKUP('Données projet'!$B$14,Paramètres!$A$1:$I$89,5,0)</f>
        <v>-1.8089849618263545E-13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298.89893065707554</v>
      </c>
      <c r="DU188" s="62">
        <f t="shared" si="152"/>
        <v>294.28794439094878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439.06700232017681</v>
      </c>
      <c r="EP188" s="62">
        <f t="shared" si="154"/>
        <v>278.21741231699929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0.12419547266736293</v>
      </c>
      <c r="EX188" s="23">
        <f>EXP(-LN(2)/2)*EX187+(1-EXP(-LN(2)/2))/(LN(2)/2)*ER188*EU188*VLOOKUP('Données projet'!$B$15,Paramètres!$A$1:$I$89,3,0)*0.475*44/12</f>
        <v>6.9766416341348114E-23</v>
      </c>
      <c r="EY188" s="24">
        <f t="shared" si="181"/>
        <v>0.12419547266736293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>
        <f>FE188*VLOOKUP('Données projet'!$B$16,Paramètres!$A$1:$I$89,3,0)*VLOOKUP('Données projet'!$B$16,Paramètres!$A$1:$I$89,5,0)</f>
        <v>0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466.4945858005575</v>
      </c>
      <c r="FK188" s="62">
        <f t="shared" si="156"/>
        <v>294.45557293177131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1.415019250248613E-22</v>
      </c>
      <c r="FT188" s="24">
        <f t="shared" si="184"/>
        <v>1.415019250248613E-22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>
        <f>FZ188*VLOOKUP('Données projet'!$B$17,Paramètres!$A$1:$I$89,3,0)*VLOOKUP('Données projet'!$B$17,Paramètres!$A$1:$I$89,5,0)</f>
        <v>0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459.64120566196812</v>
      </c>
      <c r="GF188" s="62">
        <f t="shared" si="158"/>
        <v>290.39826583283588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2.8421709430404007E-14</v>
      </c>
      <c r="O189" s="14">
        <f>N189*VLOOKUP('Données projet'!$B$9,Paramètres!$A$1:$I$89,3,0)*VLOOKUP('Données projet'!$B$9,Paramètres!$A$1:$I$89,5,0)</f>
        <v>1.5518253349000589E-14</v>
      </c>
      <c r="P189" s="14">
        <f t="shared" si="141"/>
        <v>2.8958815659671149E-13</v>
      </c>
      <c r="Q189" s="22">
        <f t="shared" si="162"/>
        <v>5.3139366398878183E-13</v>
      </c>
      <c r="R189" s="62">
        <f t="shared" si="109"/>
        <v>293.33333333333383</v>
      </c>
      <c r="S189" s="62">
        <f ca="1">AVERAGE(OFFSET($R$3,0,0,'Données projet'!$E$9+1,1))-AVERAGE(OFFSET($H$3,0,0,'Données projet'!$E$9+1,1))</f>
        <v>170.27677128684815</v>
      </c>
      <c r="T189" s="62">
        <f t="shared" si="142"/>
        <v>243.47439640666289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0.10924971472182506</v>
      </c>
      <c r="AB189" s="23">
        <f>EXP(-LN(2)/2)*AB188+(1-EXP(-LN(2)/2))/(LN(2)/2)*V189*Y189*VLOOKUP('Données projet'!$B$9,Paramètres!$A$1:$I$89,3,0)*0.475*44/12</f>
        <v>2.5190588738140312E-23</v>
      </c>
      <c r="AC189" s="24">
        <f t="shared" si="163"/>
        <v>0.10924971472182506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-9.9316821433603781E-14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327.826081588335</v>
      </c>
      <c r="AO189" s="62">
        <f t="shared" si="144"/>
        <v>348.84706693879735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0.20962603948442018</v>
      </c>
      <c r="AW189" s="23">
        <f>EXP(-LN(2)/2)*AW188+(1-EXP(-LN(2)/2))/(LN(2)/2)*AQ189*AT189*VLOOKUP('Données projet'!$B$10,Paramètres!$A$1:$I$89,3,0)*0.475*44/12</f>
        <v>4.9282675194443243E-23</v>
      </c>
      <c r="AX189" s="23">
        <f t="shared" si="166"/>
        <v>0.20962603948442018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-3.4106051316484809E-13</v>
      </c>
      <c r="BE189" s="14">
        <f>BD189*VLOOKUP('Données projet'!$B$11,Paramètres!$A$1:$I$89,3,0)*VLOOKUP('Données projet'!$B$11,Paramètres!$A$1:$I$89,5,0)</f>
        <v>-2.5006556825246659E-13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376.5422416541544</v>
      </c>
      <c r="BJ189" s="62">
        <f t="shared" si="146"/>
        <v>365.76175372075869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1.1253619681240714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1.1253619681240714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405.09126081846171</v>
      </c>
      <c r="CE189" s="62">
        <f t="shared" si="148"/>
        <v>534.22295841722166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0.44846520504184401</v>
      </c>
      <c r="CL189" s="23">
        <f>EXP(-LN(2)/25)*CL188+(1-EXP(-LN(2)/25))/(LN(2)/25)*Calculateur!CG189*Calculateur!CI189*VLOOKUP('Données projet'!$B$12,Paramètres!$A$1:$I$89,3,0)*0.475*44/12</f>
        <v>0.18549498980040899</v>
      </c>
      <c r="CM189" s="23">
        <f>EXP(-LN(2)/2)*CM188+(1-EXP(-LN(2)/2))/(LN(2)/2)*CG189*CJ189*VLOOKUP('Données projet'!$B$12,Paramètres!$A$1:$I$89,3,0)*0.475*44/12</f>
        <v>5.2597837145685721E-24</v>
      </c>
      <c r="CN189" s="24">
        <f t="shared" si="172"/>
        <v>0.63396019484225297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244.82163392718377</v>
      </c>
      <c r="CZ189" s="62">
        <f t="shared" si="150"/>
        <v>342.30266518164211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0.26900316601058044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0.26900316601058044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-2.2737367544323206E-13</v>
      </c>
      <c r="DP189" s="18">
        <f>DO189*VLOOKUP('Données projet'!$B$14,Paramètres!$A$1:$I$89,3,0)*VLOOKUP('Données projet'!$B$14,Paramètres!$A$1:$I$89,5,0)</f>
        <v>-1.8089849618263545E-13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298.89893065707554</v>
      </c>
      <c r="DU189" s="62">
        <f t="shared" si="152"/>
        <v>294.28794439094878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439.06700232017681</v>
      </c>
      <c r="EP189" s="62">
        <f t="shared" si="154"/>
        <v>278.21741231699929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0.12079934093611784</v>
      </c>
      <c r="EX189" s="23">
        <f>EXP(-LN(2)/2)*EX188+(1-EXP(-LN(2)/2))/(LN(2)/2)*ER189*EU189*VLOOKUP('Données projet'!$B$15,Paramètres!$A$1:$I$89,3,0)*0.475*44/12</f>
        <v>4.9332306094051215E-23</v>
      </c>
      <c r="EY189" s="24">
        <f t="shared" si="181"/>
        <v>0.12079934093611784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>
        <f>FE189*VLOOKUP('Données projet'!$B$16,Paramètres!$A$1:$I$89,3,0)*VLOOKUP('Données projet'!$B$16,Paramètres!$A$1:$I$89,5,0)</f>
        <v>0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466.4945858005575</v>
      </c>
      <c r="FK189" s="62">
        <f t="shared" si="156"/>
        <v>294.45557293177131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1.0005697073602985E-22</v>
      </c>
      <c r="FT189" s="24">
        <f t="shared" si="184"/>
        <v>1.0005697073602985E-22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>
        <f>FZ189*VLOOKUP('Données projet'!$B$17,Paramètres!$A$1:$I$89,3,0)*VLOOKUP('Données projet'!$B$17,Paramètres!$A$1:$I$89,5,0)</f>
        <v>0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459.64120566196812</v>
      </c>
      <c r="GF189" s="62">
        <f t="shared" si="158"/>
        <v>290.39826583283588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2.8421709430404007E-14</v>
      </c>
      <c r="O190" s="14">
        <f>N190*VLOOKUP('Données projet'!$B$9,Paramètres!$A$1:$I$89,3,0)*VLOOKUP('Données projet'!$B$9,Paramètres!$A$1:$I$89,5,0)</f>
        <v>1.5518253349000589E-14</v>
      </c>
      <c r="P190" s="14">
        <f t="shared" si="141"/>
        <v>2.8958815659671149E-13</v>
      </c>
      <c r="Q190" s="22">
        <f t="shared" si="162"/>
        <v>5.3139366398878183E-13</v>
      </c>
      <c r="R190" s="62">
        <f t="shared" si="109"/>
        <v>293.33333333333383</v>
      </c>
      <c r="S190" s="62">
        <f ca="1">AVERAGE(OFFSET($R$3,0,0,'Données projet'!$E$9+1,1))-AVERAGE(OFFSET($H$3,0,0,'Données projet'!$E$9+1,1))</f>
        <v>170.27677128684815</v>
      </c>
      <c r="T190" s="62">
        <f t="shared" si="142"/>
        <v>243.47439640666289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0.10626227552756394</v>
      </c>
      <c r="AB190" s="23">
        <f>EXP(-LN(2)/2)*AB189+(1-EXP(-LN(2)/2))/(LN(2)/2)*V190*Y190*VLOOKUP('Données projet'!$B$9,Paramètres!$A$1:$I$89,3,0)*0.475*44/12</f>
        <v>1.781243611882049E-23</v>
      </c>
      <c r="AC190" s="24">
        <f t="shared" si="163"/>
        <v>0.10626227552756394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-9.9316821433603781E-14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327.826081588335</v>
      </c>
      <c r="AO190" s="62">
        <f t="shared" si="144"/>
        <v>348.84706693879735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0.20389380441096441</v>
      </c>
      <c r="AW190" s="23">
        <f>EXP(-LN(2)/2)*AW189+(1-EXP(-LN(2)/2))/(LN(2)/2)*AQ190*AT190*VLOOKUP('Données projet'!$B$10,Paramètres!$A$1:$I$89,3,0)*0.475*44/12</f>
        <v>3.4848113825004871E-23</v>
      </c>
      <c r="AX190" s="23">
        <f t="shared" si="166"/>
        <v>0.20389380441096441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-3.4106051316484809E-13</v>
      </c>
      <c r="BE190" s="14">
        <f>BD190*VLOOKUP('Données projet'!$B$11,Paramètres!$A$1:$I$89,3,0)*VLOOKUP('Données projet'!$B$11,Paramètres!$A$1:$I$89,5,0)</f>
        <v>-2.5006556825246659E-13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376.5422416541544</v>
      </c>
      <c r="BJ190" s="62">
        <f t="shared" si="146"/>
        <v>365.76175372075869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1.1032943063321823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1.1032943063321823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405.09126081846171</v>
      </c>
      <c r="CE190" s="62">
        <f t="shared" si="148"/>
        <v>534.22295841722166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0.43967107590773902</v>
      </c>
      <c r="CL190" s="23">
        <f>EXP(-LN(2)/25)*CL189+(1-EXP(-LN(2)/25))/(LN(2)/25)*Calculateur!CG190*Calculateur!CI190*VLOOKUP('Données projet'!$B$12,Paramètres!$A$1:$I$89,3,0)*0.475*44/12</f>
        <v>0.18042261954955924</v>
      </c>
      <c r="CM190" s="23">
        <f>EXP(-LN(2)/2)*CM189+(1-EXP(-LN(2)/2))/(LN(2)/2)*CG190*CJ190*VLOOKUP('Données projet'!$B$12,Paramètres!$A$1:$I$89,3,0)*0.475*44/12</f>
        <v>3.7192287321460053E-24</v>
      </c>
      <c r="CN190" s="24">
        <f t="shared" si="172"/>
        <v>0.6200936954572982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244.82163392718377</v>
      </c>
      <c r="CZ190" s="62">
        <f t="shared" si="150"/>
        <v>342.30266518164211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0.26372817800084308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0.26372817800084308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-2.2737367544323206E-13</v>
      </c>
      <c r="DP190" s="18">
        <f>DO190*VLOOKUP('Données projet'!$B$14,Paramètres!$A$1:$I$89,3,0)*VLOOKUP('Données projet'!$B$14,Paramètres!$A$1:$I$89,5,0)</f>
        <v>-1.8089849618263545E-13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298.89893065707554</v>
      </c>
      <c r="DU190" s="62">
        <f t="shared" si="152"/>
        <v>294.28794439094878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439.06700232017681</v>
      </c>
      <c r="EP190" s="62">
        <f t="shared" si="154"/>
        <v>278.21741231699929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0.11749607660565844</v>
      </c>
      <c r="EX190" s="23">
        <f>EXP(-LN(2)/2)*EX189+(1-EXP(-LN(2)/2))/(LN(2)/2)*ER190*EU190*VLOOKUP('Données projet'!$B$15,Paramètres!$A$1:$I$89,3,0)*0.475*44/12</f>
        <v>3.4883208170674057E-23</v>
      </c>
      <c r="EY190" s="24">
        <f t="shared" si="181"/>
        <v>0.11749607660565844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>
        <f>FE190*VLOOKUP('Données projet'!$B$16,Paramètres!$A$1:$I$89,3,0)*VLOOKUP('Données projet'!$B$16,Paramètres!$A$1:$I$89,5,0)</f>
        <v>0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466.4945858005575</v>
      </c>
      <c r="FK190" s="62">
        <f t="shared" si="156"/>
        <v>294.45557293177131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7.0750962512430648E-23</v>
      </c>
      <c r="FT190" s="24">
        <f t="shared" si="184"/>
        <v>7.0750962512430648E-23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>
        <f>FZ190*VLOOKUP('Données projet'!$B$17,Paramètres!$A$1:$I$89,3,0)*VLOOKUP('Données projet'!$B$17,Paramètres!$A$1:$I$89,5,0)</f>
        <v>0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459.64120566196812</v>
      </c>
      <c r="GF190" s="62">
        <f t="shared" si="158"/>
        <v>290.39826583283588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2.8421709430404007E-14</v>
      </c>
      <c r="O191" s="14">
        <f>N191*VLOOKUP('Données projet'!$B$9,Paramètres!$A$1:$I$89,3,0)*VLOOKUP('Données projet'!$B$9,Paramètres!$A$1:$I$89,5,0)</f>
        <v>1.5518253349000589E-14</v>
      </c>
      <c r="P191" s="14">
        <f t="shared" si="141"/>
        <v>2.8958815659671149E-13</v>
      </c>
      <c r="Q191" s="22">
        <f t="shared" si="162"/>
        <v>5.3139366398878183E-13</v>
      </c>
      <c r="R191" s="62">
        <f t="shared" si="109"/>
        <v>293.33333333333383</v>
      </c>
      <c r="S191" s="62">
        <f ca="1">AVERAGE(OFFSET($R$3,0,0,'Données projet'!$E$9+1,1))-AVERAGE(OFFSET($H$3,0,0,'Données projet'!$E$9+1,1))</f>
        <v>170.27677128684815</v>
      </c>
      <c r="T191" s="62">
        <f t="shared" si="142"/>
        <v>243.47439640666289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0.10335652801517251</v>
      </c>
      <c r="AB191" s="23">
        <f>EXP(-LN(2)/2)*AB190+(1-EXP(-LN(2)/2))/(LN(2)/2)*V191*Y191*VLOOKUP('Données projet'!$B$9,Paramètres!$A$1:$I$89,3,0)*0.475*44/12</f>
        <v>1.2595294369070156E-23</v>
      </c>
      <c r="AC191" s="24">
        <f t="shared" si="163"/>
        <v>0.10335652801517251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-9.9316821433603781E-14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327.826081588335</v>
      </c>
      <c r="AO191" s="62">
        <f t="shared" si="144"/>
        <v>348.84706693879735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0.19831831760703741</v>
      </c>
      <c r="AW191" s="23">
        <f>EXP(-LN(2)/2)*AW190+(1-EXP(-LN(2)/2))/(LN(2)/2)*AQ191*AT191*VLOOKUP('Données projet'!$B$10,Paramètres!$A$1:$I$89,3,0)*0.475*44/12</f>
        <v>2.4641337597221622E-23</v>
      </c>
      <c r="AX191" s="23">
        <f t="shared" si="166"/>
        <v>0.19831831760703741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-3.4106051316484809E-13</v>
      </c>
      <c r="BE191" s="14">
        <f>BD191*VLOOKUP('Données projet'!$B$11,Paramètres!$A$1:$I$89,3,0)*VLOOKUP('Données projet'!$B$11,Paramètres!$A$1:$I$89,5,0)</f>
        <v>-2.5006556825246659E-13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376.5422416541544</v>
      </c>
      <c r="BJ191" s="62">
        <f t="shared" si="146"/>
        <v>365.76175372075869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1.0816593779280874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1.0816593779280874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405.09126081846171</v>
      </c>
      <c r="CE191" s="62">
        <f t="shared" si="148"/>
        <v>534.22295841722166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0.43104939428206468</v>
      </c>
      <c r="CL191" s="23">
        <f>EXP(-LN(2)/25)*CL190+(1-EXP(-LN(2)/25))/(LN(2)/25)*Calculateur!CG191*Calculateur!CI191*VLOOKUP('Données projet'!$B$12,Paramètres!$A$1:$I$89,3,0)*0.475*44/12</f>
        <v>0.17548895352996333</v>
      </c>
      <c r="CM191" s="23">
        <f>EXP(-LN(2)/2)*CM190+(1-EXP(-LN(2)/2))/(LN(2)/2)*CG191*CJ191*VLOOKUP('Données projet'!$B$12,Paramètres!$A$1:$I$89,3,0)*0.475*44/12</f>
        <v>2.629891857284286E-24</v>
      </c>
      <c r="CN191" s="24">
        <f t="shared" si="172"/>
        <v>0.60653834781202798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244.82163392718377</v>
      </c>
      <c r="CZ191" s="62">
        <f t="shared" si="150"/>
        <v>342.30266518164211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0.25855662928855166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0.25855662928855166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-2.2737367544323206E-13</v>
      </c>
      <c r="DP191" s="18">
        <f>DO191*VLOOKUP('Données projet'!$B$14,Paramètres!$A$1:$I$89,3,0)*VLOOKUP('Données projet'!$B$14,Paramètres!$A$1:$I$89,5,0)</f>
        <v>-1.8089849618263545E-13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298.89893065707554</v>
      </c>
      <c r="DU191" s="62">
        <f t="shared" si="152"/>
        <v>294.28794439094878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439.06700232017681</v>
      </c>
      <c r="EP191" s="62">
        <f t="shared" si="154"/>
        <v>278.21741231699929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0.11428314021202658</v>
      </c>
      <c r="EX191" s="23">
        <f>EXP(-LN(2)/2)*EX190+(1-EXP(-LN(2)/2))/(LN(2)/2)*ER191*EU191*VLOOKUP('Données projet'!$B$15,Paramètres!$A$1:$I$89,3,0)*0.475*44/12</f>
        <v>2.4666153047025607E-23</v>
      </c>
      <c r="EY191" s="24">
        <f t="shared" si="181"/>
        <v>0.11428314021202658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>
        <f>FE191*VLOOKUP('Données projet'!$B$16,Paramètres!$A$1:$I$89,3,0)*VLOOKUP('Données projet'!$B$16,Paramètres!$A$1:$I$89,5,0)</f>
        <v>0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466.4945858005575</v>
      </c>
      <c r="FK191" s="62">
        <f t="shared" si="156"/>
        <v>294.45557293177131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5.0028485368014925E-23</v>
      </c>
      <c r="FT191" s="24">
        <f t="shared" si="184"/>
        <v>5.0028485368014925E-23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>
        <f>FZ191*VLOOKUP('Données projet'!$B$17,Paramètres!$A$1:$I$89,3,0)*VLOOKUP('Données projet'!$B$17,Paramètres!$A$1:$I$89,5,0)</f>
        <v>0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459.64120566196812</v>
      </c>
      <c r="GF191" s="62">
        <f t="shared" si="158"/>
        <v>290.39826583283588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2.8421709430404007E-14</v>
      </c>
      <c r="O192" s="14">
        <f>N192*VLOOKUP('Données projet'!$B$9,Paramètres!$A$1:$I$89,3,0)*VLOOKUP('Données projet'!$B$9,Paramètres!$A$1:$I$89,5,0)</f>
        <v>1.5518253349000589E-14</v>
      </c>
      <c r="P192" s="14">
        <f t="shared" si="141"/>
        <v>2.8958815659671149E-13</v>
      </c>
      <c r="Q192" s="22">
        <f t="shared" si="162"/>
        <v>5.3139366398878183E-13</v>
      </c>
      <c r="R192" s="62">
        <f t="shared" si="109"/>
        <v>293.33333333333383</v>
      </c>
      <c r="S192" s="62">
        <f ca="1">AVERAGE(OFFSET($R$3,0,0,'Données projet'!$E$9+1,1))-AVERAGE(OFFSET($H$3,0,0,'Données projet'!$E$9+1,1))</f>
        <v>170.27677128684815</v>
      </c>
      <c r="T192" s="62">
        <f t="shared" si="142"/>
        <v>243.47439640666289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0.10053023832131402</v>
      </c>
      <c r="AB192" s="23">
        <f>EXP(-LN(2)/2)*AB191+(1-EXP(-LN(2)/2))/(LN(2)/2)*V192*Y192*VLOOKUP('Données projet'!$B$9,Paramètres!$A$1:$I$89,3,0)*0.475*44/12</f>
        <v>8.906218059410245E-24</v>
      </c>
      <c r="AC192" s="24">
        <f t="shared" si="163"/>
        <v>0.10053023832131402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-9.9316821433603781E-14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327.826081588335</v>
      </c>
      <c r="AO192" s="62">
        <f t="shared" si="144"/>
        <v>348.84706693879735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0.19289529278296591</v>
      </c>
      <c r="AW192" s="23">
        <f>EXP(-LN(2)/2)*AW191+(1-EXP(-LN(2)/2))/(LN(2)/2)*AQ192*AT192*VLOOKUP('Données projet'!$B$10,Paramètres!$A$1:$I$89,3,0)*0.475*44/12</f>
        <v>1.7424056912502436E-23</v>
      </c>
      <c r="AX192" s="23">
        <f t="shared" si="166"/>
        <v>0.19289529278296591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-3.4106051316484809E-13</v>
      </c>
      <c r="BE192" s="14">
        <f>BD192*VLOOKUP('Données projet'!$B$11,Paramètres!$A$1:$I$89,3,0)*VLOOKUP('Données projet'!$B$11,Paramètres!$A$1:$I$89,5,0)</f>
        <v>-2.5006556825246659E-13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376.5422416541544</v>
      </c>
      <c r="BJ192" s="62">
        <f t="shared" si="146"/>
        <v>365.76175372075869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1.0604486972739935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1.0604486972739935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405.09126081846171</v>
      </c>
      <c r="CE192" s="62">
        <f t="shared" si="148"/>
        <v>534.22295841722166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0.42259677857436329</v>
      </c>
      <c r="CL192" s="23">
        <f>EXP(-LN(2)/25)*CL191+(1-EXP(-LN(2)/25))/(LN(2)/25)*Calculateur!CG192*Calculateur!CI192*VLOOKUP('Données projet'!$B$12,Paramètres!$A$1:$I$89,3,0)*0.475*44/12</f>
        <v>0.1706901988671235</v>
      </c>
      <c r="CM192" s="23">
        <f>EXP(-LN(2)/2)*CM191+(1-EXP(-LN(2)/2))/(LN(2)/2)*CG192*CJ192*VLOOKUP('Données projet'!$B$12,Paramètres!$A$1:$I$89,3,0)*0.475*44/12</f>
        <v>1.8596143660730027E-24</v>
      </c>
      <c r="CN192" s="24">
        <f t="shared" si="172"/>
        <v>0.59328697744148684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244.82163392718377</v>
      </c>
      <c r="CZ192" s="62">
        <f t="shared" si="150"/>
        <v>342.30266518164211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0.25348649149217506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0.25348649149217506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-2.2737367544323206E-13</v>
      </c>
      <c r="DP192" s="18">
        <f>DO192*VLOOKUP('Données projet'!$B$14,Paramètres!$A$1:$I$89,3,0)*VLOOKUP('Données projet'!$B$14,Paramètres!$A$1:$I$89,5,0)</f>
        <v>-1.8089849618263545E-13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298.89893065707554</v>
      </c>
      <c r="DU192" s="62">
        <f t="shared" si="152"/>
        <v>294.28794439094878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439.06700232017681</v>
      </c>
      <c r="EP192" s="62">
        <f t="shared" si="154"/>
        <v>278.21741231699929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0.11115806173303958</v>
      </c>
      <c r="EX192" s="23">
        <f>EXP(-LN(2)/2)*EX191+(1-EXP(-LN(2)/2))/(LN(2)/2)*ER192*EU192*VLOOKUP('Données projet'!$B$15,Paramètres!$A$1:$I$89,3,0)*0.475*44/12</f>
        <v>1.7441604085337028E-23</v>
      </c>
      <c r="EY192" s="24">
        <f t="shared" si="181"/>
        <v>0.11115806173303958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>
        <f>FE192*VLOOKUP('Données projet'!$B$16,Paramètres!$A$1:$I$89,3,0)*VLOOKUP('Données projet'!$B$16,Paramètres!$A$1:$I$89,5,0)</f>
        <v>0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466.4945858005575</v>
      </c>
      <c r="FK192" s="62">
        <f t="shared" si="156"/>
        <v>294.45557293177131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3.5375481256215324E-23</v>
      </c>
      <c r="FT192" s="24">
        <f t="shared" si="184"/>
        <v>3.5375481256215324E-23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>
        <f>FZ192*VLOOKUP('Données projet'!$B$17,Paramètres!$A$1:$I$89,3,0)*VLOOKUP('Données projet'!$B$17,Paramètres!$A$1:$I$89,5,0)</f>
        <v>0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459.64120566196812</v>
      </c>
      <c r="GF192" s="62">
        <f t="shared" si="158"/>
        <v>290.39826583283588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2.8421709430404007E-14</v>
      </c>
      <c r="O193" s="14">
        <f>N193*VLOOKUP('Données projet'!$B$9,Paramètres!$A$1:$I$89,3,0)*VLOOKUP('Données projet'!$B$9,Paramètres!$A$1:$I$89,5,0)</f>
        <v>1.5518253349000589E-14</v>
      </c>
      <c r="P193" s="14">
        <f t="shared" si="141"/>
        <v>2.8958815659671149E-13</v>
      </c>
      <c r="Q193" s="22">
        <f t="shared" si="162"/>
        <v>5.3139366398878183E-13</v>
      </c>
      <c r="R193" s="62">
        <f t="shared" si="109"/>
        <v>293.33333333333383</v>
      </c>
      <c r="S193" s="62">
        <f ca="1">AVERAGE(OFFSET($R$3,0,0,'Données projet'!$E$9+1,1))-AVERAGE(OFFSET($H$3,0,0,'Données projet'!$E$9+1,1))</f>
        <v>170.27677128684815</v>
      </c>
      <c r="T193" s="62">
        <f t="shared" si="142"/>
        <v>243.47439640666289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9.778123366776223E-2</v>
      </c>
      <c r="AB193" s="23">
        <f>EXP(-LN(2)/2)*AB192+(1-EXP(-LN(2)/2))/(LN(2)/2)*V193*Y193*VLOOKUP('Données projet'!$B$9,Paramètres!$A$1:$I$89,3,0)*0.475*44/12</f>
        <v>6.2976471845350781E-24</v>
      </c>
      <c r="AC193" s="24">
        <f t="shared" si="163"/>
        <v>9.778123366776223E-2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-9.9316821433603781E-14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327.826081588335</v>
      </c>
      <c r="AO193" s="62">
        <f t="shared" si="144"/>
        <v>348.84706693879735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0.18762056085789314</v>
      </c>
      <c r="AW193" s="23">
        <f>EXP(-LN(2)/2)*AW192+(1-EXP(-LN(2)/2))/(LN(2)/2)*AQ193*AT193*VLOOKUP('Données projet'!$B$10,Paramètres!$A$1:$I$89,3,0)*0.475*44/12</f>
        <v>1.2320668798610811E-23</v>
      </c>
      <c r="AX193" s="23">
        <f t="shared" si="166"/>
        <v>0.18762056085789314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-3.4106051316484809E-13</v>
      </c>
      <c r="BE193" s="14">
        <f>BD193*VLOOKUP('Données projet'!$B$11,Paramètres!$A$1:$I$89,3,0)*VLOOKUP('Données projet'!$B$11,Paramètres!$A$1:$I$89,5,0)</f>
        <v>-2.5006556825246659E-13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376.5422416541544</v>
      </c>
      <c r="BJ193" s="62">
        <f t="shared" si="146"/>
        <v>365.76175372075869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1.0396539451302886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1.0396539451302886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405.09126081846171</v>
      </c>
      <c r="CE193" s="62">
        <f t="shared" si="148"/>
        <v>534.22295841722166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0.41430991350510343</v>
      </c>
      <c r="CL193" s="23">
        <f>EXP(-LN(2)/25)*CL192+(1-EXP(-LN(2)/25))/(LN(2)/25)*Calculateur!CG193*Calculateur!CI193*VLOOKUP('Données projet'!$B$12,Paramètres!$A$1:$I$89,3,0)*0.475*44/12</f>
        <v>0.16602266640289456</v>
      </c>
      <c r="CM193" s="23">
        <f>EXP(-LN(2)/2)*CM192+(1-EXP(-LN(2)/2))/(LN(2)/2)*CG193*CJ193*VLOOKUP('Données projet'!$B$12,Paramètres!$A$1:$I$89,3,0)*0.475*44/12</f>
        <v>1.314945928642143E-24</v>
      </c>
      <c r="CN193" s="24">
        <f t="shared" si="172"/>
        <v>0.58033257990799803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244.82163392718377</v>
      </c>
      <c r="CZ193" s="62">
        <f t="shared" si="150"/>
        <v>342.30266518164211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0.2485157760055067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0.2485157760055067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-2.2737367544323206E-13</v>
      </c>
      <c r="DP193" s="18">
        <f>DO193*VLOOKUP('Données projet'!$B$14,Paramètres!$A$1:$I$89,3,0)*VLOOKUP('Données projet'!$B$14,Paramètres!$A$1:$I$89,5,0)</f>
        <v>-1.8089849618263545E-13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298.89893065707554</v>
      </c>
      <c r="DU193" s="62">
        <f t="shared" si="152"/>
        <v>294.28794439094878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439.06700232017681</v>
      </c>
      <c r="EP193" s="62">
        <f t="shared" si="154"/>
        <v>278.21741231699929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0.1081184386894012</v>
      </c>
      <c r="EX193" s="23">
        <f>EXP(-LN(2)/2)*EX192+(1-EXP(-LN(2)/2))/(LN(2)/2)*ER193*EU193*VLOOKUP('Données projet'!$B$15,Paramètres!$A$1:$I$89,3,0)*0.475*44/12</f>
        <v>1.2333076523512804E-23</v>
      </c>
      <c r="EY193" s="24">
        <f t="shared" si="181"/>
        <v>0.1081184386894012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>
        <f>FE193*VLOOKUP('Données projet'!$B$16,Paramètres!$A$1:$I$89,3,0)*VLOOKUP('Données projet'!$B$16,Paramètres!$A$1:$I$89,5,0)</f>
        <v>0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466.4945858005575</v>
      </c>
      <c r="FK193" s="62">
        <f t="shared" si="156"/>
        <v>294.45557293177131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2.5014242684007463E-23</v>
      </c>
      <c r="FT193" s="24">
        <f t="shared" si="184"/>
        <v>2.5014242684007463E-23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>
        <f>FZ193*VLOOKUP('Données projet'!$B$17,Paramètres!$A$1:$I$89,3,0)*VLOOKUP('Données projet'!$B$17,Paramètres!$A$1:$I$89,5,0)</f>
        <v>0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459.64120566196812</v>
      </c>
      <c r="GF193" s="62">
        <f t="shared" si="158"/>
        <v>290.39826583283588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2.8421709430404007E-14</v>
      </c>
      <c r="O194" s="14">
        <f>N194*VLOOKUP('Données projet'!$B$9,Paramètres!$A$1:$I$89,3,0)*VLOOKUP('Données projet'!$B$9,Paramètres!$A$1:$I$89,5,0)</f>
        <v>1.5518253349000589E-14</v>
      </c>
      <c r="P194" s="14">
        <f t="shared" si="141"/>
        <v>2.8958815659671149E-13</v>
      </c>
      <c r="Q194" s="22">
        <f t="shared" si="162"/>
        <v>5.3139366398878183E-13</v>
      </c>
      <c r="R194" s="62">
        <f t="shared" si="109"/>
        <v>293.33333333333383</v>
      </c>
      <c r="S194" s="62">
        <f ca="1">AVERAGE(OFFSET($R$3,0,0,'Données projet'!$E$9+1,1))-AVERAGE(OFFSET($H$3,0,0,'Données projet'!$E$9+1,1))</f>
        <v>170.27677128684815</v>
      </c>
      <c r="T194" s="62">
        <f t="shared" si="142"/>
        <v>243.47439640666289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9.5107400691025676E-2</v>
      </c>
      <c r="AB194" s="23">
        <f>EXP(-LN(2)/2)*AB193+(1-EXP(-LN(2)/2))/(LN(2)/2)*V194*Y194*VLOOKUP('Données projet'!$B$9,Paramètres!$A$1:$I$89,3,0)*0.475*44/12</f>
        <v>4.4531090297051225E-24</v>
      </c>
      <c r="AC194" s="24">
        <f t="shared" si="163"/>
        <v>9.5107400691025676E-2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-9.9316821433603781E-14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327.826081588335</v>
      </c>
      <c r="AO194" s="62">
        <f t="shared" si="144"/>
        <v>348.84706693879735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0.18249006675469756</v>
      </c>
      <c r="AW194" s="23">
        <f>EXP(-LN(2)/2)*AW193+(1-EXP(-LN(2)/2))/(LN(2)/2)*AQ194*AT194*VLOOKUP('Données projet'!$B$10,Paramètres!$A$1:$I$89,3,0)*0.475*44/12</f>
        <v>8.7120284562512178E-24</v>
      </c>
      <c r="AX194" s="23">
        <f t="shared" si="166"/>
        <v>0.18249006675469756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-3.4106051316484809E-13</v>
      </c>
      <c r="BE194" s="14">
        <f>BD194*VLOOKUP('Données projet'!$B$11,Paramètres!$A$1:$I$89,3,0)*VLOOKUP('Données projet'!$B$11,Paramètres!$A$1:$I$89,5,0)</f>
        <v>-2.5006556825246659E-13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376.5422416541544</v>
      </c>
      <c r="BJ194" s="62">
        <f t="shared" si="146"/>
        <v>365.76175372075869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1.0192669653925754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1.0192669653925754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405.09126081846171</v>
      </c>
      <c r="CE194" s="62">
        <f t="shared" si="148"/>
        <v>534.22295841722166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0.40618554880536312</v>
      </c>
      <c r="CL194" s="23">
        <f>EXP(-LN(2)/25)*CL193+(1-EXP(-LN(2)/25))/(LN(2)/25)*Calculateur!CG194*Calculateur!CI194*VLOOKUP('Données projet'!$B$12,Paramètres!$A$1:$I$89,3,0)*0.475*44/12</f>
        <v>0.16148276785935484</v>
      </c>
      <c r="CM194" s="23">
        <f>EXP(-LN(2)/2)*CM193+(1-EXP(-LN(2)/2))/(LN(2)/2)*CG194*CJ194*VLOOKUP('Données projet'!$B$12,Paramètres!$A$1:$I$89,3,0)*0.475*44/12</f>
        <v>9.2980718303650134E-25</v>
      </c>
      <c r="CN194" s="24">
        <f t="shared" si="172"/>
        <v>0.56766831666471795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244.82163392718377</v>
      </c>
      <c r="CZ194" s="62">
        <f t="shared" si="150"/>
        <v>342.30266518164211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0.24364253321769483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0.24364253321769483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-2.2737367544323206E-13</v>
      </c>
      <c r="DP194" s="18">
        <f>DO194*VLOOKUP('Données projet'!$B$14,Paramètres!$A$1:$I$89,3,0)*VLOOKUP('Données projet'!$B$14,Paramètres!$A$1:$I$89,5,0)</f>
        <v>-1.8089849618263545E-13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298.89893065707554</v>
      </c>
      <c r="DU194" s="62">
        <f t="shared" si="152"/>
        <v>294.28794439094878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439.06700232017681</v>
      </c>
      <c r="EP194" s="62">
        <f t="shared" si="154"/>
        <v>278.21741231699929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0.10516193429773794</v>
      </c>
      <c r="EX194" s="23">
        <f>EXP(-LN(2)/2)*EX193+(1-EXP(-LN(2)/2))/(LN(2)/2)*ER194*EU194*VLOOKUP('Données projet'!$B$15,Paramètres!$A$1:$I$89,3,0)*0.475*44/12</f>
        <v>8.7208020426685142E-24</v>
      </c>
      <c r="EY194" s="24">
        <f t="shared" si="181"/>
        <v>0.10516193429773794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>
        <f>FE194*VLOOKUP('Données projet'!$B$16,Paramètres!$A$1:$I$89,3,0)*VLOOKUP('Données projet'!$B$16,Paramètres!$A$1:$I$89,5,0)</f>
        <v>0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466.4945858005575</v>
      </c>
      <c r="FK194" s="62">
        <f t="shared" si="156"/>
        <v>294.45557293177131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1.7687740628107662E-23</v>
      </c>
      <c r="FT194" s="24">
        <f t="shared" si="184"/>
        <v>1.7687740628107662E-23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>
        <f>FZ194*VLOOKUP('Données projet'!$B$17,Paramètres!$A$1:$I$89,3,0)*VLOOKUP('Données projet'!$B$17,Paramètres!$A$1:$I$89,5,0)</f>
        <v>0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459.64120566196812</v>
      </c>
      <c r="GF194" s="62">
        <f t="shared" si="158"/>
        <v>290.39826583283588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2.8421709430404007E-14</v>
      </c>
      <c r="O195" s="14">
        <f>N195*VLOOKUP('Données projet'!$B$9,Paramètres!$A$1:$I$89,3,0)*VLOOKUP('Données projet'!$B$9,Paramètres!$A$1:$I$89,5,0)</f>
        <v>1.5518253349000589E-14</v>
      </c>
      <c r="P195" s="14">
        <f t="shared" si="141"/>
        <v>2.8958815659671149E-13</v>
      </c>
      <c r="Q195" s="22">
        <f t="shared" si="162"/>
        <v>5.3139366398878183E-13</v>
      </c>
      <c r="R195" s="62">
        <f t="shared" ref="R195:R203" si="191">Q195+(I195+J195)*44/12</f>
        <v>293.33333333333383</v>
      </c>
      <c r="S195" s="62">
        <f ca="1">AVERAGE(OFFSET($R$3,0,0,'Données projet'!$E$9+1,1))-AVERAGE(OFFSET($H$3,0,0,'Données projet'!$E$9+1,1))</f>
        <v>170.27677128684815</v>
      </c>
      <c r="T195" s="62">
        <f t="shared" si="142"/>
        <v>243.47439640666289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9.2506683817648747E-2</v>
      </c>
      <c r="AB195" s="23">
        <f>EXP(-LN(2)/2)*AB194+(1-EXP(-LN(2)/2))/(LN(2)/2)*V195*Y195*VLOOKUP('Données projet'!$B$9,Paramètres!$A$1:$I$89,3,0)*0.475*44/12</f>
        <v>3.148823592267539E-24</v>
      </c>
      <c r="AC195" s="24">
        <f t="shared" si="163"/>
        <v>9.2506683817648747E-2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-9.9316821433603781E-14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327.826081588335</v>
      </c>
      <c r="AO195" s="62">
        <f t="shared" si="144"/>
        <v>348.84706693879735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0.17749986628255482</v>
      </c>
      <c r="AW195" s="23">
        <f>EXP(-LN(2)/2)*AW194+(1-EXP(-LN(2)/2))/(LN(2)/2)*AQ195*AT195*VLOOKUP('Données projet'!$B$10,Paramètres!$A$1:$I$89,3,0)*0.475*44/12</f>
        <v>6.1603343993054054E-24</v>
      </c>
      <c r="AX195" s="23">
        <f t="shared" si="166"/>
        <v>0.17749986628255482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-3.4106051316484809E-13</v>
      </c>
      <c r="BE195" s="14">
        <f>BD195*VLOOKUP('Données projet'!$B$11,Paramètres!$A$1:$I$89,3,0)*VLOOKUP('Données projet'!$B$11,Paramètres!$A$1:$I$89,5,0)</f>
        <v>-2.5006556825246659E-13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376.5422416541544</v>
      </c>
      <c r="BJ195" s="62">
        <f t="shared" si="146"/>
        <v>365.76175372075869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0.99927976189268897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0.99927976189268897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405.09126081846171</v>
      </c>
      <c r="CE195" s="62">
        <f t="shared" si="148"/>
        <v>534.22295841722166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0.39822049794201159</v>
      </c>
      <c r="CL195" s="23">
        <f>EXP(-LN(2)/25)*CL194+(1-EXP(-LN(2)/25))/(LN(2)/25)*Calculateur!CG195*Calculateur!CI195*VLOOKUP('Données projet'!$B$12,Paramètres!$A$1:$I$89,3,0)*0.475*44/12</f>
        <v>0.15706701308023108</v>
      </c>
      <c r="CM195" s="23">
        <f>EXP(-LN(2)/2)*CM194+(1-EXP(-LN(2)/2))/(LN(2)/2)*CG195*CJ195*VLOOKUP('Données projet'!$B$12,Paramètres!$A$1:$I$89,3,0)*0.475*44/12</f>
        <v>6.5747296432107151E-25</v>
      </c>
      <c r="CN195" s="24">
        <f t="shared" si="172"/>
        <v>0.55528751102224261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244.82163392718377</v>
      </c>
      <c r="CZ195" s="62">
        <f t="shared" si="150"/>
        <v>342.30266518164211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0.23886485174856734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0.23886485174856734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-2.2737367544323206E-13</v>
      </c>
      <c r="DP195" s="18">
        <f>DO195*VLOOKUP('Données projet'!$B$14,Paramètres!$A$1:$I$89,3,0)*VLOOKUP('Données projet'!$B$14,Paramètres!$A$1:$I$89,5,0)</f>
        <v>-1.8089849618263545E-13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298.89893065707554</v>
      </c>
      <c r="DU195" s="62">
        <f t="shared" si="152"/>
        <v>294.28794439094878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439.06700232017681</v>
      </c>
      <c r="EP195" s="62">
        <f t="shared" si="154"/>
        <v>278.21741231699929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0.10228627567414053</v>
      </c>
      <c r="EX195" s="23">
        <f>EXP(-LN(2)/2)*EX194+(1-EXP(-LN(2)/2))/(LN(2)/2)*ER195*EU195*VLOOKUP('Données projet'!$B$15,Paramètres!$A$1:$I$89,3,0)*0.475*44/12</f>
        <v>6.1665382617564018E-24</v>
      </c>
      <c r="EY195" s="24">
        <f t="shared" si="181"/>
        <v>0.10228627567414053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>
        <f>FE195*VLOOKUP('Données projet'!$B$16,Paramètres!$A$1:$I$89,3,0)*VLOOKUP('Données projet'!$B$16,Paramètres!$A$1:$I$89,5,0)</f>
        <v>0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466.4945858005575</v>
      </c>
      <c r="FK195" s="62">
        <f t="shared" si="156"/>
        <v>294.45557293177131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1.2507121342003731E-23</v>
      </c>
      <c r="FT195" s="24">
        <f t="shared" si="184"/>
        <v>1.2507121342003731E-23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>
        <f>FZ195*VLOOKUP('Données projet'!$B$17,Paramètres!$A$1:$I$89,3,0)*VLOOKUP('Données projet'!$B$17,Paramètres!$A$1:$I$89,5,0)</f>
        <v>0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459.64120566196812</v>
      </c>
      <c r="GF195" s="62">
        <f t="shared" si="158"/>
        <v>290.39826583283588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2.8421709430404007E-14</v>
      </c>
      <c r="O196" s="14">
        <f>N196*VLOOKUP('Données projet'!$B$9,Paramètres!$A$1:$I$89,3,0)*VLOOKUP('Données projet'!$B$9,Paramètres!$A$1:$I$89,5,0)</f>
        <v>1.5518253349000589E-14</v>
      </c>
      <c r="P196" s="14">
        <f t="shared" si="141"/>
        <v>2.8958815659671149E-13</v>
      </c>
      <c r="Q196" s="22">
        <f t="shared" si="162"/>
        <v>5.3139366398878183E-13</v>
      </c>
      <c r="R196" s="62">
        <f t="shared" si="191"/>
        <v>293.33333333333383</v>
      </c>
      <c r="S196" s="62">
        <f ca="1">AVERAGE(OFFSET($R$3,0,0,'Données projet'!$E$9+1,1))-AVERAGE(OFFSET($H$3,0,0,'Données projet'!$E$9+1,1))</f>
        <v>170.27677128684815</v>
      </c>
      <c r="T196" s="62">
        <f t="shared" si="142"/>
        <v>243.47439640666289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8.9977083683940071E-2</v>
      </c>
      <c r="AB196" s="23">
        <f>EXP(-LN(2)/2)*AB195+(1-EXP(-LN(2)/2))/(LN(2)/2)*V196*Y196*VLOOKUP('Données projet'!$B$9,Paramètres!$A$1:$I$89,3,0)*0.475*44/12</f>
        <v>2.2265545148525612E-24</v>
      </c>
      <c r="AC196" s="24">
        <f t="shared" si="163"/>
        <v>8.9977083683940071E-2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-9.9316821433603781E-14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327.826081588335</v>
      </c>
      <c r="AO196" s="62">
        <f t="shared" si="144"/>
        <v>348.84706693879735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0.17264612310474606</v>
      </c>
      <c r="AW196" s="23">
        <f>EXP(-LN(2)/2)*AW195+(1-EXP(-LN(2)/2))/(LN(2)/2)*AQ196*AT196*VLOOKUP('Données projet'!$B$10,Paramètres!$A$1:$I$89,3,0)*0.475*44/12</f>
        <v>4.3560142281256089E-24</v>
      </c>
      <c r="AX196" s="23">
        <f t="shared" si="166"/>
        <v>0.17264612310474606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-3.4106051316484809E-13</v>
      </c>
      <c r="BE196" s="14">
        <f>BD196*VLOOKUP('Données projet'!$B$11,Paramètres!$A$1:$I$89,3,0)*VLOOKUP('Données projet'!$B$11,Paramètres!$A$1:$I$89,5,0)</f>
        <v>-2.5006556825246659E-13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376.5422416541544</v>
      </c>
      <c r="BJ196" s="62">
        <f t="shared" si="146"/>
        <v>365.76175372075869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0.97968449526244494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0.97968449526244494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405.09126081846171</v>
      </c>
      <c r="CE196" s="62">
        <f t="shared" si="148"/>
        <v>534.22295841722166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0.39041163686788904</v>
      </c>
      <c r="CL196" s="23">
        <f>EXP(-LN(2)/25)*CL195+(1-EXP(-LN(2)/25))/(LN(2)/25)*Calculateur!CG196*Calculateur!CI196*VLOOKUP('Données projet'!$B$12,Paramètres!$A$1:$I$89,3,0)*0.475*44/12</f>
        <v>0.15277200734775692</v>
      </c>
      <c r="CM196" s="23">
        <f>EXP(-LN(2)/2)*CM195+(1-EXP(-LN(2)/2))/(LN(2)/2)*CG196*CJ196*VLOOKUP('Données projet'!$B$12,Paramètres!$A$1:$I$89,3,0)*0.475*44/12</f>
        <v>4.6490359151825067E-25</v>
      </c>
      <c r="CN196" s="24">
        <f t="shared" si="172"/>
        <v>0.54318364421564591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244.82163392718377</v>
      </c>
      <c r="CZ196" s="62">
        <f t="shared" si="150"/>
        <v>342.30266518164211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0.2341808576989515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0.2341808576989515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-2.2737367544323206E-13</v>
      </c>
      <c r="DP196" s="18">
        <f>DO196*VLOOKUP('Données projet'!$B$14,Paramètres!$A$1:$I$89,3,0)*VLOOKUP('Données projet'!$B$14,Paramètres!$A$1:$I$89,5,0)</f>
        <v>-1.8089849618263545E-13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298.89893065707554</v>
      </c>
      <c r="DU196" s="62">
        <f t="shared" si="152"/>
        <v>294.28794439094878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439.06700232017681</v>
      </c>
      <c r="EP196" s="62">
        <f t="shared" si="154"/>
        <v>278.21741231699929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9.9489252086829696E-2</v>
      </c>
      <c r="EX196" s="23">
        <f>EXP(-LN(2)/2)*EX195+(1-EXP(-LN(2)/2))/(LN(2)/2)*ER196*EU196*VLOOKUP('Données projet'!$B$15,Paramètres!$A$1:$I$89,3,0)*0.475*44/12</f>
        <v>4.3604010213342571E-24</v>
      </c>
      <c r="EY196" s="24">
        <f t="shared" si="181"/>
        <v>9.9489252086829696E-2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>
        <f>FE196*VLOOKUP('Données projet'!$B$16,Paramètres!$A$1:$I$89,3,0)*VLOOKUP('Données projet'!$B$16,Paramètres!$A$1:$I$89,5,0)</f>
        <v>0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466.4945858005575</v>
      </c>
      <c r="FK196" s="62">
        <f t="shared" si="156"/>
        <v>294.45557293177131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8.843870314053831E-24</v>
      </c>
      <c r="FT196" s="24">
        <f t="shared" si="184"/>
        <v>8.843870314053831E-24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>
        <f>FZ196*VLOOKUP('Données projet'!$B$17,Paramètres!$A$1:$I$89,3,0)*VLOOKUP('Données projet'!$B$17,Paramètres!$A$1:$I$89,5,0)</f>
        <v>0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459.64120566196812</v>
      </c>
      <c r="GF196" s="62">
        <f t="shared" si="158"/>
        <v>290.39826583283588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2.8421709430404007E-14</v>
      </c>
      <c r="O197" s="14">
        <f>N197*VLOOKUP('Données projet'!$B$9,Paramètres!$A$1:$I$89,3,0)*VLOOKUP('Données projet'!$B$9,Paramètres!$A$1:$I$89,5,0)</f>
        <v>1.5518253349000589E-14</v>
      </c>
      <c r="P197" s="14">
        <f t="shared" ref="P197:P203" si="203">EXP(-1.0587+0.8836*LN(O197)+0.284)</f>
        <v>2.8958815659671149E-13</v>
      </c>
      <c r="Q197" s="22">
        <f t="shared" si="162"/>
        <v>5.3139366398878183E-13</v>
      </c>
      <c r="R197" s="62">
        <f t="shared" si="191"/>
        <v>293.33333333333383</v>
      </c>
      <c r="S197" s="62">
        <f ca="1">AVERAGE(OFFSET($R$3,0,0,'Données projet'!$E$9+1,1))-AVERAGE(OFFSET($H$3,0,0,'Données projet'!$E$9+1,1))</f>
        <v>170.27677128684815</v>
      </c>
      <c r="T197" s="62">
        <f t="shared" ref="T197:T203" si="204">$T$3</f>
        <v>243.47439640666289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8.7516655598913543E-2</v>
      </c>
      <c r="AB197" s="23">
        <f>EXP(-LN(2)/2)*AB196+(1-EXP(-LN(2)/2))/(LN(2)/2)*V197*Y197*VLOOKUP('Données projet'!$B$9,Paramètres!$A$1:$I$89,3,0)*0.475*44/12</f>
        <v>1.5744117961337695E-24</v>
      </c>
      <c r="AC197" s="24">
        <f t="shared" si="163"/>
        <v>8.7516655598913543E-2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-9.9316821433603781E-14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327.826081588335</v>
      </c>
      <c r="AO197" s="62">
        <f t="shared" ref="AO197:AO203" si="205">$AO$3</f>
        <v>348.84706693879735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0.16792510578938175</v>
      </c>
      <c r="AW197" s="23">
        <f>EXP(-LN(2)/2)*AW196+(1-EXP(-LN(2)/2))/(LN(2)/2)*AQ197*AT197*VLOOKUP('Données projet'!$B$10,Paramètres!$A$1:$I$89,3,0)*0.475*44/12</f>
        <v>3.0801671996527027E-24</v>
      </c>
      <c r="AX197" s="23">
        <f t="shared" si="166"/>
        <v>0.16792510578938175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-3.4106051316484809E-13</v>
      </c>
      <c r="BE197" s="14">
        <f>BD197*VLOOKUP('Données projet'!$B$11,Paramètres!$A$1:$I$89,3,0)*VLOOKUP('Données projet'!$B$11,Paramètres!$A$1:$I$89,5,0)</f>
        <v>-2.5006556825246659E-13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376.5422416541544</v>
      </c>
      <c r="BJ197" s="62">
        <f t="shared" ref="BJ197:BJ203" si="206">$BJ$3</f>
        <v>365.76175372075869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0.96047347985888754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0.96047347985888754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405.09126081846171</v>
      </c>
      <c r="CE197" s="62">
        <f t="shared" ref="CE197:CE203" si="207">$CE$3</f>
        <v>534.22295841722166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0.38275590279649507</v>
      </c>
      <c r="CL197" s="23">
        <f>EXP(-LN(2)/25)*CL196+(1-EXP(-LN(2)/25))/(LN(2)/25)*Calculateur!CG197*Calculateur!CI197*VLOOKUP('Données projet'!$B$12,Paramètres!$A$1:$I$89,3,0)*0.475*44/12</f>
        <v>0.14859444877290182</v>
      </c>
      <c r="CM197" s="23">
        <f>EXP(-LN(2)/2)*CM196+(1-EXP(-LN(2)/2))/(LN(2)/2)*CG197*CJ197*VLOOKUP('Données projet'!$B$12,Paramètres!$A$1:$I$89,3,0)*0.475*44/12</f>
        <v>3.2873648216053575E-25</v>
      </c>
      <c r="CN197" s="24">
        <f t="shared" si="172"/>
        <v>0.53135035156939692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244.82163392718377</v>
      </c>
      <c r="CZ197" s="62">
        <f t="shared" ref="CZ197:CZ203" si="208">$CZ$3</f>
        <v>342.30266518164211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0.22958871391569435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0.22958871391569435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-2.2737367544323206E-13</v>
      </c>
      <c r="DP197" s="18">
        <f>DO197*VLOOKUP('Données projet'!$B$14,Paramètres!$A$1:$I$89,3,0)*VLOOKUP('Données projet'!$B$14,Paramètres!$A$1:$I$89,5,0)</f>
        <v>-1.8089849618263545E-13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298.89893065707554</v>
      </c>
      <c r="DU197" s="62">
        <f t="shared" ref="DU197:DU203" si="209">$DU$3</f>
        <v>294.28794439094878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439.06700232017681</v>
      </c>
      <c r="EP197" s="62">
        <f t="shared" ref="EP197:EP203" si="210">$EP$3</f>
        <v>278.21741231699929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9.6768713256602953E-2</v>
      </c>
      <c r="EX197" s="23">
        <f>EXP(-LN(2)/2)*EX196+(1-EXP(-LN(2)/2))/(LN(2)/2)*ER197*EU197*VLOOKUP('Données projet'!$B$15,Paramètres!$A$1:$I$89,3,0)*0.475*44/12</f>
        <v>3.0832691308782009E-24</v>
      </c>
      <c r="EY197" s="24">
        <f t="shared" si="181"/>
        <v>9.6768713256602953E-2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>
        <f>FE197*VLOOKUP('Données projet'!$B$16,Paramètres!$A$1:$I$89,3,0)*VLOOKUP('Données projet'!$B$16,Paramètres!$A$1:$I$89,5,0)</f>
        <v>0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466.4945858005575</v>
      </c>
      <c r="FK197" s="62">
        <f t="shared" ref="FK197:FK203" si="211">$FK$3</f>
        <v>294.45557293177131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6.2535606710018657E-24</v>
      </c>
      <c r="FT197" s="24">
        <f t="shared" si="184"/>
        <v>6.2535606710018657E-24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>
        <f>FZ197*VLOOKUP('Données projet'!$B$17,Paramètres!$A$1:$I$89,3,0)*VLOOKUP('Données projet'!$B$17,Paramètres!$A$1:$I$89,5,0)</f>
        <v>0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459.64120566196812</v>
      </c>
      <c r="GF197" s="62">
        <f t="shared" ref="GF197:GF203" si="212">$GF$3</f>
        <v>290.39826583283588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2.8421709430404007E-14</v>
      </c>
      <c r="O198" s="14">
        <f>N198*VLOOKUP('Données projet'!$B$9,Paramètres!$A$1:$I$89,3,0)*VLOOKUP('Données projet'!$B$9,Paramètres!$A$1:$I$89,5,0)</f>
        <v>1.5518253349000589E-14</v>
      </c>
      <c r="P198" s="14">
        <f t="shared" si="203"/>
        <v>2.8958815659671149E-13</v>
      </c>
      <c r="Q198" s="22">
        <f t="shared" si="162"/>
        <v>5.3139366398878183E-13</v>
      </c>
      <c r="R198" s="62">
        <f t="shared" si="191"/>
        <v>293.33333333333383</v>
      </c>
      <c r="S198" s="62">
        <f ca="1">AVERAGE(OFFSET($R$3,0,0,'Données projet'!$E$9+1,1))-AVERAGE(OFFSET($H$3,0,0,'Données projet'!$E$9+1,1))</f>
        <v>170.27677128684815</v>
      </c>
      <c r="T198" s="62">
        <f t="shared" si="204"/>
        <v>243.47439640666289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8.512350804926036E-2</v>
      </c>
      <c r="AB198" s="23">
        <f>EXP(-LN(2)/2)*AB197+(1-EXP(-LN(2)/2))/(LN(2)/2)*V198*Y198*VLOOKUP('Données projet'!$B$9,Paramètres!$A$1:$I$89,3,0)*0.475*44/12</f>
        <v>1.1132772574262806E-24</v>
      </c>
      <c r="AC198" s="24">
        <f t="shared" si="163"/>
        <v>8.512350804926036E-2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-9.9316821433603781E-14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327.826081588335</v>
      </c>
      <c r="AO198" s="62">
        <f t="shared" si="205"/>
        <v>348.84706693879735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0.16333318494077359</v>
      </c>
      <c r="AW198" s="23">
        <f>EXP(-LN(2)/2)*AW197+(1-EXP(-LN(2)/2))/(LN(2)/2)*AQ198*AT198*VLOOKUP('Données projet'!$B$10,Paramètres!$A$1:$I$89,3,0)*0.475*44/12</f>
        <v>2.1780071140628045E-24</v>
      </c>
      <c r="AX198" s="23">
        <f t="shared" si="166"/>
        <v>0.16333318494077359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-3.4106051316484809E-13</v>
      </c>
      <c r="BE198" s="14">
        <f>BD198*VLOOKUP('Données projet'!$B$11,Paramètres!$A$1:$I$89,3,0)*VLOOKUP('Données projet'!$B$11,Paramètres!$A$1:$I$89,5,0)</f>
        <v>-2.5006556825246659E-13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376.5422416541544</v>
      </c>
      <c r="BJ198" s="62">
        <f t="shared" si="206"/>
        <v>365.76175372075869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0.94163918074983144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0.94163918074983144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405.09126081846171</v>
      </c>
      <c r="CE198" s="62">
        <f t="shared" si="207"/>
        <v>534.22295841722166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0.37525029300070445</v>
      </c>
      <c r="CL198" s="23">
        <f>EXP(-LN(2)/25)*CL197+(1-EXP(-LN(2)/25))/(LN(2)/25)*Calculateur!CG198*Calculateur!CI198*VLOOKUP('Données projet'!$B$12,Paramètres!$A$1:$I$89,3,0)*0.475*44/12</f>
        <v>0.14453112575696436</v>
      </c>
      <c r="CM198" s="23">
        <f>EXP(-LN(2)/2)*CM197+(1-EXP(-LN(2)/2))/(LN(2)/2)*CG198*CJ198*VLOOKUP('Données projet'!$B$12,Paramètres!$A$1:$I$89,3,0)*0.475*44/12</f>
        <v>2.3245179575912533E-25</v>
      </c>
      <c r="CN198" s="24">
        <f t="shared" si="172"/>
        <v>0.51978141875766881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244.82163392718377</v>
      </c>
      <c r="CZ198" s="62">
        <f t="shared" si="208"/>
        <v>342.30266518164211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0.22508661927109574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0.22508661927109574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-2.2737367544323206E-13</v>
      </c>
      <c r="DP198" s="18">
        <f>DO198*VLOOKUP('Données projet'!$B$14,Paramètres!$A$1:$I$89,3,0)*VLOOKUP('Données projet'!$B$14,Paramètres!$A$1:$I$89,5,0)</f>
        <v>-1.8089849618263545E-13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298.89893065707554</v>
      </c>
      <c r="DU198" s="62">
        <f t="shared" si="209"/>
        <v>294.28794439094878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439.06700232017681</v>
      </c>
      <c r="EP198" s="62">
        <f t="shared" si="210"/>
        <v>278.21741231699929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9.4122567703755683E-2</v>
      </c>
      <c r="EX198" s="23">
        <f>EXP(-LN(2)/2)*EX197+(1-EXP(-LN(2)/2))/(LN(2)/2)*ER198*EU198*VLOOKUP('Données projet'!$B$15,Paramètres!$A$1:$I$89,3,0)*0.475*44/12</f>
        <v>2.1802005106671286E-24</v>
      </c>
      <c r="EY198" s="24">
        <f t="shared" si="181"/>
        <v>9.4122567703755683E-2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>
        <f>FE198*VLOOKUP('Données projet'!$B$16,Paramètres!$A$1:$I$89,3,0)*VLOOKUP('Données projet'!$B$16,Paramètres!$A$1:$I$89,5,0)</f>
        <v>0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466.4945858005575</v>
      </c>
      <c r="FK198" s="62">
        <f t="shared" si="211"/>
        <v>294.45557293177131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4.4219351570269155E-24</v>
      </c>
      <c r="FT198" s="24">
        <f t="shared" si="184"/>
        <v>4.4219351570269155E-24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>
        <f>FZ198*VLOOKUP('Données projet'!$B$17,Paramètres!$A$1:$I$89,3,0)*VLOOKUP('Données projet'!$B$17,Paramètres!$A$1:$I$89,5,0)</f>
        <v>0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459.64120566196812</v>
      </c>
      <c r="GF198" s="62">
        <f t="shared" si="212"/>
        <v>290.39826583283588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2.8421709430404007E-14</v>
      </c>
      <c r="O199" s="14">
        <f>N199*VLOOKUP('Données projet'!$B$9,Paramètres!$A$1:$I$89,3,0)*VLOOKUP('Données projet'!$B$9,Paramètres!$A$1:$I$89,5,0)</f>
        <v>1.5518253349000589E-14</v>
      </c>
      <c r="P199" s="14">
        <f t="shared" si="203"/>
        <v>2.8958815659671149E-13</v>
      </c>
      <c r="Q199" s="22">
        <f t="shared" si="162"/>
        <v>5.3139366398878183E-13</v>
      </c>
      <c r="R199" s="62">
        <f t="shared" si="191"/>
        <v>293.33333333333383</v>
      </c>
      <c r="S199" s="62">
        <f ca="1">AVERAGE(OFFSET($R$3,0,0,'Données projet'!$E$9+1,1))-AVERAGE(OFFSET($H$3,0,0,'Données projet'!$E$9+1,1))</f>
        <v>170.27677128684815</v>
      </c>
      <c r="T199" s="62">
        <f t="shared" si="204"/>
        <v>243.47439640666289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8.2795801245202597E-2</v>
      </c>
      <c r="AB199" s="23">
        <f>EXP(-LN(2)/2)*AB198+(1-EXP(-LN(2)/2))/(LN(2)/2)*V199*Y199*VLOOKUP('Données projet'!$B$9,Paramètres!$A$1:$I$89,3,0)*0.475*44/12</f>
        <v>7.8720589806688476E-25</v>
      </c>
      <c r="AC199" s="24">
        <f t="shared" si="163"/>
        <v>8.2795801245202597E-2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-9.9316821433603781E-14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327.826081588335</v>
      </c>
      <c r="AO199" s="62">
        <f t="shared" si="205"/>
        <v>348.84706693879735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0.15886683040924923</v>
      </c>
      <c r="AW199" s="23">
        <f>EXP(-LN(2)/2)*AW198+(1-EXP(-LN(2)/2))/(LN(2)/2)*AQ199*AT199*VLOOKUP('Données projet'!$B$10,Paramètres!$A$1:$I$89,3,0)*0.475*44/12</f>
        <v>1.5400835998263513E-24</v>
      </c>
      <c r="AX199" s="23">
        <f t="shared" si="166"/>
        <v>0.15886683040924923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-3.4106051316484809E-13</v>
      </c>
      <c r="BE199" s="14">
        <f>BD199*VLOOKUP('Données projet'!$B$11,Paramètres!$A$1:$I$89,3,0)*VLOOKUP('Données projet'!$B$11,Paramètres!$A$1:$I$89,5,0)</f>
        <v>-2.5006556825246659E-13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376.5422416541544</v>
      </c>
      <c r="BJ199" s="62">
        <f t="shared" si="206"/>
        <v>365.76175372075869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0.9231742107585158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0.9231742107585158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405.09126081846171</v>
      </c>
      <c r="CE199" s="62">
        <f t="shared" si="207"/>
        <v>534.22295841722166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0.36789186363503934</v>
      </c>
      <c r="CL199" s="23">
        <f>EXP(-LN(2)/25)*CL198+(1-EXP(-LN(2)/25))/(LN(2)/25)*Calculateur!CG199*Calculateur!CI199*VLOOKUP('Données projet'!$B$12,Paramètres!$A$1:$I$89,3,0)*0.475*44/12</f>
        <v>0.14057891452257859</v>
      </c>
      <c r="CM199" s="23">
        <f>EXP(-LN(2)/2)*CM198+(1-EXP(-LN(2)/2))/(LN(2)/2)*CG199*CJ199*VLOOKUP('Données projet'!$B$12,Paramètres!$A$1:$I$89,3,0)*0.475*44/12</f>
        <v>1.6436824108026788E-25</v>
      </c>
      <c r="CN199" s="24">
        <f t="shared" si="172"/>
        <v>0.50847077815761788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244.82163392718377</v>
      </c>
      <c r="CZ199" s="62">
        <f t="shared" si="208"/>
        <v>342.30266518164211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0.22067280795647112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0.22067280795647112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-2.2737367544323206E-13</v>
      </c>
      <c r="DP199" s="18">
        <f>DO199*VLOOKUP('Données projet'!$B$14,Paramètres!$A$1:$I$89,3,0)*VLOOKUP('Données projet'!$B$14,Paramètres!$A$1:$I$89,5,0)</f>
        <v>-1.8089849618263545E-13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298.89893065707554</v>
      </c>
      <c r="DU199" s="62">
        <f t="shared" si="209"/>
        <v>294.28794439094878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439.06700232017681</v>
      </c>
      <c r="EP199" s="62">
        <f t="shared" si="210"/>
        <v>278.21741231699929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9.1548781140205773E-2</v>
      </c>
      <c r="EX199" s="23">
        <f>EXP(-LN(2)/2)*EX198+(1-EXP(-LN(2)/2))/(LN(2)/2)*ER199*EU199*VLOOKUP('Données projet'!$B$15,Paramètres!$A$1:$I$89,3,0)*0.475*44/12</f>
        <v>1.5416345654391005E-24</v>
      </c>
      <c r="EY199" s="24">
        <f t="shared" si="181"/>
        <v>9.1548781140205773E-2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>
        <f>FE199*VLOOKUP('Données projet'!$B$16,Paramètres!$A$1:$I$89,3,0)*VLOOKUP('Données projet'!$B$16,Paramètres!$A$1:$I$89,5,0)</f>
        <v>0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466.4945858005575</v>
      </c>
      <c r="FK199" s="62">
        <f t="shared" si="211"/>
        <v>294.45557293177131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3.1267803355009328E-24</v>
      </c>
      <c r="FT199" s="24">
        <f t="shared" si="184"/>
        <v>3.1267803355009328E-24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>
        <f>FZ199*VLOOKUP('Données projet'!$B$17,Paramètres!$A$1:$I$89,3,0)*VLOOKUP('Données projet'!$B$17,Paramètres!$A$1:$I$89,5,0)</f>
        <v>0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459.64120566196812</v>
      </c>
      <c r="GF199" s="62">
        <f t="shared" si="212"/>
        <v>290.39826583283588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2.8421709430404007E-14</v>
      </c>
      <c r="O200" s="14">
        <f>N200*VLOOKUP('Données projet'!$B$9,Paramètres!$A$1:$I$89,3,0)*VLOOKUP('Données projet'!$B$9,Paramètres!$A$1:$I$89,5,0)</f>
        <v>1.5518253349000589E-14</v>
      </c>
      <c r="P200" s="14">
        <f t="shared" si="203"/>
        <v>2.8958815659671149E-13</v>
      </c>
      <c r="Q200" s="22">
        <f t="shared" si="162"/>
        <v>5.3139366398878183E-13</v>
      </c>
      <c r="R200" s="62">
        <f t="shared" si="191"/>
        <v>293.33333333333383</v>
      </c>
      <c r="S200" s="62">
        <f ca="1">AVERAGE(OFFSET($R$3,0,0,'Données projet'!$E$9+1,1))-AVERAGE(OFFSET($H$3,0,0,'Données projet'!$E$9+1,1))</f>
        <v>170.27677128684815</v>
      </c>
      <c r="T200" s="62">
        <f t="shared" si="204"/>
        <v>243.47439640666289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8.0531745706110575E-2</v>
      </c>
      <c r="AB200" s="23">
        <f>EXP(-LN(2)/2)*AB199+(1-EXP(-LN(2)/2))/(LN(2)/2)*V200*Y200*VLOOKUP('Données projet'!$B$9,Paramètres!$A$1:$I$89,3,0)*0.475*44/12</f>
        <v>5.5663862871314031E-25</v>
      </c>
      <c r="AC200" s="24">
        <f t="shared" si="163"/>
        <v>8.0531745706110575E-2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-9.9316821433603781E-14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327.826081588335</v>
      </c>
      <c r="AO200" s="62">
        <f t="shared" si="205"/>
        <v>348.84706693879735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0.1545226085772648</v>
      </c>
      <c r="AW200" s="23">
        <f>EXP(-LN(2)/2)*AW199+(1-EXP(-LN(2)/2))/(LN(2)/2)*AQ200*AT200*VLOOKUP('Données projet'!$B$10,Paramètres!$A$1:$I$89,3,0)*0.475*44/12</f>
        <v>1.0890035570314022E-24</v>
      </c>
      <c r="AX200" s="23">
        <f t="shared" si="166"/>
        <v>0.1545226085772648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-3.4106051316484809E-13</v>
      </c>
      <c r="BE200" s="14">
        <f>BD200*VLOOKUP('Données projet'!$B$11,Paramètres!$A$1:$I$89,3,0)*VLOOKUP('Données projet'!$B$11,Paramètres!$A$1:$I$89,5,0)</f>
        <v>-2.5006556825246659E-13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376.5422416541544</v>
      </c>
      <c r="BJ200" s="62">
        <f t="shared" si="206"/>
        <v>365.76175372075869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0.90507132756621023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0.90507132756621023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405.09126081846171</v>
      </c>
      <c r="CE200" s="62">
        <f t="shared" si="207"/>
        <v>534.22295841722166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0.36067772858103619</v>
      </c>
      <c r="CL200" s="23">
        <f>EXP(-LN(2)/25)*CL199+(1-EXP(-LN(2)/25))/(LN(2)/25)*Calculateur!CG200*Calculateur!CI200*VLOOKUP('Données projet'!$B$12,Paramètres!$A$1:$I$89,3,0)*0.475*44/12</f>
        <v>0.13673477671223486</v>
      </c>
      <c r="CM200" s="23">
        <f>EXP(-LN(2)/2)*CM199+(1-EXP(-LN(2)/2))/(LN(2)/2)*CG200*CJ200*VLOOKUP('Données projet'!$B$12,Paramètres!$A$1:$I$89,3,0)*0.475*44/12</f>
        <v>1.1622589787956267E-25</v>
      </c>
      <c r="CN200" s="24">
        <f t="shared" si="172"/>
        <v>0.49741250529327108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244.82163392718377</v>
      </c>
      <c r="CZ200" s="62">
        <f t="shared" si="208"/>
        <v>342.30266518164211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0.21634554878956722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0.21634554878956722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-2.2737367544323206E-13</v>
      </c>
      <c r="DP200" s="18">
        <f>DO200*VLOOKUP('Données projet'!$B$14,Paramètres!$A$1:$I$89,3,0)*VLOOKUP('Données projet'!$B$14,Paramètres!$A$1:$I$89,5,0)</f>
        <v>-1.8089849618263545E-13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298.89893065707554</v>
      </c>
      <c r="DU200" s="62">
        <f t="shared" si="209"/>
        <v>294.28794439094878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439.06700232017681</v>
      </c>
      <c r="EP200" s="62">
        <f t="shared" si="210"/>
        <v>278.21741231699929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8.9045374905585686E-2</v>
      </c>
      <c r="EX200" s="23">
        <f>EXP(-LN(2)/2)*EX199+(1-EXP(-LN(2)/2))/(LN(2)/2)*ER200*EU200*VLOOKUP('Données projet'!$B$15,Paramètres!$A$1:$I$89,3,0)*0.475*44/12</f>
        <v>1.0901002553335643E-24</v>
      </c>
      <c r="EY200" s="24">
        <f t="shared" si="181"/>
        <v>8.9045374905585686E-2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>
        <f>FE200*VLOOKUP('Données projet'!$B$16,Paramètres!$A$1:$I$89,3,0)*VLOOKUP('Données projet'!$B$16,Paramètres!$A$1:$I$89,5,0)</f>
        <v>0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466.4945858005575</v>
      </c>
      <c r="FK200" s="62">
        <f t="shared" si="211"/>
        <v>294.45557293177131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2.2109675785134577E-24</v>
      </c>
      <c r="FT200" s="24">
        <f t="shared" si="184"/>
        <v>2.2109675785134577E-24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>
        <f>FZ200*VLOOKUP('Données projet'!$B$17,Paramètres!$A$1:$I$89,3,0)*VLOOKUP('Données projet'!$B$17,Paramètres!$A$1:$I$89,5,0)</f>
        <v>0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459.64120566196812</v>
      </c>
      <c r="GF200" s="62">
        <f t="shared" si="212"/>
        <v>290.39826583283588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2.8421709430404007E-14</v>
      </c>
      <c r="O201" s="14">
        <f>N201*VLOOKUP('Données projet'!$B$9,Paramètres!$A$1:$I$89,3,0)*VLOOKUP('Données projet'!$B$9,Paramètres!$A$1:$I$89,5,0)</f>
        <v>1.5518253349000589E-14</v>
      </c>
      <c r="P201" s="14">
        <f t="shared" si="203"/>
        <v>2.8958815659671149E-13</v>
      </c>
      <c r="Q201" s="22">
        <f t="shared" si="162"/>
        <v>5.3139366398878183E-13</v>
      </c>
      <c r="R201" s="62">
        <f t="shared" si="191"/>
        <v>293.33333333333383</v>
      </c>
      <c r="S201" s="62">
        <f ca="1">AVERAGE(OFFSET($R$3,0,0,'Données projet'!$E$9+1,1))-AVERAGE(OFFSET($H$3,0,0,'Données projet'!$E$9+1,1))</f>
        <v>170.27677128684815</v>
      </c>
      <c r="T201" s="62">
        <f t="shared" si="204"/>
        <v>243.47439640666289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7.8329600884796527E-2</v>
      </c>
      <c r="AB201" s="23">
        <f>EXP(-LN(2)/2)*AB200+(1-EXP(-LN(2)/2))/(LN(2)/2)*V201*Y201*VLOOKUP('Données projet'!$B$9,Paramètres!$A$1:$I$89,3,0)*0.475*44/12</f>
        <v>3.9360294903344238E-25</v>
      </c>
      <c r="AC201" s="24">
        <f t="shared" si="163"/>
        <v>7.8329600884796527E-2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-9.9316821433603781E-14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327.826081588335</v>
      </c>
      <c r="AO201" s="62">
        <f t="shared" si="205"/>
        <v>348.84706693879735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0.15029717971972867</v>
      </c>
      <c r="AW201" s="23">
        <f>EXP(-LN(2)/2)*AW200+(1-EXP(-LN(2)/2))/(LN(2)/2)*AQ201*AT201*VLOOKUP('Données projet'!$B$10,Paramètres!$A$1:$I$89,3,0)*0.475*44/12</f>
        <v>7.7004179991317567E-25</v>
      </c>
      <c r="AX201" s="23">
        <f t="shared" si="166"/>
        <v>0.15029717971972867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-3.4106051316484809E-13</v>
      </c>
      <c r="BE201" s="14">
        <f>BD201*VLOOKUP('Données projet'!$B$11,Paramètres!$A$1:$I$89,3,0)*VLOOKUP('Données projet'!$B$11,Paramètres!$A$1:$I$89,5,0)</f>
        <v>-2.5006556825246659E-13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376.5422416541544</v>
      </c>
      <c r="BJ201" s="62">
        <f t="shared" si="206"/>
        <v>365.76175372075869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0.88732343087163734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0.88732343087163734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405.09126081846171</v>
      </c>
      <c r="CE201" s="62">
        <f t="shared" si="207"/>
        <v>534.22295841722166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0.35360505831525413</v>
      </c>
      <c r="CL201" s="23">
        <f>EXP(-LN(2)/25)*CL200+(1-EXP(-LN(2)/25))/(LN(2)/25)*Calculateur!CG201*Calculateur!CI201*VLOOKUP('Données projet'!$B$12,Paramètres!$A$1:$I$89,3,0)*0.475*44/12</f>
        <v>0.13299575705246941</v>
      </c>
      <c r="CM201" s="23">
        <f>EXP(-LN(2)/2)*CM200+(1-EXP(-LN(2)/2))/(LN(2)/2)*CG201*CJ201*VLOOKUP('Données projet'!$B$12,Paramètres!$A$1:$I$89,3,0)*0.475*44/12</f>
        <v>8.2184120540133938E-26</v>
      </c>
      <c r="CN201" s="24">
        <f t="shared" si="172"/>
        <v>0.48660081536772354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244.82163392718377</v>
      </c>
      <c r="CZ201" s="62">
        <f t="shared" si="208"/>
        <v>342.30266518164211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0.21210314453555881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0.21210314453555881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-2.2737367544323206E-13</v>
      </c>
      <c r="DP201" s="18">
        <f>DO201*VLOOKUP('Données projet'!$B$14,Paramètres!$A$1:$I$89,3,0)*VLOOKUP('Données projet'!$B$14,Paramètres!$A$1:$I$89,5,0)</f>
        <v>-1.8089849618263545E-13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298.89893065707554</v>
      </c>
      <c r="DU201" s="62">
        <f t="shared" si="209"/>
        <v>294.28794439094878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439.06700232017681</v>
      </c>
      <c r="EP201" s="62">
        <f t="shared" si="210"/>
        <v>278.21741231699929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8.661042444609969E-2</v>
      </c>
      <c r="EX201" s="23">
        <f>EXP(-LN(2)/2)*EX200+(1-EXP(-LN(2)/2))/(LN(2)/2)*ER201*EU201*VLOOKUP('Données projet'!$B$15,Paramètres!$A$1:$I$89,3,0)*0.475*44/12</f>
        <v>7.7081728271955023E-25</v>
      </c>
      <c r="EY201" s="24">
        <f t="shared" si="181"/>
        <v>8.661042444609969E-2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>
        <f>FE201*VLOOKUP('Données projet'!$B$16,Paramètres!$A$1:$I$89,3,0)*VLOOKUP('Données projet'!$B$16,Paramètres!$A$1:$I$89,5,0)</f>
        <v>0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466.4945858005575</v>
      </c>
      <c r="FK201" s="62">
        <f t="shared" si="211"/>
        <v>294.45557293177131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1.5633901677504664E-24</v>
      </c>
      <c r="FT201" s="24">
        <f t="shared" si="184"/>
        <v>1.5633901677504664E-24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>
        <f>FZ201*VLOOKUP('Données projet'!$B$17,Paramètres!$A$1:$I$89,3,0)*VLOOKUP('Données projet'!$B$17,Paramètres!$A$1:$I$89,5,0)</f>
        <v>0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459.64120566196812</v>
      </c>
      <c r="GF201" s="62">
        <f t="shared" si="212"/>
        <v>290.39826583283588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2.8421709430404007E-14</v>
      </c>
      <c r="O202" s="14">
        <f>N202*VLOOKUP('Données projet'!$B$9,Paramètres!$A$1:$I$89,3,0)*VLOOKUP('Données projet'!$B$9,Paramètres!$A$1:$I$89,5,0)</f>
        <v>1.5518253349000589E-14</v>
      </c>
      <c r="P202" s="14">
        <f t="shared" si="203"/>
        <v>2.8958815659671149E-13</v>
      </c>
      <c r="Q202" s="22">
        <f t="shared" si="162"/>
        <v>5.3139366398878183E-13</v>
      </c>
      <c r="R202" s="62">
        <f t="shared" si="191"/>
        <v>293.33333333333383</v>
      </c>
      <c r="S202" s="62">
        <f ca="1">AVERAGE(OFFSET($R$3,0,0,'Données projet'!$E$9+1,1))-AVERAGE(OFFSET($H$3,0,0,'Données projet'!$E$9+1,1))</f>
        <v>170.27677128684815</v>
      </c>
      <c r="T202" s="62">
        <f t="shared" si="204"/>
        <v>243.47439640666289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7.618767382942708E-2</v>
      </c>
      <c r="AB202" s="23">
        <f>EXP(-LN(2)/2)*AB201+(1-EXP(-LN(2)/2))/(LN(2)/2)*V202*Y202*VLOOKUP('Données projet'!$B$9,Paramètres!$A$1:$I$89,3,0)*0.475*44/12</f>
        <v>2.7831931435657016E-25</v>
      </c>
      <c r="AC202" s="24">
        <f t="shared" si="163"/>
        <v>7.618767382942708E-2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-9.9316821433603781E-14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327.826081588335</v>
      </c>
      <c r="AO202" s="62">
        <f t="shared" si="205"/>
        <v>348.84706693879735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0.14618729543650752</v>
      </c>
      <c r="AW202" s="23">
        <f>EXP(-LN(2)/2)*AW201+(1-EXP(-LN(2)/2))/(LN(2)/2)*AQ202*AT202*VLOOKUP('Données projet'!$B$10,Paramètres!$A$1:$I$89,3,0)*0.475*44/12</f>
        <v>5.4450177851570112E-25</v>
      </c>
      <c r="AX202" s="23">
        <f t="shared" si="166"/>
        <v>0.14618729543650752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-3.4106051316484809E-13</v>
      </c>
      <c r="BE202" s="14">
        <f>BD202*VLOOKUP('Données projet'!$B$11,Paramètres!$A$1:$I$89,3,0)*VLOOKUP('Données projet'!$B$11,Paramètres!$A$1:$I$89,5,0)</f>
        <v>-2.5006556825246659E-13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376.5422416541544</v>
      </c>
      <c r="BJ202" s="62">
        <f t="shared" si="206"/>
        <v>365.76175372075869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0.86992355960609691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0.86992355960609691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405.09126081846171</v>
      </c>
      <c r="CE202" s="62">
        <f t="shared" si="207"/>
        <v>534.22295841722166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0.34667107879948117</v>
      </c>
      <c r="CL202" s="23">
        <f>EXP(-LN(2)/25)*CL201+(1-EXP(-LN(2)/25))/(LN(2)/25)*Calculateur!CG202*Calculateur!CI202*VLOOKUP('Données projet'!$B$12,Paramètres!$A$1:$I$89,3,0)*0.475*44/12</f>
        <v>0.12935898108192673</v>
      </c>
      <c r="CM202" s="23">
        <f>EXP(-LN(2)/2)*CM201+(1-EXP(-LN(2)/2))/(LN(2)/2)*CG202*CJ202*VLOOKUP('Données projet'!$B$12,Paramètres!$A$1:$I$89,3,0)*0.475*44/12</f>
        <v>5.8112948939781334E-26</v>
      </c>
      <c r="CN202" s="24">
        <f t="shared" si="172"/>
        <v>0.4760300598814079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244.82163392718377</v>
      </c>
      <c r="CZ202" s="62">
        <f t="shared" si="208"/>
        <v>342.30266518164211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0.20794393124136043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0.20794393124136043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-2.2737367544323206E-13</v>
      </c>
      <c r="DP202" s="18">
        <f>DO202*VLOOKUP('Données projet'!$B$14,Paramètres!$A$1:$I$89,3,0)*VLOOKUP('Données projet'!$B$14,Paramètres!$A$1:$I$89,5,0)</f>
        <v>-1.8089849618263545E-13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298.89893065707554</v>
      </c>
      <c r="DU202" s="62">
        <f t="shared" si="209"/>
        <v>294.28794439094878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439.06700232017681</v>
      </c>
      <c r="EP202" s="62">
        <f t="shared" si="210"/>
        <v>278.21741231699929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8.4242057834976819E-2</v>
      </c>
      <c r="EX202" s="23">
        <f>EXP(-LN(2)/2)*EX201+(1-EXP(-LN(2)/2))/(LN(2)/2)*ER202*EU202*VLOOKUP('Données projet'!$B$15,Paramètres!$A$1:$I$89,3,0)*0.475*44/12</f>
        <v>5.4505012766678214E-25</v>
      </c>
      <c r="EY202" s="24">
        <f t="shared" si="181"/>
        <v>8.4242057834976819E-2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>
        <f>FE202*VLOOKUP('Données projet'!$B$16,Paramètres!$A$1:$I$89,3,0)*VLOOKUP('Données projet'!$B$16,Paramètres!$A$1:$I$89,5,0)</f>
        <v>0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466.4945858005575</v>
      </c>
      <c r="FK202" s="62">
        <f t="shared" si="211"/>
        <v>294.45557293177131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1.1054837892567289E-24</v>
      </c>
      <c r="FT202" s="24">
        <f t="shared" si="184"/>
        <v>1.1054837892567289E-24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>
        <f>FZ202*VLOOKUP('Données projet'!$B$17,Paramètres!$A$1:$I$89,3,0)*VLOOKUP('Données projet'!$B$17,Paramètres!$A$1:$I$89,5,0)</f>
        <v>0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459.64120566196812</v>
      </c>
      <c r="GF202" s="62">
        <f t="shared" si="212"/>
        <v>290.39826583283588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2.8421709430404007E-14</v>
      </c>
      <c r="O203" s="14">
        <f>N203*VLOOKUP('Données projet'!$B$9,Paramètres!$A$1:$I$89,3,0)*VLOOKUP('Données projet'!$B$9,Paramètres!$A$1:$I$89,5,0)</f>
        <v>1.5518253349000589E-14</v>
      </c>
      <c r="P203" s="14">
        <f t="shared" si="203"/>
        <v>2.8958815659671149E-13</v>
      </c>
      <c r="Q203" s="22">
        <f t="shared" si="162"/>
        <v>5.3139366398878183E-13</v>
      </c>
      <c r="R203" s="62">
        <f t="shared" si="191"/>
        <v>293.33333333333383</v>
      </c>
      <c r="S203" s="62">
        <f ca="1">AVERAGE(OFFSET($R$3,0,0,'Données projet'!$E$9+1,1))-AVERAGE(OFFSET($H$3,0,0,'Données projet'!$E$9+1,1))</f>
        <v>170.27677128684815</v>
      </c>
      <c r="T203" s="62">
        <f t="shared" si="204"/>
        <v>243.47439640666289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7.4104317882025761E-2</v>
      </c>
      <c r="AB203" s="23">
        <f>EXP(-LN(2)/2)*AB202+(1-EXP(-LN(2)/2))/(LN(2)/2)*V203*Y203*VLOOKUP('Données projet'!$B$9,Paramètres!$A$1:$I$89,3,0)*0.475*44/12</f>
        <v>1.9680147451672119E-25</v>
      </c>
      <c r="AC203" s="24">
        <f t="shared" si="163"/>
        <v>7.4104317882025761E-2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-9.9316821433603781E-14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327.826081588335</v>
      </c>
      <c r="AO203" s="62">
        <f t="shared" si="205"/>
        <v>348.84706693879735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0.14218979615514046</v>
      </c>
      <c r="AW203" s="23">
        <f>EXP(-LN(2)/2)*AW202+(1-EXP(-LN(2)/2))/(LN(2)/2)*AQ203*AT203*VLOOKUP('Données projet'!$B$10,Paramètres!$A$1:$I$89,3,0)*0.475*44/12</f>
        <v>3.8502089995658784E-25</v>
      </c>
      <c r="AX203" s="23">
        <f t="shared" si="166"/>
        <v>0.14218979615514046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-3.4106051316484809E-13</v>
      </c>
      <c r="BE203" s="14">
        <f>BD203*VLOOKUP('Données projet'!$B$11,Paramètres!$A$1:$I$89,3,0)*VLOOKUP('Données projet'!$B$11,Paramètres!$A$1:$I$89,5,0)</f>
        <v>-2.5006556825246659E-13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376.5422416541544</v>
      </c>
      <c r="BJ203" s="62">
        <f t="shared" si="206"/>
        <v>365.76175372075869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0.85286488920320025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0.85286488920320025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405.09126081846171</v>
      </c>
      <c r="CE203" s="62">
        <f t="shared" si="207"/>
        <v>534.22295841722166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0.33987307039270259</v>
      </c>
      <c r="CL203" s="23">
        <f>EXP(-LN(2)/25)*CL202+(1-EXP(-LN(2)/25))/(LN(2)/25)*Calculateur!CG203*Calculateur!CI203*VLOOKUP('Données projet'!$B$12,Paramètres!$A$1:$I$89,3,0)*0.475*44/12</f>
        <v>0.12582165294154829</v>
      </c>
      <c r="CM203" s="23">
        <f>EXP(-LN(2)/2)*CM202+(1-EXP(-LN(2)/2))/(LN(2)/2)*CG203*CJ203*VLOOKUP('Données projet'!$B$12,Paramètres!$A$1:$I$89,3,0)*0.475*44/12</f>
        <v>4.1092060270066969E-26</v>
      </c>
      <c r="CN203" s="24">
        <f t="shared" si="172"/>
        <v>0.46569472333425088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244.82163392718377</v>
      </c>
      <c r="CZ203" s="62">
        <f t="shared" si="208"/>
        <v>342.30266518164211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0.20386627758299167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0.20386627758299167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-2.2737367544323206E-13</v>
      </c>
      <c r="DP203" s="18">
        <f>DO203*VLOOKUP('Données projet'!$B$14,Paramètres!$A$1:$I$89,3,0)*VLOOKUP('Données projet'!$B$14,Paramètres!$A$1:$I$89,5,0)</f>
        <v>-1.8089849618263545E-13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298.89893065707554</v>
      </c>
      <c r="DU203" s="62">
        <f t="shared" si="209"/>
        <v>294.28794439094878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439.06700232017681</v>
      </c>
      <c r="EP203" s="62">
        <f t="shared" si="210"/>
        <v>278.21741231699929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8.1938454333382094E-2</v>
      </c>
      <c r="EX203" s="23">
        <f>EXP(-LN(2)/2)*EX202+(1-EXP(-LN(2)/2))/(LN(2)/2)*ER203*EU203*VLOOKUP('Données projet'!$B$15,Paramètres!$A$1:$I$89,3,0)*0.475*44/12</f>
        <v>3.8540864135977511E-25</v>
      </c>
      <c r="EY203" s="24">
        <f t="shared" si="181"/>
        <v>8.1938454333382094E-2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>
        <f>FE203*VLOOKUP('Données projet'!$B$16,Paramètres!$A$1:$I$89,3,0)*VLOOKUP('Données projet'!$B$16,Paramètres!$A$1:$I$89,5,0)</f>
        <v>0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466.4945858005575</v>
      </c>
      <c r="FK203" s="62">
        <f t="shared" si="211"/>
        <v>294.45557293177131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7.8169508387523321E-25</v>
      </c>
      <c r="FT203" s="24">
        <f t="shared" si="184"/>
        <v>7.8169508387523321E-25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>
        <f>FZ203*VLOOKUP('Données projet'!$B$17,Paramètres!$A$1:$I$89,3,0)*VLOOKUP('Données projet'!$B$17,Paramètres!$A$1:$I$89,5,0)</f>
        <v>0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459.64120566196812</v>
      </c>
      <c r="GF203" s="62">
        <f t="shared" si="212"/>
        <v>290.39826583283588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1.4228132198218728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1.2765231539157764</v>
      </c>
      <c r="BA205" s="88">
        <f>EXP(LN('Données projet'!B88)/'Données projet'!A88)</f>
        <v>1.3423796509621049</v>
      </c>
      <c r="BV205" s="88">
        <f>EXP(LN('Données projet'!B114)/'Données projet'!A114)</f>
        <v>1.3539956307764309</v>
      </c>
      <c r="CQ205" s="88">
        <f>EXP(LN('Données projet'!B140)/'Données projet'!A140)</f>
        <v>1.8556007362580844</v>
      </c>
      <c r="DL205" s="88">
        <f>EXP(LN('Données projet'!B166)/'Données projet'!A166)</f>
        <v>1.2721747796233518</v>
      </c>
      <c r="EG205" s="88">
        <f>EXP(LN('Données projet'!B192)/'Données projet'!A192)</f>
        <v>1.2392705892426346</v>
      </c>
      <c r="FB205" s="88">
        <f>EXP(LN('Données projet'!B218)/'Données projet'!A218)</f>
        <v>1.2392705892426346</v>
      </c>
      <c r="FW205" s="88">
        <f>EXP(LN('Données projet'!B244)/'Données projet'!A244)</f>
        <v>1.2392705892426346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F17" sqref="F17:L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Mélèze hybride</v>
      </c>
      <c r="B6" s="155">
        <f>'Données projet'!D9</f>
        <v>0.41334500000000002</v>
      </c>
      <c r="C6" s="156">
        <f ca="1">IF(OR('Données projet'!B9="",'Données projet'!C9="",'Données projet'!C9=0%),0,Calculateur!S3)</f>
        <v>170.27677128684815</v>
      </c>
      <c r="D6" s="156">
        <f>IF(OR('Données projet'!B9="",'Données projet'!C9="",'Données projet'!C9=0%),0,Calculateur!T3)</f>
        <v>243.47439640666289</v>
      </c>
      <c r="E6" s="156">
        <f ca="1">MIN(C6,D6)</f>
        <v>170.27677128684815</v>
      </c>
      <c r="F6" s="156">
        <f ca="1">E6*B6</f>
        <v>70.383052027562243</v>
      </c>
      <c r="G6" s="156">
        <f ca="1">F6*(100%-'Données projet'!$C$24)*(100%-'Données projet'!$C$25)*(100%-'Données projet'!$C$26)*(100%-'Données projet'!$C$27)</f>
        <v>63.344746824806023</v>
      </c>
      <c r="H6" s="157">
        <f>IF(OR('Données projet'!B9="",'Données projet'!C9="",'Données projet'!C9=0%),0,AVERAGE(Calculateur!$AC$3:$AC$33)*B6)</f>
        <v>2.1496587279042947</v>
      </c>
      <c r="I6" s="158">
        <f>H6*(100%-'Données projet'!$C$24)*(100%-'Données projet'!$C$25)*(100%-'Données projet'!$C$26)*(100%-'Données projet'!$C$27)</f>
        <v>1.9346928551138654</v>
      </c>
      <c r="J6" s="159">
        <f>IF(OR('Données projet'!B9="",'Données projet'!C9="",'Données projet'!C9=0%),0,SUM(Calculateur!$V$3:$V$33)*VLOOKUP('Données projet'!$B$9,Paramètres!$A$1:$I$89,9,0)*B6)</f>
        <v>16.174189850000001</v>
      </c>
      <c r="K6" s="160">
        <f>J6*(100%-'Données projet'!$C$24)*(100%-'Données projet'!$C$25)*(100%-'Données projet'!$C$26)*(100%-'Données projet'!$C$27)</f>
        <v>14.556770865000001</v>
      </c>
      <c r="L6" s="161">
        <f ca="1">G6+I6+K6</f>
        <v>79.836210544919894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0.41334500000000002</v>
      </c>
      <c r="C7" s="156">
        <f ca="1">IF(OR('Données projet'!B10="",'Données projet'!C10="",'Données projet'!C10=0%),0,Calculateur!AN3)</f>
        <v>327.826081588335</v>
      </c>
      <c r="D7" s="156">
        <f>IF(OR('Données projet'!B10="",'Données projet'!C10="",'Données projet'!C10=0%),0,Calculateur!AO3)</f>
        <v>348.84706693879735</v>
      </c>
      <c r="E7" s="156">
        <f t="shared" ref="E7:E15" ca="1" si="0">MIN(C7,D7)</f>
        <v>327.826081588335</v>
      </c>
      <c r="F7" s="156">
        <f t="shared" ref="F7:F15" ca="1" si="1">E7*B7</f>
        <v>135.50527169413033</v>
      </c>
      <c r="G7" s="156">
        <f ca="1">F7*(100%-'Données projet'!$C$24)*(100%-'Données projet'!$C$25)*(100%-'Données projet'!$C$26)*(100%-'Données projet'!$C$27)</f>
        <v>121.9547445247173</v>
      </c>
      <c r="H7" s="164">
        <f>IF(OR('Données projet'!B10="",'Données projet'!C10="",'Données projet'!C10=0%),0,AVERAGE(Calculateur!$AX$3:$AX$33)*B7)</f>
        <v>1.4643547128227004</v>
      </c>
      <c r="I7" s="158">
        <f>H7*(100%-'Données projet'!$C$24)*(100%-'Données projet'!$C$25)*(100%-'Données projet'!$C$26)*(100%-'Données projet'!$C$27)</f>
        <v>1.3179192415404304</v>
      </c>
      <c r="J7" s="159">
        <f>IF(OR('Données projet'!B10="",'Données projet'!C10="",'Données projet'!C10=0%),0,SUM(Calculateur!$AQ$3:$AQ$33)*VLOOKUP('Données projet'!$B$10,Paramètres!$A$1:$I$89,9,0)*B7)</f>
        <v>12.813695000000001</v>
      </c>
      <c r="K7" s="160">
        <f>J7*(100%-'Données projet'!$C$24)*(100%-'Données projet'!$C$25)*(100%-'Données projet'!$C$26)*(100%-'Données projet'!$C$27)</f>
        <v>11.532325500000001</v>
      </c>
      <c r="L7" s="161">
        <f t="shared" ref="L7:L15" ca="1" si="2">G7+I7+K7</f>
        <v>134.80498926625773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Châtaignier</v>
      </c>
      <c r="B8" s="163">
        <f>'Données projet'!D11</f>
        <v>0.41334500000000002</v>
      </c>
      <c r="C8" s="156">
        <f ca="1">IF(OR('Données projet'!B11="",'Données projet'!C11="",'Données projet'!C11=0%),0,Calculateur!BI3)</f>
        <v>376.5422416541544</v>
      </c>
      <c r="D8" s="156">
        <f>IF(OR('Données projet'!B11="",'Données projet'!C11="",'Données projet'!C11=0%),0,Calculateur!BJ3)</f>
        <v>365.76175372075869</v>
      </c>
      <c r="E8" s="156">
        <f t="shared" ca="1" si="0"/>
        <v>365.76175372075869</v>
      </c>
      <c r="F8" s="156">
        <f t="shared" ca="1" si="1"/>
        <v>151.18579209170701</v>
      </c>
      <c r="G8" s="156">
        <f ca="1">F8*(100%-'Données projet'!$C$24)*(100%-'Données projet'!$C$25)*(100%-'Données projet'!$C$26)*(100%-'Données projet'!$C$27)</f>
        <v>136.06721288253632</v>
      </c>
      <c r="H8" s="164">
        <f>IF(OR('Données projet'!B11="",'Données projet'!C11="",'Données projet'!C11=0%),0,AVERAGE(Calculateur!$BS$3:$BS$33)*B8)</f>
        <v>1.4379501315900514</v>
      </c>
      <c r="I8" s="158">
        <f>H8*(100%-'Données projet'!$C$24)*(100%-'Données projet'!$C$25)*(100%-'Données projet'!$C$26)*(100%-'Données projet'!$C$27)</f>
        <v>1.2941551184310462</v>
      </c>
      <c r="J8" s="159">
        <f>IF(OR('Données projet'!B11="",'Données projet'!C11="",'Données projet'!C11=0%),0,SUM(Calculateur!$BL$3:$BL$33)*VLOOKUP('Données projet'!$B$11,Paramètres!$A$1:$I$89,9,0)*B8)</f>
        <v>18.08384375</v>
      </c>
      <c r="K8" s="160">
        <f>J8*(100%-'Données projet'!$C$24)*(100%-'Données projet'!$C$25)*(100%-'Données projet'!$C$26)*(100%-'Données projet'!$C$27)</f>
        <v>16.275459375000001</v>
      </c>
      <c r="L8" s="161">
        <f t="shared" ca="1" si="2"/>
        <v>153.63682737596736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Douglas</v>
      </c>
      <c r="B9" s="163">
        <f>'Données projet'!D12</f>
        <v>0.19671100000000002</v>
      </c>
      <c r="C9" s="156">
        <f ca="1">IF(OR('Données projet'!B12="",'Données projet'!C12="",'Données projet'!C12=0%),0,Calculateur!CD3)</f>
        <v>405.09126081846171</v>
      </c>
      <c r="D9" s="156">
        <f>IF(OR('Données projet'!B12="",'Données projet'!C12="",'Données projet'!C12=0%),0,Calculateur!CE3)</f>
        <v>534.22295841722166</v>
      </c>
      <c r="E9" s="156">
        <f t="shared" ca="1" si="0"/>
        <v>405.09126081846171</v>
      </c>
      <c r="F9" s="156">
        <f t="shared" ca="1" si="1"/>
        <v>79.685907006860432</v>
      </c>
      <c r="G9" s="156">
        <f ca="1">F9*(100%-'Données projet'!$C$24)*(100%-'Données projet'!$C$25)*(100%-'Données projet'!$C$26)*(100%-'Données projet'!$C$27)</f>
        <v>71.717316306174396</v>
      </c>
      <c r="H9" s="164">
        <f>IF(OR('Données projet'!B12="",'Données projet'!C12="",'Données projet'!C12=0%),0,AVERAGE(Calculateur!$CN$3:$CN$33)*B9)</f>
        <v>2.3855539951858122</v>
      </c>
      <c r="I9" s="158">
        <f>H9*(100%-'Données projet'!$C$24)*(100%-'Données projet'!$C$25)*(100%-'Données projet'!$C$26)*(100%-'Données projet'!$C$27)</f>
        <v>2.1469985956672311</v>
      </c>
      <c r="J9" s="159">
        <f>IF(OR('Données projet'!B12="",'Données projet'!C12="",'Données projet'!C12=0%),0,SUM(Calculateur!$CG$3:$CG$33)*VLOOKUP('Données projet'!$B$12,Paramètres!$A$1:$I$89,9,0)*B9)</f>
        <v>17.524471541400004</v>
      </c>
      <c r="K9" s="160">
        <f>J9*(100%-'Données projet'!$C$24)*(100%-'Données projet'!$C$25)*(100%-'Données projet'!$C$26)*(100%-'Données projet'!$C$27)</f>
        <v>15.772024387260004</v>
      </c>
      <c r="L9" s="161">
        <f t="shared" ca="1" si="2"/>
        <v>89.636339289101628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Robinier faux-acacia</v>
      </c>
      <c r="B10" s="163">
        <f>'Données projet'!D13</f>
        <v>0.19671100000000002</v>
      </c>
      <c r="C10" s="156">
        <f ca="1">IF(OR('Données projet'!B13="",'Données projet'!C13="",'Données projet'!C13=0%),0,Calculateur!CY3)</f>
        <v>244.82163392718377</v>
      </c>
      <c r="D10" s="156">
        <f>IF(OR('Données projet'!B13="",'Données projet'!C13="",'Données projet'!C13=0%),0,Calculateur!CZ3)</f>
        <v>342.30266518164211</v>
      </c>
      <c r="E10" s="156">
        <f t="shared" ca="1" si="0"/>
        <v>244.82163392718377</v>
      </c>
      <c r="F10" s="156">
        <f t="shared" ca="1" si="1"/>
        <v>48.15910843145025</v>
      </c>
      <c r="G10" s="156">
        <f ca="1">F10*(100%-'Données projet'!$C$24)*(100%-'Données projet'!$C$25)*(100%-'Données projet'!$C$26)*(100%-'Données projet'!$C$27)</f>
        <v>43.343197588305223</v>
      </c>
      <c r="H10" s="164">
        <f>IF(OR('Données projet'!B13="",'Données projet'!C13="",'Données projet'!C13=0%),0,AVERAGE(Calculateur!$DI$3:$DI$33)*B10)</f>
        <v>0.30052998229951178</v>
      </c>
      <c r="I10" s="158">
        <f>H10*(100%-'Données projet'!$C$24)*(100%-'Données projet'!$C$25)*(100%-'Données projet'!$C$26)*(100%-'Données projet'!$C$27)</f>
        <v>0.27047698406956061</v>
      </c>
      <c r="J10" s="159">
        <f>IF(OR('Données projet'!B13="",'Données projet'!C13="",'Données projet'!C13=0%),0,SUM(Calculateur!$DB$3:$DB$33)*VLOOKUP('Données projet'!$B$13,Paramètres!$A$1:$I$89,9,0)*B10)</f>
        <v>2.6555985000000004</v>
      </c>
      <c r="K10" s="160">
        <f>J10*(100%-'Données projet'!$C$24)*(100%-'Données projet'!$C$25)*(100%-'Données projet'!$C$26)*(100%-'Données projet'!$C$27)</f>
        <v>2.3900386500000006</v>
      </c>
      <c r="L10" s="161">
        <f t="shared" ca="1" si="2"/>
        <v>46.003713222374785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Erable sycomore</v>
      </c>
      <c r="B11" s="163">
        <f>'Données projet'!D14</f>
        <v>0.19671100000000002</v>
      </c>
      <c r="C11" s="156">
        <f ca="1">IF(OR('Données projet'!B14="",'Données projet'!C14="",'Données projet'!C14=0%),0,Calculateur!DT3)</f>
        <v>298.89893065707554</v>
      </c>
      <c r="D11" s="156">
        <f>IF(OR('Données projet'!B14="",'Données projet'!C14="",'Données projet'!C14=0%),0,Calculateur!DU3)</f>
        <v>294.28794439094878</v>
      </c>
      <c r="E11" s="156">
        <f t="shared" ca="1" si="0"/>
        <v>294.28794439094878</v>
      </c>
      <c r="F11" s="156">
        <f t="shared" ca="1" si="1"/>
        <v>57.889675829087935</v>
      </c>
      <c r="G11" s="156">
        <f ca="1">F11*(100%-'Données projet'!$C$24)*(100%-'Données projet'!$C$25)*(100%-'Données projet'!$C$26)*(100%-'Données projet'!$C$27)</f>
        <v>52.100708246179146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4.8685972500000005</v>
      </c>
      <c r="K11" s="160">
        <f>J11*(100%-'Données projet'!$C$24)*(100%-'Données projet'!$C$25)*(100%-'Données projet'!$C$26)*(100%-'Données projet'!$C$27)</f>
        <v>4.381737525000001</v>
      </c>
      <c r="L11" s="161">
        <f t="shared" ca="1" si="2"/>
        <v>56.482445771179144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Chêne sessile</v>
      </c>
      <c r="B12" s="163">
        <f>'Données projet'!D15</f>
        <v>0.19716899999999998</v>
      </c>
      <c r="C12" s="156">
        <f ca="1">IF(OR('Données projet'!B15="",'Données projet'!C15="",'Données projet'!C15=0%),0,Calculateur!EO3)</f>
        <v>439.06700232017681</v>
      </c>
      <c r="D12" s="156">
        <f>IF(OR('Données projet'!B15="",'Données projet'!C15="",'Données projet'!C15=0%),0,Calculateur!EP3)</f>
        <v>278.21741231699929</v>
      </c>
      <c r="E12" s="156">
        <f t="shared" ca="1" si="0"/>
        <v>278.21741231699929</v>
      </c>
      <c r="F12" s="156">
        <f t="shared" ca="1" si="1"/>
        <v>54.855848969130427</v>
      </c>
      <c r="G12" s="156">
        <f ca="1">F12*(100%-'Données projet'!$C$24)*(100%-'Données projet'!$C$25)*(100%-'Données projet'!$C$26)*(100%-'Données projet'!$C$27)</f>
        <v>49.370264072217388</v>
      </c>
      <c r="H12" s="164">
        <f>IF(OR('Données projet'!B15="",'Données projet'!C15="",'Données projet'!C15=0%),0,AVERAGE(Calculateur!$EY$3:$EY$33)*B12)</f>
        <v>0.5603755422851705</v>
      </c>
      <c r="I12" s="158">
        <f>H12*(100%-'Données projet'!$C$24)*(100%-'Données projet'!$C$25)*(100%-'Données projet'!$C$26)*(100%-'Données projet'!$C$27)</f>
        <v>0.50433798805665342</v>
      </c>
      <c r="J12" s="159">
        <f>IF(OR('Données projet'!B15="",'Données projet'!C15="",'Données projet'!C15=0%),0,SUM(Calculateur!$ER$3:$ER$33)*VLOOKUP('Données projet'!$B$15,Paramètres!$A$1:$I$89,9,0)*B12)</f>
        <v>3.0561194999999999</v>
      </c>
      <c r="K12" s="160">
        <f>J12*(100%-'Données projet'!$C$24)*(100%-'Données projet'!$C$25)*(100%-'Données projet'!$C$26)*(100%-'Données projet'!$C$27)</f>
        <v>2.75050755</v>
      </c>
      <c r="L12" s="161">
        <f t="shared" ca="1" si="2"/>
        <v>52.625109610274045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Alisier torminal</v>
      </c>
      <c r="B13" s="163">
        <f>'Données projet'!D16</f>
        <v>6.5723000000000004E-2</v>
      </c>
      <c r="C13" s="156">
        <f ca="1">IF(OR('Données projet'!B16="",'Données projet'!C16="",'Données projet'!C16=0%),0,Calculateur!FJ3)</f>
        <v>466.4945858005575</v>
      </c>
      <c r="D13" s="156">
        <f>IF(OR('Données projet'!B16="",'Données projet'!C16="",'Données projet'!C16=0%),0,Calculateur!FK3)</f>
        <v>294.45557293177131</v>
      </c>
      <c r="E13" s="156">
        <f t="shared" ca="1" si="0"/>
        <v>294.45557293177131</v>
      </c>
      <c r="F13" s="156">
        <f t="shared" ca="1" si="1"/>
        <v>19.352503619794806</v>
      </c>
      <c r="G13" s="156">
        <f ca="1">F13*(100%-'Données projet'!$C$24)*(100%-'Données projet'!$C$25)*(100%-'Données projet'!$C$26)*(100%-'Données projet'!$C$27)</f>
        <v>17.417253257815325</v>
      </c>
      <c r="H13" s="164">
        <f>IF(OR('Données projet'!B16="",'Données projet'!C16="",'Données projet'!C16=0%),0,AVERAGE(Calculateur!$FT$3:$FT$33)*B13)</f>
        <v>0.25477034953348093</v>
      </c>
      <c r="I13" s="158">
        <f>H13*(100%-'Données projet'!$C$24)*(100%-'Données projet'!$C$25)*(100%-'Données projet'!$C$26)*(100%-'Données projet'!$C$27)</f>
        <v>0.22929331458013286</v>
      </c>
      <c r="J13" s="159">
        <f>IF(OR('Données projet'!C16="",'Données projet'!C16=0%),0,SUM(Calculateur!$FM$3:$FM$33)*VLOOKUP('Données projet'!$B$16,Paramètres!$A$1:$I$89,9,0)*B13)</f>
        <v>1.0187065</v>
      </c>
      <c r="K13" s="160">
        <f>J13*(100%-'Données projet'!$C$24)*(100%-'Données projet'!$C$25)*(100%-'Données projet'!$C$26)*(100%-'Données projet'!$C$27)</f>
        <v>0.91683585000000001</v>
      </c>
      <c r="L13" s="161">
        <f t="shared" ca="1" si="2"/>
        <v>18.563382422395456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Charme</v>
      </c>
      <c r="B14" s="163">
        <f>'Données projet'!D17</f>
        <v>0.19693999999999998</v>
      </c>
      <c r="C14" s="156">
        <f ca="1">IF(OR('Données projet'!B17="",'Données projet'!C17="",'Données projet'!C17=0%),0,Calculateur!GE3)</f>
        <v>459.64120566196812</v>
      </c>
      <c r="D14" s="156">
        <f>IF(OR('Données projet'!B17="",'Données projet'!C17="",'Données projet'!C17=0%),0,Calculateur!GF3)</f>
        <v>290.39826583283588</v>
      </c>
      <c r="E14" s="156">
        <f t="shared" ca="1" si="0"/>
        <v>290.39826583283588</v>
      </c>
      <c r="F14" s="156">
        <f t="shared" ca="1" si="1"/>
        <v>57.191034473118691</v>
      </c>
      <c r="G14" s="156">
        <f ca="1">F14*(100%-'Données projet'!$C$24)*(100%-'Données projet'!$C$25)*(100%-'Données projet'!$C$26)*(100%-'Données projet'!$C$27)</f>
        <v>51.471931025806825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3.0525699999999998</v>
      </c>
      <c r="K14" s="160">
        <f>J14*(100%-'Données projet'!$C$24)*(100%-'Données projet'!$C$25)*(100%-'Données projet'!$C$26)*(100%-'Données projet'!$C$27)</f>
        <v>2.7473129999999997</v>
      </c>
      <c r="L14" s="161">
        <f t="shared" ca="1" si="2"/>
        <v>54.219244025806823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674.2081941428421</v>
      </c>
      <c r="G16" s="175">
        <f t="shared" ca="1" si="3"/>
        <v>606.78737472855789</v>
      </c>
      <c r="H16" s="176">
        <f t="shared" si="3"/>
        <v>8.5531934416210209</v>
      </c>
      <c r="I16" s="176">
        <f t="shared" si="3"/>
        <v>7.6978740974589197</v>
      </c>
      <c r="J16" s="177">
        <f t="shared" si="3"/>
        <v>79.247791891399984</v>
      </c>
      <c r="K16" s="177">
        <f t="shared" si="3"/>
        <v>71.323012702260002</v>
      </c>
      <c r="L16" s="178">
        <f t="shared" ca="1" si="3"/>
        <v>685.80826152827683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Mélèze hybride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Châtaignier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Douglas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Robinier faux-acacia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Erable sycomore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Chêne sessile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Alisier torminal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Charme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10" zoomScale="90" zoomScaleNormal="90" workbookViewId="0">
      <selection activeCell="F129" sqref="F1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Mélèze hybride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2092.4996443556302</v>
      </c>
      <c r="U10" s="190">
        <f>'Données projet'!D9</f>
        <v>0.41334500000000002</v>
      </c>
      <c r="V10" s="189">
        <f>U10*T10</f>
        <v>864.92426549617801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895.3620699952794</v>
      </c>
      <c r="U11" s="190">
        <f>'Données projet'!D10</f>
        <v>0.41334500000000002</v>
      </c>
      <c r="V11" s="189">
        <f t="shared" ref="V11" si="0">U11*T11</f>
        <v>370.09343482219879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Châtaignier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2086.3320840667179</v>
      </c>
      <c r="U12" s="190">
        <f>'Données projet'!D11</f>
        <v>0.41334500000000002</v>
      </c>
      <c r="V12" s="189">
        <f t="shared" ref="V12:V19" si="1">U12*T12</f>
        <v>862.37493528855759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Douglas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8213.2154348924032</v>
      </c>
      <c r="U13" s="190">
        <f>'Données projet'!D12</f>
        <v>0.19671100000000002</v>
      </c>
      <c r="V13" s="189">
        <f t="shared" si="1"/>
        <v>1615.6298214131198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Mélèze hybride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Robinier faux-acacia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659.08388083304453</v>
      </c>
      <c r="U14" s="190">
        <f>'Données projet'!D13</f>
        <v>0.19671100000000002</v>
      </c>
      <c r="V14" s="189">
        <f t="shared" si="1"/>
        <v>129.64904928254904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Erable sycomore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1205.4054923622607</v>
      </c>
      <c r="U15" s="190">
        <f>'Données projet'!D14</f>
        <v>0.19671100000000002</v>
      </c>
      <c r="V15" s="189">
        <f t="shared" si="1"/>
        <v>237.1165198080727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>Chêne sessile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910.11277300185668</v>
      </c>
      <c r="U16" s="190">
        <f>'Données projet'!D15</f>
        <v>0.19716899999999998</v>
      </c>
      <c r="V16" s="189">
        <f t="shared" si="1"/>
        <v>179.44602534000308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Alisier torminal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910.11277300185668</v>
      </c>
      <c r="U17" s="190">
        <f>'Données projet'!D16</f>
        <v>6.5723000000000004E-2</v>
      </c>
      <c r="V17" s="189">
        <f t="shared" si="1"/>
        <v>59.815341780001027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>Charme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507.84812409669894</v>
      </c>
      <c r="U18" s="190">
        <f>'Données projet'!D17</f>
        <v>0.19693999999999998</v>
      </c>
      <c r="V18" s="189">
        <f t="shared" si="1"/>
        <v>100.01560955960387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(26533-450)/2.36</f>
        <v>11052.118644067798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1272/2.36</f>
        <v>538.98305084745766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1272/2.36</f>
        <v>538.98305084745766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10</v>
      </c>
      <c r="B23" s="193">
        <f>'Données projet'!D36</f>
        <v>5</v>
      </c>
      <c r="C23" s="206">
        <v>12</v>
      </c>
      <c r="D23" s="194">
        <f>B23*C23</f>
        <v>60</v>
      </c>
      <c r="E23" s="206"/>
      <c r="F23" s="261"/>
      <c r="H23" s="203">
        <v>3</v>
      </c>
      <c r="I23" s="204">
        <f>1332/2.36</f>
        <v>564.40677966101703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-26500.426261084322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15</v>
      </c>
      <c r="B24" s="193">
        <f>'Données projet'!D37</f>
        <v>21</v>
      </c>
      <c r="C24" s="206">
        <v>12</v>
      </c>
      <c r="D24" s="194">
        <f t="shared" ref="D24:D42" si="2">B24*C24</f>
        <v>252</v>
      </c>
      <c r="E24" s="206"/>
      <c r="F24" s="264"/>
      <c r="H24" s="203">
        <v>4</v>
      </c>
      <c r="I24" s="204">
        <v>564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20</v>
      </c>
      <c r="B25" s="193">
        <f>'Données projet'!D38</f>
        <v>24</v>
      </c>
      <c r="C25" s="206">
        <v>15</v>
      </c>
      <c r="D25" s="194">
        <f t="shared" si="2"/>
        <v>360</v>
      </c>
      <c r="E25" s="206"/>
      <c r="F25" s="264"/>
      <c r="G25" s="1"/>
      <c r="H25" s="203">
        <v>5</v>
      </c>
      <c r="I25" s="204">
        <f>1391/2.36</f>
        <v>589.40677966101703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-26500.426261084322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25</v>
      </c>
      <c r="B26" s="193">
        <f>'Données projet'!D39</f>
        <v>22</v>
      </c>
      <c r="C26" s="206">
        <v>17</v>
      </c>
      <c r="D26" s="194">
        <f t="shared" si="2"/>
        <v>374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30</v>
      </c>
      <c r="B27" s="193">
        <f>'Données projet'!D40</f>
        <v>19</v>
      </c>
      <c r="C27" s="206">
        <v>20</v>
      </c>
      <c r="D27" s="194">
        <f t="shared" si="2"/>
        <v>380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35</v>
      </c>
      <c r="B28" s="193">
        <f>'Données projet'!D41</f>
        <v>15</v>
      </c>
      <c r="C28" s="206">
        <v>25</v>
      </c>
      <c r="D28" s="194">
        <f t="shared" si="2"/>
        <v>375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40</v>
      </c>
      <c r="B29" s="193">
        <f>'Données projet'!D42</f>
        <v>11</v>
      </c>
      <c r="C29" s="206">
        <v>30</v>
      </c>
      <c r="D29" s="194">
        <f t="shared" si="2"/>
        <v>330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45</v>
      </c>
      <c r="B30" s="193">
        <f>'Données projet'!D43</f>
        <v>8</v>
      </c>
      <c r="C30" s="206">
        <v>45</v>
      </c>
      <c r="D30" s="194">
        <f t="shared" si="2"/>
        <v>360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50</v>
      </c>
      <c r="B31" s="193">
        <f>'Données projet'!D44</f>
        <v>205</v>
      </c>
      <c r="C31" s="206">
        <v>60</v>
      </c>
      <c r="D31" s="194">
        <f t="shared" si="2"/>
        <v>12300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50</v>
      </c>
      <c r="C54" s="292">
        <v>5</v>
      </c>
      <c r="D54" s="191">
        <f>B54*C54</f>
        <v>250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37</v>
      </c>
      <c r="C55" s="292">
        <v>7</v>
      </c>
      <c r="D55" s="191">
        <f t="shared" ref="D55:D73" si="4">B55*C55</f>
        <v>259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37</v>
      </c>
      <c r="C56" s="292">
        <v>9</v>
      </c>
      <c r="D56" s="191">
        <f t="shared" si="4"/>
        <v>333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36</v>
      </c>
      <c r="C57" s="292">
        <v>9</v>
      </c>
      <c r="D57" s="191">
        <f t="shared" si="4"/>
        <v>324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33</v>
      </c>
      <c r="C58" s="292">
        <v>9</v>
      </c>
      <c r="D58" s="191">
        <f t="shared" si="4"/>
        <v>297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31</v>
      </c>
      <c r="C59" s="292">
        <v>14</v>
      </c>
      <c r="D59" s="191">
        <f t="shared" si="4"/>
        <v>434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92">
        <v>14</v>
      </c>
      <c r="D60" s="191">
        <f t="shared" si="4"/>
        <v>392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25</v>
      </c>
      <c r="C61" s="292">
        <v>14</v>
      </c>
      <c r="D61" s="191">
        <f t="shared" si="4"/>
        <v>350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22</v>
      </c>
      <c r="C62" s="292">
        <v>17</v>
      </c>
      <c r="D62" s="191">
        <f t="shared" si="4"/>
        <v>374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20</v>
      </c>
      <c r="C63" s="292">
        <v>17</v>
      </c>
      <c r="D63" s="191">
        <f t="shared" si="4"/>
        <v>340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17</v>
      </c>
      <c r="C64" s="292">
        <v>17</v>
      </c>
      <c r="D64" s="191">
        <f t="shared" si="4"/>
        <v>289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15</v>
      </c>
      <c r="C65" s="292">
        <v>20</v>
      </c>
      <c r="D65" s="191">
        <f t="shared" si="4"/>
        <v>300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13</v>
      </c>
      <c r="C66" s="292">
        <v>25</v>
      </c>
      <c r="D66" s="191">
        <f t="shared" si="4"/>
        <v>325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12</v>
      </c>
      <c r="C67" s="292">
        <v>30</v>
      </c>
      <c r="D67" s="191">
        <f t="shared" si="4"/>
        <v>360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236</v>
      </c>
      <c r="C68" s="292">
        <v>80</v>
      </c>
      <c r="D68" s="191">
        <f t="shared" si="4"/>
        <v>18880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Châtaignier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10</v>
      </c>
      <c r="B85" s="193">
        <f>'Données projet'!D88</f>
        <v>7</v>
      </c>
      <c r="C85" s="204">
        <v>5</v>
      </c>
      <c r="D85" s="191">
        <f>B85*C85</f>
        <v>35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15</v>
      </c>
      <c r="B86" s="193">
        <f>'Données projet'!D89</f>
        <v>42</v>
      </c>
      <c r="C86" s="204">
        <v>7</v>
      </c>
      <c r="D86" s="191">
        <f t="shared" ref="D86:D104" si="6">B86*C86</f>
        <v>294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20</v>
      </c>
      <c r="B87" s="193">
        <f>'Données projet'!D90</f>
        <v>42</v>
      </c>
      <c r="C87" s="204">
        <v>12</v>
      </c>
      <c r="D87" s="191">
        <f t="shared" si="6"/>
        <v>504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25</v>
      </c>
      <c r="B88" s="193">
        <f>'Données projet'!D91</f>
        <v>42</v>
      </c>
      <c r="C88" s="204">
        <v>12</v>
      </c>
      <c r="D88" s="191">
        <f t="shared" si="6"/>
        <v>504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30</v>
      </c>
      <c r="B89" s="193">
        <f>'Données projet'!D92</f>
        <v>42</v>
      </c>
      <c r="C89" s="204">
        <v>12</v>
      </c>
      <c r="D89" s="191">
        <f t="shared" si="6"/>
        <v>504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35</v>
      </c>
      <c r="B90" s="193">
        <f>'Données projet'!D93</f>
        <v>42</v>
      </c>
      <c r="C90" s="204">
        <v>14</v>
      </c>
      <c r="D90" s="191">
        <f t="shared" si="6"/>
        <v>588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40</v>
      </c>
      <c r="B91" s="193">
        <f>'Données projet'!D94</f>
        <v>40</v>
      </c>
      <c r="C91" s="204">
        <v>14</v>
      </c>
      <c r="D91" s="191">
        <f t="shared" si="6"/>
        <v>560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45</v>
      </c>
      <c r="B92" s="193">
        <f>'Données projet'!D95</f>
        <v>26</v>
      </c>
      <c r="C92" s="204">
        <v>14</v>
      </c>
      <c r="D92" s="191">
        <f t="shared" si="6"/>
        <v>364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50</v>
      </c>
      <c r="B93" s="193">
        <f>'Données projet'!D96</f>
        <v>21</v>
      </c>
      <c r="C93" s="204">
        <v>20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55</v>
      </c>
      <c r="B94" s="193">
        <f>'Données projet'!D97</f>
        <v>18</v>
      </c>
      <c r="C94" s="204">
        <v>25</v>
      </c>
      <c r="D94" s="191">
        <f t="shared" si="6"/>
        <v>450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60</v>
      </c>
      <c r="B95" s="193">
        <f>'Données projet'!D98</f>
        <v>17</v>
      </c>
      <c r="C95" s="204">
        <v>30</v>
      </c>
      <c r="D95" s="191">
        <f t="shared" si="6"/>
        <v>510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65</v>
      </c>
      <c r="B96" s="193">
        <f>'Données projet'!D99</f>
        <v>16</v>
      </c>
      <c r="C96" s="204">
        <v>40</v>
      </c>
      <c r="D96" s="191">
        <f t="shared" si="6"/>
        <v>640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70</v>
      </c>
      <c r="B97" s="193">
        <f>'Données projet'!D100</f>
        <v>15</v>
      </c>
      <c r="C97" s="204">
        <v>50</v>
      </c>
      <c r="D97" s="191">
        <f t="shared" si="6"/>
        <v>750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75</v>
      </c>
      <c r="B98" s="193">
        <f>'Données projet'!D101</f>
        <v>14</v>
      </c>
      <c r="C98" s="204">
        <v>60</v>
      </c>
      <c r="D98" s="191">
        <f t="shared" si="6"/>
        <v>840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80</v>
      </c>
      <c r="B99" s="193">
        <f>'Données projet'!D102</f>
        <v>382</v>
      </c>
      <c r="C99" s="204">
        <v>80</v>
      </c>
      <c r="D99" s="191">
        <f t="shared" si="6"/>
        <v>30560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Douglas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17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18</v>
      </c>
      <c r="B117" s="193">
        <f>'Données projet'!D115</f>
        <v>74.819999999999993</v>
      </c>
      <c r="C117" s="292">
        <v>15</v>
      </c>
      <c r="D117" s="191">
        <f t="shared" ref="D117:D135" si="8">B117*C117</f>
        <v>1122.3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19</v>
      </c>
      <c r="B118" s="193">
        <f>'Données projet'!D116</f>
        <v>0</v>
      </c>
      <c r="C118" s="292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23</v>
      </c>
      <c r="B119" s="193">
        <f>'Données projet'!D117</f>
        <v>0</v>
      </c>
      <c r="C119" s="292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24</v>
      </c>
      <c r="B120" s="193">
        <f>'Données projet'!D118</f>
        <v>51.39</v>
      </c>
      <c r="C120" s="292">
        <v>20</v>
      </c>
      <c r="D120" s="191">
        <f t="shared" si="8"/>
        <v>1027.8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26</v>
      </c>
      <c r="B121" s="193">
        <f>'Données projet'!D119</f>
        <v>0</v>
      </c>
      <c r="C121" s="292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28</v>
      </c>
      <c r="B122" s="193">
        <f>'Données projet'!D120</f>
        <v>0</v>
      </c>
      <c r="C122" s="292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30</v>
      </c>
      <c r="B123" s="193">
        <f>'Données projet'!D121</f>
        <v>80.97</v>
      </c>
      <c r="C123" s="292">
        <v>28</v>
      </c>
      <c r="D123" s="191">
        <f t="shared" si="8"/>
        <v>2267.16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32</v>
      </c>
      <c r="B124" s="193">
        <f>'Données projet'!D122</f>
        <v>0</v>
      </c>
      <c r="C124" s="292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34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36</v>
      </c>
      <c r="B126" s="193">
        <f>'Données projet'!D124</f>
        <v>85.88</v>
      </c>
      <c r="C126" s="204">
        <v>28</v>
      </c>
      <c r="D126" s="191">
        <f t="shared" si="8"/>
        <v>2404.64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38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40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42</v>
      </c>
      <c r="B129" s="193">
        <f>'Données projet'!D127</f>
        <v>91.25</v>
      </c>
      <c r="C129" s="204">
        <v>35</v>
      </c>
      <c r="D129" s="191">
        <f t="shared" si="8"/>
        <v>3193.75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44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46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48</v>
      </c>
      <c r="B132" s="193">
        <f>'Données projet'!D130</f>
        <v>101.34</v>
      </c>
      <c r="C132" s="204">
        <v>40</v>
      </c>
      <c r="D132" s="191">
        <f t="shared" si="8"/>
        <v>4053.6000000000004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50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52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54</v>
      </c>
      <c r="B135" s="193">
        <f>'Données projet'!D133</f>
        <v>707.75</v>
      </c>
      <c r="C135" s="204">
        <v>80</v>
      </c>
      <c r="D135" s="191">
        <f t="shared" si="8"/>
        <v>56620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Robinier faux-acacia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5</v>
      </c>
      <c r="B147" s="187">
        <f>'Données projet'!D140</f>
        <v>2</v>
      </c>
      <c r="C147" s="292">
        <v>8</v>
      </c>
      <c r="D147" s="194">
        <f>B147*C147</f>
        <v>16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10</v>
      </c>
      <c r="B148" s="187">
        <f>'Données projet'!D141</f>
        <v>15</v>
      </c>
      <c r="C148" s="292">
        <v>8</v>
      </c>
      <c r="D148" s="194">
        <f t="shared" ref="D148:D166" si="10">B148*C148</f>
        <v>120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15</v>
      </c>
      <c r="B149" s="187">
        <f>'Données projet'!D142</f>
        <v>13</v>
      </c>
      <c r="C149" s="292">
        <v>9</v>
      </c>
      <c r="D149" s="194">
        <f t="shared" si="10"/>
        <v>117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20</v>
      </c>
      <c r="B150" s="187">
        <f>'Données projet'!D143</f>
        <v>10</v>
      </c>
      <c r="C150" s="292">
        <v>12</v>
      </c>
      <c r="D150" s="194">
        <f t="shared" si="10"/>
        <v>120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25</v>
      </c>
      <c r="B151" s="187">
        <f>'Données projet'!D144</f>
        <v>8</v>
      </c>
      <c r="C151" s="292">
        <v>12</v>
      </c>
      <c r="D151" s="194">
        <f t="shared" si="10"/>
        <v>96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30</v>
      </c>
      <c r="B152" s="187">
        <f>'Données projet'!D145</f>
        <v>6</v>
      </c>
      <c r="C152" s="292">
        <v>13</v>
      </c>
      <c r="D152" s="194">
        <f t="shared" si="10"/>
        <v>78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35</v>
      </c>
      <c r="B153" s="187">
        <f>'Données projet'!D146</f>
        <v>5</v>
      </c>
      <c r="C153" s="292">
        <v>13</v>
      </c>
      <c r="D153" s="194">
        <f t="shared" si="10"/>
        <v>65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40</v>
      </c>
      <c r="B154" s="187">
        <f>'Données projet'!D147</f>
        <v>4</v>
      </c>
      <c r="C154" s="292">
        <v>14</v>
      </c>
      <c r="D154" s="194">
        <f t="shared" si="10"/>
        <v>56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45</v>
      </c>
      <c r="B155" s="187">
        <f>'Données projet'!D148</f>
        <v>198</v>
      </c>
      <c r="C155" s="292">
        <v>14</v>
      </c>
      <c r="D155" s="194">
        <f t="shared" si="10"/>
        <v>2772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Erable sycomore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15</v>
      </c>
      <c r="B178" s="193">
        <f>'Données projet'!D166</f>
        <v>15</v>
      </c>
      <c r="C178" s="206">
        <v>5</v>
      </c>
      <c r="D178" s="191">
        <f>B178*C178</f>
        <v>75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20</v>
      </c>
      <c r="B179" s="193">
        <f>'Données projet'!D167</f>
        <v>28</v>
      </c>
      <c r="C179" s="206">
        <v>7</v>
      </c>
      <c r="D179" s="191">
        <f t="shared" ref="D179:D197" si="11">B179*C179</f>
        <v>196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25</v>
      </c>
      <c r="B180" s="193">
        <f>'Données projet'!D168</f>
        <v>28</v>
      </c>
      <c r="C180" s="206">
        <v>9</v>
      </c>
      <c r="D180" s="191">
        <f t="shared" si="11"/>
        <v>252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30</v>
      </c>
      <c r="B181" s="193">
        <f>'Données projet'!D169</f>
        <v>28</v>
      </c>
      <c r="C181" s="206">
        <v>9</v>
      </c>
      <c r="D181" s="191">
        <f t="shared" si="11"/>
        <v>252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35</v>
      </c>
      <c r="B182" s="193">
        <f>'Données projet'!D170</f>
        <v>28</v>
      </c>
      <c r="C182" s="206">
        <v>9</v>
      </c>
      <c r="D182" s="191">
        <f t="shared" si="11"/>
        <v>252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40</v>
      </c>
      <c r="B183" s="193">
        <f>'Données projet'!D171</f>
        <v>28</v>
      </c>
      <c r="C183" s="206">
        <v>14</v>
      </c>
      <c r="D183" s="191">
        <f t="shared" si="11"/>
        <v>392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45</v>
      </c>
      <c r="B184" s="193">
        <f>'Données projet'!D172</f>
        <v>22</v>
      </c>
      <c r="C184" s="206">
        <v>14</v>
      </c>
      <c r="D184" s="191">
        <f t="shared" si="11"/>
        <v>308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50</v>
      </c>
      <c r="B185" s="193">
        <f>'Données projet'!D173</f>
        <v>17</v>
      </c>
      <c r="C185" s="206">
        <v>14</v>
      </c>
      <c r="D185" s="191">
        <f t="shared" si="11"/>
        <v>238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55</v>
      </c>
      <c r="B186" s="193">
        <f>'Données projet'!D174</f>
        <v>13</v>
      </c>
      <c r="C186" s="206">
        <v>20</v>
      </c>
      <c r="D186" s="191">
        <f t="shared" si="11"/>
        <v>260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60</v>
      </c>
      <c r="B187" s="193">
        <f>'Données projet'!D175</f>
        <v>12</v>
      </c>
      <c r="C187" s="206">
        <v>25</v>
      </c>
      <c r="D187" s="191">
        <f t="shared" si="11"/>
        <v>300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65</v>
      </c>
      <c r="B188" s="193">
        <f>'Données projet'!D176</f>
        <v>11</v>
      </c>
      <c r="C188" s="206">
        <v>30</v>
      </c>
      <c r="D188" s="191">
        <f t="shared" si="11"/>
        <v>330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70</v>
      </c>
      <c r="B189" s="193">
        <f>'Données projet'!D177</f>
        <v>10</v>
      </c>
      <c r="C189" s="206">
        <v>30</v>
      </c>
      <c r="D189" s="191">
        <f t="shared" si="11"/>
        <v>300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75</v>
      </c>
      <c r="B190" s="193">
        <f>'Données projet'!D178</f>
        <v>9</v>
      </c>
      <c r="C190" s="206">
        <v>50</v>
      </c>
      <c r="D190" s="191">
        <f t="shared" si="11"/>
        <v>450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80</v>
      </c>
      <c r="B191" s="193">
        <f>'Données projet'!D179</f>
        <v>275</v>
      </c>
      <c r="C191" s="206">
        <v>80</v>
      </c>
      <c r="D191" s="191">
        <f t="shared" si="11"/>
        <v>22000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Chêne sessile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20</v>
      </c>
      <c r="B209" s="193">
        <f>'Données projet'!D192</f>
        <v>6</v>
      </c>
      <c r="C209" s="292">
        <v>4</v>
      </c>
      <c r="D209" s="191">
        <f>B209*C209</f>
        <v>24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25</v>
      </c>
      <c r="B210" s="193">
        <f>'Données projet'!D193</f>
        <v>28</v>
      </c>
      <c r="C210" s="292">
        <v>8</v>
      </c>
      <c r="D210" s="191">
        <f t="shared" ref="D210:D228" si="12">B210*C210</f>
        <v>224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30</v>
      </c>
      <c r="B211" s="193">
        <f>'Données projet'!D194</f>
        <v>28</v>
      </c>
      <c r="C211" s="292">
        <v>10</v>
      </c>
      <c r="D211" s="191">
        <f t="shared" si="12"/>
        <v>280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35</v>
      </c>
      <c r="B212" s="193">
        <f>'Données projet'!D195</f>
        <v>28</v>
      </c>
      <c r="C212" s="292">
        <v>10</v>
      </c>
      <c r="D212" s="191">
        <f t="shared" si="12"/>
        <v>280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40</v>
      </c>
      <c r="B213" s="193">
        <f>'Données projet'!D196</f>
        <v>28</v>
      </c>
      <c r="C213" s="292">
        <v>10</v>
      </c>
      <c r="D213" s="191">
        <f t="shared" si="12"/>
        <v>280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45</v>
      </c>
      <c r="B214" s="193">
        <f>'Données projet'!D197</f>
        <v>28</v>
      </c>
      <c r="C214" s="292">
        <v>10</v>
      </c>
      <c r="D214" s="191">
        <f t="shared" si="12"/>
        <v>280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50</v>
      </c>
      <c r="B215" s="193">
        <f>'Données projet'!D198</f>
        <v>28</v>
      </c>
      <c r="C215" s="292">
        <v>15</v>
      </c>
      <c r="D215" s="191">
        <f t="shared" si="12"/>
        <v>420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55</v>
      </c>
      <c r="B216" s="193">
        <f>'Données projet'!D199</f>
        <v>28</v>
      </c>
      <c r="C216" s="292">
        <v>15</v>
      </c>
      <c r="D216" s="191">
        <f t="shared" si="12"/>
        <v>420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60</v>
      </c>
      <c r="B217" s="193">
        <f>'Données projet'!D200</f>
        <v>28</v>
      </c>
      <c r="C217" s="292">
        <v>15</v>
      </c>
      <c r="D217" s="191">
        <f t="shared" si="12"/>
        <v>420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65</v>
      </c>
      <c r="B218" s="193">
        <f>'Données projet'!D201</f>
        <v>28</v>
      </c>
      <c r="C218" s="292">
        <v>20</v>
      </c>
      <c r="D218" s="191">
        <f t="shared" si="12"/>
        <v>560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70</v>
      </c>
      <c r="B219" s="193">
        <f>'Données projet'!D202</f>
        <v>28</v>
      </c>
      <c r="C219" s="292">
        <v>20</v>
      </c>
      <c r="D219" s="191">
        <f t="shared" si="12"/>
        <v>560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75</v>
      </c>
      <c r="B220" s="193">
        <f>'Données projet'!D203</f>
        <v>28</v>
      </c>
      <c r="C220" s="292">
        <v>20</v>
      </c>
      <c r="D220" s="191">
        <f t="shared" si="12"/>
        <v>560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80</v>
      </c>
      <c r="B221" s="193">
        <f>'Données projet'!D204</f>
        <v>28</v>
      </c>
      <c r="C221" s="292">
        <v>20</v>
      </c>
      <c r="D221" s="191">
        <f t="shared" si="12"/>
        <v>560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85</v>
      </c>
      <c r="B222" s="193">
        <f>'Données projet'!D205</f>
        <v>28</v>
      </c>
      <c r="C222" s="292">
        <v>20</v>
      </c>
      <c r="D222" s="191">
        <f t="shared" si="12"/>
        <v>560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90</v>
      </c>
      <c r="B223" s="193">
        <f>'Données projet'!D206</f>
        <v>28</v>
      </c>
      <c r="C223" s="292">
        <v>30</v>
      </c>
      <c r="D223" s="191">
        <f t="shared" si="12"/>
        <v>840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95</v>
      </c>
      <c r="B224" s="193">
        <f>'Données projet'!D207</f>
        <v>28</v>
      </c>
      <c r="C224" s="292">
        <v>30</v>
      </c>
      <c r="D224" s="191">
        <f t="shared" si="12"/>
        <v>840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100</v>
      </c>
      <c r="B225" s="193">
        <f>'Données projet'!D208</f>
        <v>27</v>
      </c>
      <c r="C225" s="292">
        <v>40</v>
      </c>
      <c r="D225" s="191">
        <f t="shared" si="12"/>
        <v>1080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105</v>
      </c>
      <c r="B226" s="193">
        <f>'Données projet'!D209</f>
        <v>26</v>
      </c>
      <c r="C226" s="292">
        <v>50</v>
      </c>
      <c r="D226" s="191">
        <f t="shared" si="12"/>
        <v>1300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110</v>
      </c>
      <c r="B227" s="193">
        <f>'Données projet'!D210</f>
        <v>25</v>
      </c>
      <c r="C227" s="292">
        <v>70</v>
      </c>
      <c r="D227" s="191">
        <f t="shared" si="12"/>
        <v>1750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115</v>
      </c>
      <c r="B228" s="193">
        <f>'Données projet'!D211</f>
        <v>330</v>
      </c>
      <c r="C228" s="292">
        <v>150</v>
      </c>
      <c r="D228" s="191">
        <f t="shared" si="12"/>
        <v>49500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Alisier torminal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20</v>
      </c>
      <c r="B240" s="193">
        <f>'Données projet'!D218</f>
        <v>6</v>
      </c>
      <c r="C240" s="292">
        <v>4</v>
      </c>
      <c r="D240" s="191">
        <f>B240*C240</f>
        <v>24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25</v>
      </c>
      <c r="B241" s="193">
        <f>'Données projet'!D219</f>
        <v>28</v>
      </c>
      <c r="C241" s="292">
        <v>8</v>
      </c>
      <c r="D241" s="191">
        <f t="shared" ref="D241:D259" si="13">B241*C241</f>
        <v>224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30</v>
      </c>
      <c r="B242" s="193">
        <f>'Données projet'!D220</f>
        <v>28</v>
      </c>
      <c r="C242" s="292">
        <v>10</v>
      </c>
      <c r="D242" s="191">
        <f t="shared" si="13"/>
        <v>280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35</v>
      </c>
      <c r="B243" s="193">
        <f>'Données projet'!D221</f>
        <v>28</v>
      </c>
      <c r="C243" s="292">
        <v>10</v>
      </c>
      <c r="D243" s="191">
        <f t="shared" si="13"/>
        <v>280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40</v>
      </c>
      <c r="B244" s="193">
        <f>'Données projet'!D222</f>
        <v>28</v>
      </c>
      <c r="C244" s="292">
        <v>10</v>
      </c>
      <c r="D244" s="191">
        <f t="shared" si="13"/>
        <v>280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45</v>
      </c>
      <c r="B245" s="193">
        <f>'Données projet'!D223</f>
        <v>28</v>
      </c>
      <c r="C245" s="292">
        <v>10</v>
      </c>
      <c r="D245" s="191">
        <f t="shared" si="13"/>
        <v>280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50</v>
      </c>
      <c r="B246" s="193">
        <f>'Données projet'!D224</f>
        <v>28</v>
      </c>
      <c r="C246" s="292">
        <v>15</v>
      </c>
      <c r="D246" s="191">
        <f t="shared" si="13"/>
        <v>420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55</v>
      </c>
      <c r="B247" s="193">
        <f>'Données projet'!D225</f>
        <v>28</v>
      </c>
      <c r="C247" s="292">
        <v>15</v>
      </c>
      <c r="D247" s="191">
        <f t="shared" si="13"/>
        <v>420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60</v>
      </c>
      <c r="B248" s="193">
        <f>'Données projet'!D226</f>
        <v>28</v>
      </c>
      <c r="C248" s="292">
        <v>15</v>
      </c>
      <c r="D248" s="191">
        <f t="shared" si="13"/>
        <v>420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65</v>
      </c>
      <c r="B249" s="193">
        <f>'Données projet'!D227</f>
        <v>28</v>
      </c>
      <c r="C249" s="292">
        <v>20</v>
      </c>
      <c r="D249" s="191">
        <f t="shared" si="13"/>
        <v>560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70</v>
      </c>
      <c r="B250" s="193">
        <f>'Données projet'!D228</f>
        <v>28</v>
      </c>
      <c r="C250" s="292">
        <v>20</v>
      </c>
      <c r="D250" s="191">
        <f t="shared" si="13"/>
        <v>560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75</v>
      </c>
      <c r="B251" s="193">
        <f>'Données projet'!D229</f>
        <v>28</v>
      </c>
      <c r="C251" s="292">
        <v>20</v>
      </c>
      <c r="D251" s="191">
        <f t="shared" si="13"/>
        <v>560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80</v>
      </c>
      <c r="B252" s="193">
        <f>'Données projet'!D230</f>
        <v>28</v>
      </c>
      <c r="C252" s="292">
        <v>20</v>
      </c>
      <c r="D252" s="191">
        <f t="shared" si="13"/>
        <v>560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85</v>
      </c>
      <c r="B253" s="193">
        <f>'Données projet'!D231</f>
        <v>28</v>
      </c>
      <c r="C253" s="292">
        <v>20</v>
      </c>
      <c r="D253" s="191">
        <f t="shared" si="13"/>
        <v>560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90</v>
      </c>
      <c r="B254" s="193">
        <f>'Données projet'!D232</f>
        <v>28</v>
      </c>
      <c r="C254" s="292">
        <v>30</v>
      </c>
      <c r="D254" s="191">
        <f t="shared" si="13"/>
        <v>840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95</v>
      </c>
      <c r="B255" s="193">
        <f>'Données projet'!D233</f>
        <v>28</v>
      </c>
      <c r="C255" s="292">
        <v>30</v>
      </c>
      <c r="D255" s="191">
        <f t="shared" si="13"/>
        <v>840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100</v>
      </c>
      <c r="B256" s="193">
        <f>'Données projet'!D234</f>
        <v>27</v>
      </c>
      <c r="C256" s="292">
        <v>40</v>
      </c>
      <c r="D256" s="191">
        <f t="shared" si="13"/>
        <v>1080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105</v>
      </c>
      <c r="B257" s="193">
        <f>'Données projet'!D235</f>
        <v>26</v>
      </c>
      <c r="C257" s="292">
        <v>50</v>
      </c>
      <c r="D257" s="191">
        <f t="shared" si="13"/>
        <v>1300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110</v>
      </c>
      <c r="B258" s="193">
        <f>'Données projet'!D236</f>
        <v>25</v>
      </c>
      <c r="C258" s="292">
        <v>70</v>
      </c>
      <c r="D258" s="191">
        <f t="shared" si="13"/>
        <v>1750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115</v>
      </c>
      <c r="B259" s="193">
        <f>'Données projet'!D237</f>
        <v>330</v>
      </c>
      <c r="C259" s="292">
        <v>150</v>
      </c>
      <c r="D259" s="191">
        <f t="shared" si="13"/>
        <v>49500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Charme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20</v>
      </c>
      <c r="B271" s="193">
        <f>'Données projet'!D244</f>
        <v>6</v>
      </c>
      <c r="C271" s="292">
        <v>10</v>
      </c>
      <c r="D271" s="191">
        <f>B271*C271</f>
        <v>60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25</v>
      </c>
      <c r="B272" s="193">
        <f>'Données projet'!D245</f>
        <v>28</v>
      </c>
      <c r="C272" s="292">
        <v>10</v>
      </c>
      <c r="D272" s="191">
        <f t="shared" ref="D272:D290" si="14">B272*C272</f>
        <v>280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30</v>
      </c>
      <c r="B273" s="193">
        <f>'Données projet'!D246</f>
        <v>28</v>
      </c>
      <c r="C273" s="292">
        <v>10</v>
      </c>
      <c r="D273" s="191">
        <f t="shared" si="14"/>
        <v>280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35</v>
      </c>
      <c r="B274" s="193">
        <f>'Données projet'!D247</f>
        <v>28</v>
      </c>
      <c r="C274" s="292">
        <v>10</v>
      </c>
      <c r="D274" s="191">
        <f t="shared" si="14"/>
        <v>280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40</v>
      </c>
      <c r="B275" s="193">
        <f>'Données projet'!D248</f>
        <v>28</v>
      </c>
      <c r="C275" s="292">
        <v>10</v>
      </c>
      <c r="D275" s="191">
        <f t="shared" si="14"/>
        <v>280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45</v>
      </c>
      <c r="B276" s="193">
        <f>'Données projet'!D249</f>
        <v>28</v>
      </c>
      <c r="C276" s="292">
        <v>10</v>
      </c>
      <c r="D276" s="191">
        <f t="shared" si="14"/>
        <v>280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50</v>
      </c>
      <c r="B277" s="193">
        <f>'Données projet'!D250</f>
        <v>28</v>
      </c>
      <c r="C277" s="292">
        <v>10</v>
      </c>
      <c r="D277" s="191">
        <f t="shared" si="14"/>
        <v>280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55</v>
      </c>
      <c r="B278" s="193">
        <f>'Données projet'!D251</f>
        <v>28</v>
      </c>
      <c r="C278" s="292">
        <v>10</v>
      </c>
      <c r="D278" s="191">
        <f t="shared" si="14"/>
        <v>280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60</v>
      </c>
      <c r="B279" s="193">
        <f>'Données projet'!D252</f>
        <v>28</v>
      </c>
      <c r="C279" s="292">
        <v>10</v>
      </c>
      <c r="D279" s="191">
        <f t="shared" si="14"/>
        <v>280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65</v>
      </c>
      <c r="B280" s="193">
        <f>'Données projet'!D253</f>
        <v>28</v>
      </c>
      <c r="C280" s="292">
        <v>10</v>
      </c>
      <c r="D280" s="191">
        <f t="shared" si="14"/>
        <v>280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70</v>
      </c>
      <c r="B281" s="193">
        <f>'Données projet'!D254</f>
        <v>28</v>
      </c>
      <c r="C281" s="292">
        <v>10</v>
      </c>
      <c r="D281" s="191">
        <f t="shared" si="14"/>
        <v>280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75</v>
      </c>
      <c r="B282" s="193">
        <f>'Données projet'!D255</f>
        <v>28</v>
      </c>
      <c r="C282" s="292">
        <v>10</v>
      </c>
      <c r="D282" s="191">
        <f t="shared" si="14"/>
        <v>280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80</v>
      </c>
      <c r="B283" s="193">
        <f>'Données projet'!D256</f>
        <v>28</v>
      </c>
      <c r="C283" s="292">
        <v>10</v>
      </c>
      <c r="D283" s="191">
        <f t="shared" si="14"/>
        <v>280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85</v>
      </c>
      <c r="B284" s="193">
        <f>'Données projet'!D257</f>
        <v>28</v>
      </c>
      <c r="C284" s="292">
        <v>10</v>
      </c>
      <c r="D284" s="191">
        <f t="shared" si="14"/>
        <v>280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90</v>
      </c>
      <c r="B285" s="193">
        <f>'Données projet'!D258</f>
        <v>28</v>
      </c>
      <c r="C285" s="292">
        <v>10</v>
      </c>
      <c r="D285" s="191">
        <f t="shared" si="14"/>
        <v>280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95</v>
      </c>
      <c r="B286" s="193">
        <f>'Données projet'!D259</f>
        <v>28</v>
      </c>
      <c r="C286" s="292">
        <v>10</v>
      </c>
      <c r="D286" s="191">
        <f t="shared" si="14"/>
        <v>280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100</v>
      </c>
      <c r="B287" s="193">
        <f>'Données projet'!D260</f>
        <v>27</v>
      </c>
      <c r="C287" s="292">
        <v>10</v>
      </c>
      <c r="D287" s="191">
        <f t="shared" si="14"/>
        <v>270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105</v>
      </c>
      <c r="B288" s="193">
        <f>'Données projet'!D261</f>
        <v>26</v>
      </c>
      <c r="C288" s="292">
        <v>10</v>
      </c>
      <c r="D288" s="191">
        <f t="shared" si="14"/>
        <v>260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110</v>
      </c>
      <c r="B289" s="193">
        <f>'Données projet'!D262</f>
        <v>25</v>
      </c>
      <c r="C289" s="292">
        <v>10</v>
      </c>
      <c r="D289" s="191">
        <f t="shared" si="14"/>
        <v>250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115</v>
      </c>
      <c r="B290" s="193">
        <f>'Données projet'!D263</f>
        <v>330</v>
      </c>
      <c r="C290" s="292">
        <v>10</v>
      </c>
      <c r="D290" s="191">
        <f t="shared" si="14"/>
        <v>3300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2024-07-01T09:36:16Z</dcterms:modified>
</cp:coreProperties>
</file>