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5.xml" ContentType="application/vnd.ms-excel.person+xml"/>
  <Override PartName="/xl/persons/person13.xml" ContentType="application/vnd.ms-excel.person+xml"/>
  <Override PartName="/xl/persons/person8.xml" ContentType="application/vnd.ms-excel.person+xml"/>
  <Override PartName="/xl/persons/person4.xml" ContentType="application/vnd.ms-excel.person+xml"/>
  <Override PartName="/xl/persons/person11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6.xml" ContentType="application/vnd.ms-excel.person+xml"/>
  <Override PartName="/xl/persons/person10.xml" ContentType="application/vnd.ms-excel.person+xml"/>
  <Override PartName="/xl/persons/person1.xml" ContentType="application/vnd.ms-excel.person+xml"/>
  <Override PartName="/xl/persons/person9.xml" ContentType="application/vnd.ms-excel.person+xml"/>
  <Override PartName="/xl/persons/person14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12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774b4f785a1af9a/Documents/LABEL/Chapelle Bertin-01/0 - Doc labellisation/"/>
    </mc:Choice>
  </mc:AlternateContent>
  <xr:revisionPtr revIDLastSave="22" documentId="13_ncr:1_{CED5183A-0AFA-4610-98CF-B9FB81E74F70}" xr6:coauthVersionLast="47" xr6:coauthVersionMax="47" xr10:uidLastSave="{7229FADA-3064-449F-9DC4-D3C37FFD95FC}"/>
  <bookViews>
    <workbookView xWindow="11424" yWindow="0" windowWidth="11712" windowHeight="1233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6">VAN!$A$7:$V$104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2" i="1" l="1"/>
  <c r="D100" i="1"/>
  <c r="B89" i="1"/>
  <c r="B91" i="1"/>
  <c r="B92" i="1"/>
  <c r="B93" i="1"/>
  <c r="B94" i="1"/>
  <c r="B95" i="1"/>
  <c r="B96" i="1"/>
  <c r="B97" i="1"/>
  <c r="B99" i="1"/>
  <c r="B101" i="1"/>
  <c r="D90" i="1"/>
  <c r="D92" i="1"/>
  <c r="D94" i="1"/>
  <c r="D96" i="1"/>
  <c r="D98" i="1"/>
  <c r="D70" i="1"/>
  <c r="B75" i="1"/>
  <c r="B73" i="1"/>
  <c r="B71" i="1"/>
  <c r="B69" i="1"/>
  <c r="B67" i="1"/>
  <c r="B65" i="1"/>
  <c r="B63" i="1"/>
  <c r="D64" i="1"/>
  <c r="B64" i="1"/>
  <c r="D80" i="1"/>
  <c r="D78" i="1"/>
  <c r="D76" i="1"/>
  <c r="D74" i="1"/>
  <c r="D72" i="1"/>
  <c r="D68" i="1"/>
  <c r="D66" i="1"/>
  <c r="D44" i="1"/>
  <c r="B44" i="1"/>
  <c r="D43" i="1"/>
  <c r="B43" i="1"/>
  <c r="B41" i="1"/>
  <c r="B40" i="1"/>
  <c r="B39" i="1"/>
  <c r="B42" i="1"/>
  <c r="B38" i="1"/>
  <c r="D41" i="1"/>
  <c r="D3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BR4" i="2"/>
  <c r="GL4" i="2"/>
  <c r="EA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HH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W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HI38" i="2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H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B57" i="2"/>
  <c r="HG57" i="2"/>
  <c r="EV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G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HI113" i="2"/>
  <c r="EC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A145" i="2"/>
  <c r="HG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FS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HH155" i="2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FS156" i="2"/>
  <c r="HI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V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I160" i="2"/>
  <c r="DG160" i="2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H161" i="2"/>
  <c r="EB161" i="2"/>
  <c r="EX161" i="2"/>
  <c r="HG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W162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HG163" i="2"/>
  <c r="EB163" i="2"/>
  <c r="EA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A164" i="2" l="1"/>
  <c r="DI163" i="2"/>
  <c r="DH164" i="2"/>
  <c r="FS164" i="2"/>
  <c r="EX164" i="2"/>
  <c r="EV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DG167" i="2"/>
  <c r="EA167" i="2"/>
  <c r="EX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H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HG172" i="2"/>
  <c r="EA172" i="2"/>
  <c r="HI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X173" i="2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A175" i="2"/>
  <c r="FS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S178" i="2"/>
  <c r="HH178" i="2"/>
  <c r="EW178" i="2"/>
  <c r="FQ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B179" i="2"/>
  <c r="DF179" i="2"/>
  <c r="EA179" i="2"/>
  <c r="EV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I185" i="2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FS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G190" i="2" l="1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V192" i="2"/>
  <c r="EC192" i="2"/>
  <c r="EW192" i="2"/>
  <c r="HG192" i="2"/>
  <c r="EA192" i="2"/>
  <c r="ED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HI193" i="2" l="1"/>
  <c r="FQ193" i="2"/>
  <c r="EB193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CN193" i="2"/>
  <c r="EB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I195" i="2" l="1"/>
  <c r="HG195" i="2"/>
  <c r="EB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W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/>
  <c r="DI200" i="2"/>
  <c r="HG201" i="2" l="1"/>
  <c r="EA201" i="2"/>
  <c r="EB201" i="2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FS202" i="2"/>
  <c r="HG202" i="2"/>
  <c r="FZ6" i="2"/>
  <c r="HI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GT152" i="2" a="1"/>
  <c r="GT152" i="2" s="1"/>
  <c r="GT147" i="2" a="1"/>
  <c r="GT147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GT21" i="2" a="1"/>
  <c r="GT21" i="2" s="1"/>
  <c r="GT198" i="2" a="1"/>
  <c r="GT198" i="2" s="1"/>
  <c r="GT189" i="2" a="1"/>
  <c r="GT189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FD82" i="2" a="1"/>
  <c r="FD82" i="2" s="1"/>
  <c r="HJ202" i="2"/>
  <c r="AX200" i="2"/>
  <c r="DN123" i="2" l="1" a="1"/>
  <c r="DN123" i="2" s="1"/>
  <c r="DN177" i="2" a="1"/>
  <c r="DN177" i="2" s="1"/>
  <c r="DN31" i="2" a="1"/>
  <c r="DN31" i="2" s="1"/>
  <c r="BC192" i="2" a="1"/>
  <c r="BC192" i="2" s="1"/>
  <c r="BC47" i="2" a="1"/>
  <c r="BC47" i="2" s="1"/>
  <c r="BC83" i="2" a="1"/>
  <c r="BC83" i="2" s="1"/>
  <c r="BC185" i="2" a="1"/>
  <c r="BC185" i="2" s="1"/>
  <c r="BC151" i="2" a="1"/>
  <c r="BC151" i="2" s="1"/>
  <c r="BC164" i="2" a="1"/>
  <c r="BC164" i="2" s="1"/>
  <c r="CS114" i="2" a="1"/>
  <c r="CS114" i="2" s="1"/>
  <c r="CS56" i="2" a="1"/>
  <c r="CS56" i="2" s="1"/>
  <c r="GT181" i="2" a="1"/>
  <c r="GT181" i="2" s="1"/>
  <c r="GT107" i="2" a="1"/>
  <c r="GT107" i="2" s="1"/>
  <c r="BC7" i="2" a="1"/>
  <c r="BC7" i="2" s="1"/>
  <c r="BD7" i="2" s="1"/>
  <c r="DN184" i="2" a="1"/>
  <c r="DN184" i="2" s="1"/>
  <c r="GT184" i="2" a="1"/>
  <c r="GT184" i="2" s="1"/>
  <c r="GT33" i="2" a="1"/>
  <c r="GT33" i="2" s="1"/>
  <c r="GT174" i="2" a="1"/>
  <c r="GT174" i="2" s="1"/>
  <c r="CS52" i="2" a="1"/>
  <c r="CS52" i="2" s="1"/>
  <c r="GT115" i="2" a="1"/>
  <c r="GT115" i="2" s="1"/>
  <c r="BX107" i="2" a="1"/>
  <c r="BX107" i="2" s="1"/>
  <c r="CS72" i="2" a="1"/>
  <c r="CS72" i="2" s="1"/>
  <c r="GT190" i="2" a="1"/>
  <c r="GT190" i="2" s="1"/>
  <c r="BC143" i="2" a="1"/>
  <c r="BC143" i="2" s="1"/>
  <c r="BC117" i="2" a="1"/>
  <c r="BC117" i="2" s="1"/>
  <c r="DN115" i="2" a="1"/>
  <c r="DN115" i="2" s="1"/>
  <c r="DN124" i="2" a="1"/>
  <c r="DN124" i="2" s="1"/>
  <c r="DN45" i="2" a="1"/>
  <c r="DN45" i="2" s="1"/>
  <c r="DN80" i="2" a="1"/>
  <c r="DN80" i="2" s="1"/>
  <c r="DN153" i="2" a="1"/>
  <c r="DN153" i="2" s="1"/>
  <c r="DN162" i="2" a="1"/>
  <c r="DN162" i="2" s="1"/>
  <c r="DN150" i="2" a="1"/>
  <c r="DN150" i="2" s="1"/>
  <c r="DN155" i="2" a="1"/>
  <c r="DN155" i="2" s="1"/>
  <c r="DN56" i="2" a="1"/>
  <c r="DN56" i="2" s="1"/>
  <c r="DN65" i="2" a="1"/>
  <c r="DN65" i="2" s="1"/>
  <c r="GT38" i="2" a="1"/>
  <c r="GT38" i="2" s="1"/>
  <c r="DN129" i="2" a="1"/>
  <c r="DN129" i="2" s="1"/>
  <c r="DN164" i="2" a="1"/>
  <c r="DN164" i="2" s="1"/>
  <c r="GT126" i="2" a="1"/>
  <c r="GT126" i="2" s="1"/>
  <c r="DN63" i="2" a="1"/>
  <c r="DN63" i="2" s="1"/>
  <c r="BC31" i="2" a="1"/>
  <c r="BC31" i="2" s="1"/>
  <c r="DN114" i="2" a="1"/>
  <c r="DN114" i="2" s="1"/>
  <c r="DN66" i="2" a="1"/>
  <c r="DN66" i="2" s="1"/>
  <c r="DN50" i="2" a="1"/>
  <c r="DN50" i="2" s="1"/>
  <c r="DN186" i="2" a="1"/>
  <c r="DN186" i="2" s="1"/>
  <c r="GT122" i="2" a="1"/>
  <c r="GT122" i="2" s="1"/>
  <c r="BC181" i="2" a="1"/>
  <c r="BC181" i="2" s="1"/>
  <c r="DN176" i="2" a="1"/>
  <c r="DN176" i="2" s="1"/>
  <c r="DN152" i="2" a="1"/>
  <c r="DN152" i="2" s="1"/>
  <c r="DN190" i="2" a="1"/>
  <c r="DN190" i="2" s="1"/>
  <c r="CS105" i="2" a="1"/>
  <c r="CS105" i="2" s="1"/>
  <c r="DN29" i="2" a="1"/>
  <c r="DN29" i="2" s="1"/>
  <c r="DN133" i="2" a="1"/>
  <c r="DN133" i="2" s="1"/>
  <c r="GT191" i="2" a="1"/>
  <c r="GT191" i="2" s="1"/>
  <c r="CS161" i="2" a="1"/>
  <c r="CS161" i="2" s="1"/>
  <c r="DN41" i="2" a="1"/>
  <c r="DN41" i="2" s="1"/>
  <c r="GT133" i="2" a="1"/>
  <c r="GT133" i="2" s="1"/>
  <c r="DN49" i="2" a="1"/>
  <c r="DN49" i="2" s="1"/>
  <c r="CS120" i="2" a="1"/>
  <c r="CS120" i="2" s="1"/>
  <c r="DN192" i="2" a="1"/>
  <c r="DN192" i="2" s="1"/>
  <c r="DN70" i="2" a="1"/>
  <c r="DN70" i="2" s="1"/>
  <c r="DN187" i="2" a="1"/>
  <c r="DN187" i="2" s="1"/>
  <c r="DN30" i="2" a="1"/>
  <c r="DN30" i="2" s="1"/>
  <c r="DN55" i="2" a="1"/>
  <c r="DN55" i="2" s="1"/>
  <c r="DN135" i="2" a="1"/>
  <c r="DN135" i="2" s="1"/>
  <c r="GT15" i="2" a="1"/>
  <c r="GT15" i="2" s="1"/>
  <c r="GT74" i="2" a="1"/>
  <c r="GT74" i="2" s="1"/>
  <c r="BC18" i="2" a="1"/>
  <c r="BC18" i="2" s="1"/>
  <c r="BC84" i="2" a="1"/>
  <c r="BC84" i="2" s="1"/>
  <c r="DN103" i="2" a="1"/>
  <c r="DN103" i="2" s="1"/>
  <c r="DN188" i="2" a="1"/>
  <c r="DN188" i="2" s="1"/>
  <c r="DN113" i="2" a="1"/>
  <c r="DN113" i="2" s="1"/>
  <c r="DN137" i="2" a="1"/>
  <c r="DN137" i="2" s="1"/>
  <c r="GT11" i="2" a="1"/>
  <c r="GT11" i="2" s="1"/>
  <c r="GT51" i="2" a="1"/>
  <c r="GT51" i="2" s="1"/>
  <c r="BC126" i="2" a="1"/>
  <c r="BC126" i="2" s="1"/>
  <c r="DN167" i="2" a="1"/>
  <c r="DN167" i="2" s="1"/>
  <c r="DN16" i="2" a="1"/>
  <c r="DN16" i="2" s="1"/>
  <c r="CS116" i="2" a="1"/>
  <c r="CS116" i="2" s="1"/>
  <c r="CS66" i="2" a="1"/>
  <c r="CS66" i="2" s="1"/>
  <c r="CS134" i="2" a="1"/>
  <c r="CS134" i="2" s="1"/>
  <c r="CS185" i="2" a="1"/>
  <c r="CS185" i="2" s="1"/>
  <c r="GT12" i="2" a="1"/>
  <c r="GT12" i="2" s="1"/>
  <c r="DN170" i="2" a="1"/>
  <c r="DN170" i="2" s="1"/>
  <c r="CS24" i="2" a="1"/>
  <c r="CS24" i="2" s="1"/>
  <c r="DN168" i="2" a="1"/>
  <c r="DN168" i="2" s="1"/>
  <c r="CS77" i="2" a="1"/>
  <c r="CS77" i="2" s="1"/>
  <c r="DN43" i="2" a="1"/>
  <c r="DN43" i="2" s="1"/>
  <c r="GT121" i="2" a="1"/>
  <c r="GT121" i="2" s="1"/>
  <c r="HH203" i="2"/>
  <c r="DN132" i="2" a="1"/>
  <c r="DN132" i="2" s="1"/>
  <c r="DN46" i="2" a="1"/>
  <c r="DN46" i="2" s="1"/>
  <c r="DN110" i="2" a="1"/>
  <c r="DN110" i="2" s="1"/>
  <c r="DN38" i="2" a="1"/>
  <c r="DN38" i="2" s="1"/>
  <c r="GT138" i="2" a="1"/>
  <c r="GT138" i="2" s="1"/>
  <c r="GT178" i="2" a="1"/>
  <c r="GT178" i="2" s="1"/>
  <c r="BC38" i="2" a="1"/>
  <c r="BC38" i="2" s="1"/>
  <c r="BC32" i="2" a="1"/>
  <c r="BC32" i="2" s="1"/>
  <c r="CS137" i="2" a="1"/>
  <c r="CS137" i="2" s="1"/>
  <c r="DN86" i="2" a="1"/>
  <c r="DN86" i="2" s="1"/>
  <c r="DN25" i="2" a="1"/>
  <c r="DN25" i="2" s="1"/>
  <c r="CS129" i="2" a="1"/>
  <c r="CS129" i="2" s="1"/>
  <c r="GT102" i="2" a="1"/>
  <c r="GT102" i="2" s="1"/>
  <c r="GT68" i="2" a="1"/>
  <c r="GT68" i="2" s="1"/>
  <c r="BC82" i="2" a="1"/>
  <c r="BC82" i="2" s="1"/>
  <c r="AH62" i="2" a="1"/>
  <c r="AH62" i="2" s="1"/>
  <c r="BC68" i="2" a="1"/>
  <c r="BC68" i="2" s="1"/>
  <c r="BC34" i="2" a="1"/>
  <c r="BC34" i="2" s="1"/>
  <c r="BC65" i="2" a="1"/>
  <c r="BC65" i="2" s="1"/>
  <c r="BC114" i="2" a="1"/>
  <c r="BC114" i="2" s="1"/>
  <c r="AH166" i="2" a="1"/>
  <c r="AH166" i="2" s="1"/>
  <c r="AH199" i="2" a="1"/>
  <c r="AH199" i="2" s="1"/>
  <c r="AH151" i="2" a="1"/>
  <c r="AH151" i="2" s="1"/>
  <c r="AH90" i="2" a="1"/>
  <c r="AH90" i="2" s="1"/>
  <c r="AH19" i="2" a="1"/>
  <c r="AH19" i="2" s="1"/>
  <c r="AH92" i="2" a="1"/>
  <c r="AH92" i="2" s="1"/>
  <c r="AH163" i="2" a="1"/>
  <c r="AH163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70" i="2"/>
  <c r="CD74" i="2"/>
  <c r="CD104" i="2"/>
  <c r="CD174" i="2"/>
  <c r="CD64" i="2"/>
  <c r="CD102" i="2"/>
  <c r="CD27" i="2"/>
  <c r="CD42" i="2"/>
  <c r="CD77" i="2"/>
  <c r="CD147" i="2"/>
  <c r="CD95" i="2"/>
  <c r="CD37" i="2"/>
  <c r="CD35" i="2"/>
  <c r="CD56" i="2"/>
  <c r="CD105" i="2"/>
  <c r="CD92" i="2"/>
  <c r="CD7" i="2"/>
  <c r="CD175" i="2"/>
  <c r="CD202" i="2"/>
  <c r="CD163" i="2"/>
  <c r="CD203" i="2"/>
  <c r="CD62" i="2"/>
  <c r="CD164" i="2"/>
  <c r="CD178" i="2"/>
  <c r="CD156" i="2"/>
  <c r="CD129" i="2"/>
  <c r="CD58" i="2"/>
  <c r="CD114" i="2"/>
  <c r="CD195" i="2"/>
  <c r="CD103" i="2"/>
  <c r="CD40" i="2"/>
  <c r="CD106" i="2"/>
  <c r="CD91" i="2"/>
  <c r="CD141" i="2"/>
  <c r="CD154" i="2"/>
  <c r="CD125" i="2"/>
  <c r="CD19" i="2"/>
  <c r="CD88" i="2"/>
  <c r="CD3" i="2"/>
  <c r="C9" i="4" s="1"/>
  <c r="E9" i="4" s="1"/>
  <c r="F9" i="4" s="1"/>
  <c r="G9" i="4" s="1"/>
  <c r="L9" i="4" s="1"/>
  <c r="CD101" i="2"/>
  <c r="CD16" i="2"/>
  <c r="CD89" i="2"/>
  <c r="CD120" i="2"/>
  <c r="CD12" i="2"/>
  <c r="CD11" i="2"/>
  <c r="CD131" i="2"/>
  <c r="CD117" i="2"/>
  <c r="CD51" i="2"/>
  <c r="CD186" i="2"/>
  <c r="CD188" i="2"/>
  <c r="CD8" i="2"/>
  <c r="CD34" i="2"/>
  <c r="CD128" i="2"/>
  <c r="CD55" i="2"/>
  <c r="CD194" i="2"/>
  <c r="CD151" i="2"/>
  <c r="CD153" i="2"/>
  <c r="CD36" i="2"/>
  <c r="CD180" i="2"/>
  <c r="CD72" i="2"/>
  <c r="CD193" i="2"/>
  <c r="CD150" i="2"/>
  <c r="CD155" i="2"/>
  <c r="CD63" i="2"/>
  <c r="CD200" i="2"/>
  <c r="CD192" i="2"/>
  <c r="CD99" i="2"/>
  <c r="CD44" i="2"/>
  <c r="CD54" i="2"/>
  <c r="CD97" i="2"/>
  <c r="CD136" i="2"/>
  <c r="CD24" i="2"/>
  <c r="CD79" i="2"/>
  <c r="CD109" i="2"/>
  <c r="CD191" i="2"/>
  <c r="CD165" i="2"/>
  <c r="CD22" i="2"/>
  <c r="CD172" i="2"/>
  <c r="CD39" i="2"/>
  <c r="CD152" i="2"/>
  <c r="CD47" i="2"/>
  <c r="CD118" i="2"/>
  <c r="CD49" i="2"/>
  <c r="CD183" i="2"/>
  <c r="CD170" i="2"/>
  <c r="CD80" i="2"/>
  <c r="CD4" i="2"/>
  <c r="CD190" i="2"/>
  <c r="CD25" i="2"/>
  <c r="CD133" i="2"/>
  <c r="CD108" i="2"/>
  <c r="CD116" i="2"/>
  <c r="CD167" i="2"/>
  <c r="CD93" i="2"/>
  <c r="CD144" i="2"/>
  <c r="CD130" i="2"/>
  <c r="CD13" i="2"/>
  <c r="CD121" i="2"/>
  <c r="CD30" i="2"/>
  <c r="CD176" i="2"/>
  <c r="CD198" i="2"/>
  <c r="CD122" i="2"/>
  <c r="CD137" i="2"/>
  <c r="CD32" i="2"/>
  <c r="CD196" i="2"/>
  <c r="CD10" i="2"/>
  <c r="CD111" i="2"/>
  <c r="CD82" i="2"/>
  <c r="CD107" i="2"/>
  <c r="CD185" i="2"/>
  <c r="CD173" i="2"/>
  <c r="CD85" i="2"/>
  <c r="CD197" i="2"/>
  <c r="CD86" i="2"/>
  <c r="CD61" i="2"/>
  <c r="CD46" i="2"/>
  <c r="CD139" i="2"/>
  <c r="CD171" i="2"/>
  <c r="CD189" i="2"/>
  <c r="CD52" i="2"/>
  <c r="CD59" i="2"/>
  <c r="CD160" i="2"/>
  <c r="CD38" i="2"/>
  <c r="CD87" i="2"/>
  <c r="CD18" i="2"/>
  <c r="CD199" i="2"/>
  <c r="CD78" i="2"/>
  <c r="CD50" i="2"/>
  <c r="CD65" i="2"/>
  <c r="CD9" i="2"/>
  <c r="CD148" i="2"/>
  <c r="CD76" i="2"/>
  <c r="CD181" i="2"/>
  <c r="CD149" i="2"/>
  <c r="CD6" i="2"/>
  <c r="CD179" i="2"/>
  <c r="CD132" i="2"/>
  <c r="CD14" i="2"/>
  <c r="CD45" i="2"/>
  <c r="CD142" i="2"/>
  <c r="CD66" i="2"/>
  <c r="CD73" i="2"/>
  <c r="CD127" i="2"/>
  <c r="CD94" i="2"/>
  <c r="CD17" i="2"/>
  <c r="CD28" i="2"/>
  <c r="CD75" i="2"/>
  <c r="CD84" i="2"/>
  <c r="CD158" i="2"/>
  <c r="CD134" i="2"/>
  <c r="CD177" i="2"/>
  <c r="CD169" i="2"/>
  <c r="CD29" i="2"/>
  <c r="CD26" i="2"/>
  <c r="CD48" i="2"/>
  <c r="CD135" i="2"/>
  <c r="CD143" i="2"/>
  <c r="CD5" i="2"/>
  <c r="CD53" i="2"/>
  <c r="CD119" i="2"/>
  <c r="CD69" i="2"/>
  <c r="CD166" i="2"/>
  <c r="CD57" i="2"/>
  <c r="CD100" i="2"/>
  <c r="CD126" i="2"/>
  <c r="CD187" i="2"/>
  <c r="CD15" i="2"/>
  <c r="CD201" i="2"/>
  <c r="CD23" i="2"/>
  <c r="CD71" i="2"/>
  <c r="CD43" i="2"/>
  <c r="CD96" i="2"/>
  <c r="CD159" i="2"/>
  <c r="CD31" i="2"/>
  <c r="CD184" i="2"/>
  <c r="CD41" i="2"/>
  <c r="CD145" i="2"/>
  <c r="CD21" i="2"/>
  <c r="CD81" i="2"/>
  <c r="CD182" i="2"/>
  <c r="CD33" i="2"/>
  <c r="CD140" i="2"/>
  <c r="CD110" i="2"/>
  <c r="CD83" i="2"/>
  <c r="CD115" i="2"/>
  <c r="CD112" i="2"/>
  <c r="CD20" i="2"/>
  <c r="CD157" i="2"/>
  <c r="CD113" i="2"/>
  <c r="CD67" i="2"/>
  <c r="CD162" i="2"/>
  <c r="CD90" i="2"/>
  <c r="CD161" i="2"/>
  <c r="CD124" i="2"/>
  <c r="CD123" i="2"/>
  <c r="CD98" i="2"/>
  <c r="CD168" i="2"/>
  <c r="CD138" i="2"/>
  <c r="CD68" i="2"/>
  <c r="CD146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5" i="2"/>
  <c r="BI30" i="2"/>
  <c r="BI93" i="2"/>
  <c r="BI199" i="2"/>
  <c r="BI177" i="2"/>
  <c r="BI185" i="2"/>
  <c r="BI173" i="2"/>
  <c r="BI38" i="2"/>
  <c r="BI150" i="2"/>
  <c r="BI122" i="2"/>
  <c r="BI170" i="2"/>
  <c r="BI102" i="2"/>
  <c r="BI126" i="2"/>
  <c r="BI120" i="2"/>
  <c r="BI31" i="2"/>
  <c r="BI139" i="2"/>
  <c r="BI56" i="2"/>
  <c r="BI92" i="2"/>
  <c r="BI46" i="2"/>
  <c r="BI10" i="2"/>
  <c r="BI5" i="2"/>
  <c r="BI181" i="2"/>
  <c r="BI169" i="2"/>
  <c r="BI81" i="2"/>
  <c r="BI200" i="2"/>
  <c r="BI138" i="2"/>
  <c r="BI83" i="2"/>
  <c r="BI6" i="2"/>
  <c r="BI115" i="2"/>
  <c r="BI127" i="2"/>
  <c r="BI35" i="2"/>
  <c r="BI82" i="2"/>
  <c r="BI114" i="2"/>
  <c r="BI41" i="2"/>
  <c r="BI151" i="2"/>
  <c r="BI131" i="2"/>
  <c r="BI27" i="2"/>
  <c r="BI159" i="2"/>
  <c r="BI179" i="2"/>
  <c r="BI55" i="2"/>
  <c r="BI137" i="2"/>
  <c r="BI157" i="2"/>
  <c r="BI23" i="2"/>
  <c r="BI180" i="2"/>
  <c r="BI75" i="2"/>
  <c r="BI28" i="2"/>
  <c r="BI26" i="2"/>
  <c r="BI40" i="2"/>
  <c r="BI172" i="2"/>
  <c r="BI59" i="2"/>
  <c r="BI73" i="2"/>
  <c r="BI44" i="2"/>
  <c r="BI113" i="2"/>
  <c r="BI143" i="2"/>
  <c r="BI65" i="2"/>
  <c r="BI24" i="2"/>
  <c r="BI60" i="2"/>
  <c r="BI16" i="2"/>
  <c r="BI98" i="2"/>
  <c r="BI142" i="2"/>
  <c r="BI202" i="2"/>
  <c r="BI86" i="2"/>
  <c r="BI96" i="2"/>
  <c r="BI140" i="2"/>
  <c r="BI61" i="2"/>
  <c r="BI171" i="2"/>
  <c r="BI63" i="2"/>
  <c r="BI124" i="2"/>
  <c r="BI77" i="2"/>
  <c r="BI123" i="2"/>
  <c r="BI84" i="2"/>
  <c r="BI144" i="2"/>
  <c r="BI162" i="2"/>
  <c r="BI125" i="2"/>
  <c r="BI203" i="2"/>
  <c r="BI45" i="2"/>
  <c r="BI195" i="2"/>
  <c r="BI43" i="2"/>
  <c r="BI107" i="2"/>
  <c r="BI70" i="2"/>
  <c r="BI192" i="2"/>
  <c r="BI94" i="2"/>
  <c r="BI153" i="2"/>
  <c r="BI155" i="2"/>
  <c r="BI164" i="2"/>
  <c r="BI99" i="2"/>
  <c r="BI190" i="2"/>
  <c r="BI39" i="2"/>
  <c r="BI58" i="2"/>
  <c r="BI141" i="2"/>
  <c r="BI175" i="2"/>
  <c r="BI88" i="2"/>
  <c r="BI112" i="2"/>
  <c r="BI97" i="2"/>
  <c r="BI201" i="2"/>
  <c r="BI25" i="2"/>
  <c r="BI53" i="2"/>
  <c r="BI198" i="2"/>
  <c r="BI50" i="2"/>
  <c r="BI57" i="2"/>
  <c r="BI111" i="2"/>
  <c r="BI146" i="2"/>
  <c r="BI168" i="2"/>
  <c r="BI78" i="2"/>
  <c r="BI163" i="2"/>
  <c r="BI79" i="2"/>
  <c r="BI152" i="2"/>
  <c r="BI52" i="2"/>
  <c r="BI197" i="2"/>
  <c r="BI108" i="2"/>
  <c r="BI12" i="2"/>
  <c r="BI37" i="2"/>
  <c r="BI90" i="2"/>
  <c r="BI158" i="2"/>
  <c r="BI36" i="2"/>
  <c r="BI135" i="2"/>
  <c r="BI101" i="2"/>
  <c r="BI14" i="2"/>
  <c r="BI95" i="2"/>
  <c r="BI129" i="2"/>
  <c r="BI104" i="2"/>
  <c r="BI64" i="2"/>
  <c r="BI132" i="2"/>
  <c r="BI34" i="2"/>
  <c r="BI20" i="2"/>
  <c r="BI62" i="2"/>
  <c r="BI106" i="2"/>
  <c r="BI178" i="2"/>
  <c r="BI167" i="2"/>
  <c r="BI69" i="2"/>
  <c r="BI128" i="2"/>
  <c r="BI91" i="2"/>
  <c r="BI100" i="2"/>
  <c r="BI21" i="2"/>
  <c r="BI191" i="2"/>
  <c r="BI71" i="2"/>
  <c r="BI161" i="2"/>
  <c r="BI121" i="2"/>
  <c r="BI174" i="2"/>
  <c r="BI4" i="2"/>
  <c r="BI15" i="2"/>
  <c r="BI68" i="2"/>
  <c r="BI22" i="2"/>
  <c r="BI9" i="2"/>
  <c r="BI49" i="2"/>
  <c r="BI32" i="2"/>
  <c r="BI160" i="2"/>
  <c r="BI67" i="2"/>
  <c r="BI18" i="2"/>
  <c r="BI154" i="2"/>
  <c r="BI8" i="2"/>
  <c r="BI74" i="2"/>
  <c r="BI87" i="2"/>
  <c r="BI136" i="2"/>
  <c r="BI33" i="2"/>
  <c r="BI149" i="2"/>
  <c r="BI117" i="2"/>
  <c r="BI130" i="2"/>
  <c r="BI189" i="2"/>
  <c r="BI29" i="2"/>
  <c r="BI118" i="2"/>
  <c r="BI134" i="2"/>
  <c r="BI176" i="2"/>
  <c r="BI105" i="2"/>
  <c r="BI11" i="2"/>
  <c r="BI110" i="2"/>
  <c r="BI148" i="2"/>
  <c r="BI89" i="2"/>
  <c r="BI196" i="2"/>
  <c r="BI116" i="2"/>
  <c r="BI76" i="2"/>
  <c r="BI103" i="2"/>
  <c r="BI182" i="2"/>
  <c r="BI72" i="2"/>
  <c r="BI186" i="2"/>
  <c r="BI166" i="2"/>
  <c r="BI188" i="2"/>
  <c r="BI54" i="2"/>
  <c r="BI133" i="2"/>
  <c r="BI19" i="2"/>
  <c r="BI184" i="2"/>
  <c r="BI51" i="2"/>
  <c r="BI3" i="2"/>
  <c r="C8" i="4" s="1"/>
  <c r="E8" i="4" s="1"/>
  <c r="F8" i="4" s="1"/>
  <c r="G8" i="4" s="1"/>
  <c r="L8" i="4" s="1"/>
  <c r="BI48" i="2"/>
  <c r="BI183" i="2"/>
  <c r="BI156" i="2"/>
  <c r="BI17" i="2"/>
  <c r="BI194" i="2"/>
  <c r="BI66" i="2"/>
  <c r="BI80" i="2"/>
  <c r="BI42" i="2"/>
  <c r="BI85" i="2"/>
  <c r="BI187" i="2"/>
  <c r="BI7" i="2"/>
  <c r="BI13" i="2"/>
  <c r="BI119" i="2"/>
  <c r="BI109" i="2"/>
  <c r="BI145" i="2"/>
  <c r="BI147" i="2"/>
  <c r="BI19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<sst xmlns="http://schemas.openxmlformats.org/spreadsheetml/2006/main" count="1174" uniqueCount="326">
  <si>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</si>
  <si>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</si>
  <si>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</si>
  <si>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</si>
  <si>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</si>
  <si>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</si>
  <si>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</si>
  <si>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</si>
  <si>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</si>
  <si>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</si>
  <si>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</si>
  <si>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</si>
  <si>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</si>
  <si>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</si>
  <si>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</si>
  <si>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</si>
  <si>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</si>
  <si>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</si>
  <si>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</si>
  <si>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</si>
  <si>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</si>
  <si>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</si>
  <si>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</si>
  <si>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</si>
  <si>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</si>
  <si>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</si>
  <si>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</si>
  <si>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</si>
  <si>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</si>
  <si>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</si>
  <si>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</si>
  <si>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</si>
  <si>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</si>
  <si>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</si>
  <si>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</si>
  <si>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</si>
  <si>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</si>
  <si>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</si>
  <si>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</si>
  <si>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</si>
  <si>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</si>
  <si>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</si>
  <si>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</si>
  <si>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</si>
  <si>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</si>
  <si>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</si>
  <si>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</si>
  <si>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</si>
  <si>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</si>
  <si>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</si>
  <si>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</si>
  <si>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</si>
  <si>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</si>
  <si>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</si>
  <si>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</si>
  <si>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</si>
  <si>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</si>
  <si>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</si>
  <si>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</si>
  <si>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</si>
  <si>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</si>
  <si>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</si>
  <si>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</si>
  <si>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</si>
  <si>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</si>
  <si>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</si>
  <si>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</si>
  <si>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</si>
  <si>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</si>
  <si>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</si>
  <si>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</si>
  <si>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</si>
  <si>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</si>
  <si>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</si>
  <si>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</si>
  <si>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</si>
  <si>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</si>
  <si>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</si>
  <si>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</si>
  <si>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</si>
  <si>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</si>
  <si>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</si>
  <si>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</si>
  <si>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</si>
  <si>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</si>
  <si>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</si>
  <si>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</si>
  <si>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</si>
  <si>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</si>
  <si>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</si>
  <si>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</si>
  <si>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</si>
  <si>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</si>
  <si>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</si>
  <si>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</si>
  <si>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</si>
  <si>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</si>
  <si>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</si>
  <si>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</si>
  <si>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</si>
  <si>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</si>
  <si>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</si>
  <si>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</si>
  <si>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</si>
  <si>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</si>
  <si>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</si>
  <si>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</si>
  <si>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</si>
  <si>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</si>
  <si>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</si>
  <si>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</si>
  <si>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</si>
  <si>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</si>
  <si>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</si>
  <si>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</si>
  <si>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</si>
  <si>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</si>
  <si>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</si>
  <si>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</si>
  <si>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</si>
  <si>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</si>
  <si>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</si>
  <si>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</si>
  <si>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</si>
  <si>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</si>
  <si>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</si>
  <si>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</si>
  <si>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</si>
  <si>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</si>
  <si>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</si>
  <si>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</si>
  <si>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</si>
  <si>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</si>
  <si>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</si>
  <si>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</si>
  <si>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</si>
  <si>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</si>
  <si>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</si>
  <si>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</si>
  <si>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</si>
  <si>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</si>
  <si>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</si>
  <si>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</si>
  <si>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</si>
  <si>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</si>
  <si>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</si>
  <si>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</si>
  <si>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</si>
  <si>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</si>
  <si>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</si>
  <si>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</si>
  <si>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</si>
  <si>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</si>
  <si>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</si>
  <si>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</si>
  <si>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</si>
  <si>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</si>
  <si>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</si>
  <si>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</si>
  <si>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</si>
  <si>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</si>
  <si>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</si>
  <si>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</si>
  <si>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</si>
  <si>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</si>
  <si>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</si>
  <si>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</si>
  <si>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</si>
  <si>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</si>
  <si>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</si>
  <si>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</si>
  <si>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</si>
  <si>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</si>
  <si>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</si>
  <si>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</si>
  <si>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</si>
  <si>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</si>
  <si>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</si>
  <si>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</si>
  <si>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</si>
  <si>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</si>
  <si>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</si>
  <si>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</si>
  <si>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</si>
  <si>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</si>
  <si>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</si>
  <si>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</si>
  <si>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</si>
  <si>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</si>
  <si>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</si>
  <si>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</si>
  <si>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</si>
  <si>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</si>
  <si>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</si>
  <si>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</si>
  <si>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</si>
  <si>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</si>
  <si>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</si>
  <si>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</si>
  <si>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</si>
  <si>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</si>
  <si>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</si>
  <si>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</si>
  <si>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</si>
  <si>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</si>
  <si>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</si>
  <si>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</si>
  <si>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</si>
  <si>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</si>
  <si>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</si>
  <si>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</si>
  <si>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</si>
  <si>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</si>
  <si>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</si>
  <si>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</si>
  <si>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</si>
  <si>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</si>
  <si>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</si>
  <si>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</si>
  <si>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</si>
  <si>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</si>
  <si>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</si>
  <si>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</si>
  <si>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</si>
  <si>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</si>
  <si>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</si>
  <si>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</si>
  <si>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</si>
  <si>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</si>
  <si>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</si>
  <si>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</si>
  <si>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</si>
  <si>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</si>
  <si>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</si>
  <si>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</si>
  <si>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</si>
  <si>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</si>
  <si>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</si>
  <si>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</si>
  <si>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</si>
  <si>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</si>
  <si>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</si>
  <si>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</si>
  <si>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</si>
  <si>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</si>
  <si>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</si>
  <si>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</si>
  <si>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</si>
  <si>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</si>
  <si>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</si>
  <si>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</si>
  <si>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</si>
  <si>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</si>
  <si>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</si>
  <si>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</si>
  <si>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</si>
  <si>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</si>
  <si>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</si>
  <si>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</si>
  <si>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</si>
  <si>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</si>
  <si>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</si>
  <si>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</si>
  <si>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</si>
  <si>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</si>
  <si>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</si>
  <si>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</si>
  <si>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</si>
  <si>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</si>
  <si>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</si>
  <si>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</si>
  <si>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</si>
  <si>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</si>
  <si>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</si>
  <si>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</si>
  <si>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</si>
  <si>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</si>
  <si>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</si>
  <si>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</si>
  <si>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</si>
  <si>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</si>
  <si>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</si>
  <si>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</si>
  <si>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</si>
  <si>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</si>
  <si>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</si>
  <si>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</si>
  <si>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</si>
  <si>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</si>
  <si>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</si>
  <si>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</si>
  <si>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</si>
  <si>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</si>
  <si>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</si>
  <si>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</si>
  <si>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</si>
  <si>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</si>
  <si>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</si>
  <si>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</si>
  <si>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</si>
  <si>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</si>
  <si>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</si>
  <si>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</si>
  <si>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</si>
  <si>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</si>
  <si>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</si>
  <si>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</si>
  <si>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</si>
  <si>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</si>
  <si>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</si>
  <si>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</si>
  <si>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</si>
  <si>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</si>
  <si>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</si>
  <si>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</si>
  <si>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</si>
  <si>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</si>
  <si>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</si>
  <si>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</si>
  <si>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</si>
  <si>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</si>
  <si>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</si>
  <si>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</si>
  <si>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</si>
  <si>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europeen larch class 10 p,151</t>
  </si>
  <si>
    <t>sycamor class 10 p,195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</si>
</sst>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0.xml"/><Relationship Id="rId18" Type="http://schemas.microsoft.com/office/2017/10/relationships/person" Target="persons/person5.xml"/><Relationship Id="rId26" Type="http://schemas.microsoft.com/office/2017/10/relationships/person" Target="persons/person13.xml"/><Relationship Id="rId3" Type="http://schemas.openxmlformats.org/officeDocument/2006/relationships/worksheet" Target="worksheets/sheet3.xml"/><Relationship Id="rId21" Type="http://schemas.microsoft.com/office/2017/10/relationships/person" Target="persons/person8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microsoft.com/office/2017/10/relationships/person" Target="persons/person4.xml"/><Relationship Id="rId25" Type="http://schemas.microsoft.com/office/2017/10/relationships/person" Target="persons/person11.xml"/><Relationship Id="rId2" Type="http://schemas.openxmlformats.org/officeDocument/2006/relationships/worksheet" Target="worksheets/sheet2.xml"/><Relationship Id="rId16" Type="http://schemas.microsoft.com/office/2017/10/relationships/person" Target="persons/person2.xml"/><Relationship Id="rId20" Type="http://schemas.microsoft.com/office/2017/10/relationships/person" Target="persons/person6.xml"/><Relationship Id="rId29" Type="http://schemas.microsoft.com/office/2017/10/relationships/person" Target="persons/person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24" Type="http://schemas.microsoft.com/office/2017/10/relationships/person" Target="persons/person10.xml"/><Relationship Id="rId5" Type="http://schemas.openxmlformats.org/officeDocument/2006/relationships/worksheet" Target="worksheets/sheet5.xml"/><Relationship Id="rId15" Type="http://schemas.microsoft.com/office/2017/10/relationships/person" Target="persons/person1.xml"/><Relationship Id="rId23" Type="http://schemas.microsoft.com/office/2017/10/relationships/person" Target="persons/person9.xml"/><Relationship Id="rId28" Type="http://schemas.microsoft.com/office/2017/10/relationships/person" Target="persons/person14.xml"/><Relationship Id="rId10" Type="http://schemas.openxmlformats.org/officeDocument/2006/relationships/sharedStrings" Target="sharedStrings.xml"/><Relationship Id="rId19" Type="http://schemas.microsoft.com/office/2017/10/relationships/person" Target="persons/person7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27" Type="http://schemas.microsoft.com/office/2017/10/relationships/person" Target="persons/person16.xml"/><Relationship Id="rId22" Type="http://schemas.microsoft.com/office/2017/10/relationships/person" Target="persons/person12.xml"/><Relationship Id="rId14" Type="http://schemas.microsoft.com/office/2017/10/relationships/person" Target="persons/person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224.67206859082322</c:v>
                </c:pt>
                <c:pt idx="21">
                  <c:v>248.54511902776062</c:v>
                </c:pt>
                <c:pt idx="22">
                  <c:v>272.36613794919555</c:v>
                </c:pt>
                <c:pt idx="23">
                  <c:v>296.14031411213193</c:v>
                </c:pt>
                <c:pt idx="24">
                  <c:v>319.87193482934862</c:v>
                </c:pt>
                <c:pt idx="25">
                  <c:v>343.56459927341751</c:v>
                </c:pt>
                <c:pt idx="26">
                  <c:v>312.49752550009651</c:v>
                </c:pt>
                <c:pt idx="27">
                  <c:v>345.95173633598512</c:v>
                </c:pt>
                <c:pt idx="28">
                  <c:v>379.33490432822936</c:v>
                </c:pt>
                <c:pt idx="29">
                  <c:v>412.6541529897068</c:v>
                </c:pt>
                <c:pt idx="30">
                  <c:v>445.91536201773806</c:v>
                </c:pt>
                <c:pt idx="31">
                  <c:v>475.09373754768097</c:v>
                </c:pt>
                <c:pt idx="32">
                  <c:v>504.23399794855044</c:v>
                </c:pt>
                <c:pt idx="33">
                  <c:v>533.33865266632301</c:v>
                </c:pt>
                <c:pt idx="34">
                  <c:v>562.40991523510161</c:v>
                </c:pt>
                <c:pt idx="35">
                  <c:v>591.44975196766313</c:v>
                </c:pt>
                <c:pt idx="36">
                  <c:v>475.56786051841237</c:v>
                </c:pt>
                <c:pt idx="37">
                  <c:v>505.18103819748308</c:v>
                </c:pt>
                <c:pt idx="38">
                  <c:v>534.75752089257219</c:v>
                </c:pt>
                <c:pt idx="39">
                  <c:v>564.29962062366326</c:v>
                </c:pt>
                <c:pt idx="40">
                  <c:v>593.80938789049594</c:v>
                </c:pt>
                <c:pt idx="41">
                  <c:v>622.11004690432117</c:v>
                </c:pt>
                <c:pt idx="42">
                  <c:v>650.3840530259705</c:v>
                </c:pt>
                <c:pt idx="43">
                  <c:v>678.63272618537405</c:v>
                </c:pt>
                <c:pt idx="44">
                  <c:v>706.85726762405113</c:v>
                </c:pt>
                <c:pt idx="45">
                  <c:v>735.05877497379925</c:v>
                </c:pt>
                <c:pt idx="46">
                  <c:v>597.8203216430677</c:v>
                </c:pt>
                <c:pt idx="47">
                  <c:v>623.05293550667534</c:v>
                </c:pt>
                <c:pt idx="48">
                  <c:v>648.26439695938961</c:v>
                </c:pt>
                <c:pt idx="49">
                  <c:v>673.45564330071488</c:v>
                </c:pt>
                <c:pt idx="50">
                  <c:v>698.62753608242053</c:v>
                </c:pt>
                <c:pt idx="51">
                  <c:v>717.90554456642974</c:v>
                </c:pt>
                <c:pt idx="52">
                  <c:v>737.17298807402994</c:v>
                </c:pt>
                <c:pt idx="53">
                  <c:v>756.43018133279247</c:v>
                </c:pt>
                <c:pt idx="54">
                  <c:v>775.67742175664989</c:v>
                </c:pt>
                <c:pt idx="55">
                  <c:v>794.91499081298514</c:v>
                </c:pt>
                <c:pt idx="56">
                  <c:v>710.85385738964942</c:v>
                </c:pt>
                <c:pt idx="57">
                  <c:v>724.25085366682197</c:v>
                </c:pt>
                <c:pt idx="58">
                  <c:v>737.64279642681743</c:v>
                </c:pt>
                <c:pt idx="59">
                  <c:v>751.02979028364678</c:v>
                </c:pt>
                <c:pt idx="60">
                  <c:v>764.41193582037283</c:v>
                </c:pt>
                <c:pt idx="61">
                  <c:v>730.36007957049412</c:v>
                </c:pt>
                <c:pt idx="62">
                  <c:v>730.36007957049412</c:v>
                </c:pt>
                <c:pt idx="63">
                  <c:v>730.36007957049412</c:v>
                </c:pt>
                <c:pt idx="64">
                  <c:v>730.36007957049412</c:v>
                </c:pt>
                <c:pt idx="65">
                  <c:v>730.36007957049412</c:v>
                </c:pt>
                <c:pt idx="66">
                  <c:v>730.36007957049412</c:v>
                </c:pt>
                <c:pt idx="67">
                  <c:v>730.36007957049412</c:v>
                </c:pt>
                <c:pt idx="68">
                  <c:v>730.36007957049412</c:v>
                </c:pt>
                <c:pt idx="69">
                  <c:v>730.36007957049412</c:v>
                </c:pt>
                <c:pt idx="70">
                  <c:v>730.36007957049412</c:v>
                </c:pt>
                <c:pt idx="71">
                  <c:v>730.36007957049412</c:v>
                </c:pt>
                <c:pt idx="72">
                  <c:v>730.36007957049412</c:v>
                </c:pt>
                <c:pt idx="73">
                  <c:v>730.36007957049412</c:v>
                </c:pt>
                <c:pt idx="74">
                  <c:v>730.36007957049412</c:v>
                </c:pt>
                <c:pt idx="75">
                  <c:v>730.36007957049412</c:v>
                </c:pt>
                <c:pt idx="76">
                  <c:v>730.36007957049412</c:v>
                </c:pt>
                <c:pt idx="77">
                  <c:v>730.36007957049412</c:v>
                </c:pt>
                <c:pt idx="78">
                  <c:v>730.36007957049412</c:v>
                </c:pt>
                <c:pt idx="79">
                  <c:v>730.36007957049412</c:v>
                </c:pt>
                <c:pt idx="80">
                  <c:v>730.36007957049412</c:v>
                </c:pt>
                <c:pt idx="81">
                  <c:v>730.36007957049412</c:v>
                </c:pt>
                <c:pt idx="82">
                  <c:v>730.36007957049412</c:v>
                </c:pt>
                <c:pt idx="83">
                  <c:v>730.36007957049412</c:v>
                </c:pt>
                <c:pt idx="84">
                  <c:v>730.36007957049412</c:v>
                </c:pt>
                <c:pt idx="85">
                  <c:v>730.36007957049412</c:v>
                </c:pt>
                <c:pt idx="86">
                  <c:v>730.36007957049412</c:v>
                </c:pt>
                <c:pt idx="87">
                  <c:v>730.36007957049412</c:v>
                </c:pt>
                <c:pt idx="88">
                  <c:v>730.36007957049412</c:v>
                </c:pt>
                <c:pt idx="89">
                  <c:v>730.36007957049412</c:v>
                </c:pt>
                <c:pt idx="90">
                  <c:v>730.36007957049412</c:v>
                </c:pt>
                <c:pt idx="91">
                  <c:v>730.36007957049412</c:v>
                </c:pt>
                <c:pt idx="92">
                  <c:v>730.36007957049412</c:v>
                </c:pt>
                <c:pt idx="93">
                  <c:v>730.36007957049412</c:v>
                </c:pt>
                <c:pt idx="94">
                  <c:v>730.36007957049412</c:v>
                </c:pt>
                <c:pt idx="95">
                  <c:v>730.36007957049412</c:v>
                </c:pt>
                <c:pt idx="96">
                  <c:v>730.36007957049412</c:v>
                </c:pt>
                <c:pt idx="97">
                  <c:v>730.36007957049412</c:v>
                </c:pt>
                <c:pt idx="98">
                  <c:v>730.36007957049412</c:v>
                </c:pt>
                <c:pt idx="99">
                  <c:v>730.36007957049412</c:v>
                </c:pt>
                <c:pt idx="100">
                  <c:v>730.36007957049412</c:v>
                </c:pt>
                <c:pt idx="101">
                  <c:v>730.36007957049412</c:v>
                </c:pt>
                <c:pt idx="102">
                  <c:v>730.36007957049412</c:v>
                </c:pt>
                <c:pt idx="103">
                  <c:v>730.36007957049412</c:v>
                </c:pt>
                <c:pt idx="104">
                  <c:v>730.36007957049412</c:v>
                </c:pt>
                <c:pt idx="105">
                  <c:v>730.36007957049412</c:v>
                </c:pt>
                <c:pt idx="106">
                  <c:v>730.36007957049412</c:v>
                </c:pt>
                <c:pt idx="107">
                  <c:v>730.36007957049412</c:v>
                </c:pt>
                <c:pt idx="108">
                  <c:v>730.36007957049412</c:v>
                </c:pt>
                <c:pt idx="109">
                  <c:v>730.36007957049412</c:v>
                </c:pt>
                <c:pt idx="110">
                  <c:v>730.36007957049412</c:v>
                </c:pt>
                <c:pt idx="111">
                  <c:v>730.36007957049412</c:v>
                </c:pt>
                <c:pt idx="112">
                  <c:v>730.36007957049412</c:v>
                </c:pt>
                <c:pt idx="113">
                  <c:v>730.36007957049412</c:v>
                </c:pt>
                <c:pt idx="114">
                  <c:v>730.36007957049412</c:v>
                </c:pt>
                <c:pt idx="115">
                  <c:v>730.36007957049412</c:v>
                </c:pt>
                <c:pt idx="116">
                  <c:v>730.36007957049412</c:v>
                </c:pt>
                <c:pt idx="117">
                  <c:v>730.36007957049412</c:v>
                </c:pt>
                <c:pt idx="118">
                  <c:v>730.36007957049412</c:v>
                </c:pt>
                <c:pt idx="119">
                  <c:v>730.36007957049412</c:v>
                </c:pt>
                <c:pt idx="120">
                  <c:v>730.36007957049412</c:v>
                </c:pt>
                <c:pt idx="121">
                  <c:v>730.36007957049412</c:v>
                </c:pt>
                <c:pt idx="122">
                  <c:v>730.36007957049412</c:v>
                </c:pt>
                <c:pt idx="123">
                  <c:v>730.36007957049412</c:v>
                </c:pt>
                <c:pt idx="124">
                  <c:v>730.36007957049412</c:v>
                </c:pt>
                <c:pt idx="125">
                  <c:v>730.36007957049412</c:v>
                </c:pt>
                <c:pt idx="126">
                  <c:v>730.36007957049412</c:v>
                </c:pt>
                <c:pt idx="127">
                  <c:v>730.36007957049412</c:v>
                </c:pt>
                <c:pt idx="128">
                  <c:v>730.36007957049412</c:v>
                </c:pt>
                <c:pt idx="129">
                  <c:v>730.36007957049412</c:v>
                </c:pt>
                <c:pt idx="130">
                  <c:v>730.36007957049412</c:v>
                </c:pt>
                <c:pt idx="131">
                  <c:v>730.36007957049412</c:v>
                </c:pt>
                <c:pt idx="132">
                  <c:v>730.36007957049412</c:v>
                </c:pt>
                <c:pt idx="133">
                  <c:v>730.36007957049412</c:v>
                </c:pt>
                <c:pt idx="134">
                  <c:v>730.36007957049412</c:v>
                </c:pt>
                <c:pt idx="135">
                  <c:v>730.36007957049412</c:v>
                </c:pt>
                <c:pt idx="136">
                  <c:v>730.36007957049412</c:v>
                </c:pt>
                <c:pt idx="137">
                  <c:v>730.36007957049412</c:v>
                </c:pt>
                <c:pt idx="138">
                  <c:v>730.36007957049412</c:v>
                </c:pt>
                <c:pt idx="139">
                  <c:v>730.36007957049412</c:v>
                </c:pt>
                <c:pt idx="140">
                  <c:v>730.36007957049412</c:v>
                </c:pt>
                <c:pt idx="141">
                  <c:v>730.36007957049412</c:v>
                </c:pt>
                <c:pt idx="142">
                  <c:v>730.36007957049412</c:v>
                </c:pt>
                <c:pt idx="143">
                  <c:v>730.36007957049412</c:v>
                </c:pt>
                <c:pt idx="144">
                  <c:v>730.36007957049412</c:v>
                </c:pt>
                <c:pt idx="145">
                  <c:v>730.36007957049412</c:v>
                </c:pt>
                <c:pt idx="146">
                  <c:v>730.36007957049412</c:v>
                </c:pt>
                <c:pt idx="147">
                  <c:v>730.36007957049412</c:v>
                </c:pt>
                <c:pt idx="148">
                  <c:v>730.36007957049412</c:v>
                </c:pt>
                <c:pt idx="149">
                  <c:v>730.36007957049412</c:v>
                </c:pt>
                <c:pt idx="150">
                  <c:v>730.36007957049412</c:v>
                </c:pt>
                <c:pt idx="151">
                  <c:v>730.36007957049412</c:v>
                </c:pt>
                <c:pt idx="152">
                  <c:v>730.36007957049412</c:v>
                </c:pt>
                <c:pt idx="153">
                  <c:v>730.36007957049412</c:v>
                </c:pt>
                <c:pt idx="154">
                  <c:v>730.36007957049412</c:v>
                </c:pt>
                <c:pt idx="155">
                  <c:v>730.36007957049412</c:v>
                </c:pt>
                <c:pt idx="156">
                  <c:v>730.36007957049412</c:v>
                </c:pt>
                <c:pt idx="157">
                  <c:v>730.36007957049412</c:v>
                </c:pt>
                <c:pt idx="158">
                  <c:v>730.36007957049412</c:v>
                </c:pt>
                <c:pt idx="159">
                  <c:v>730.36007957049412</c:v>
                </c:pt>
                <c:pt idx="160">
                  <c:v>730.36007957049412</c:v>
                </c:pt>
                <c:pt idx="161">
                  <c:v>730.36007957049412</c:v>
                </c:pt>
                <c:pt idx="162">
                  <c:v>730.36007957049412</c:v>
                </c:pt>
                <c:pt idx="163">
                  <c:v>730.36007957049412</c:v>
                </c:pt>
                <c:pt idx="164">
                  <c:v>730.36007957049412</c:v>
                </c:pt>
                <c:pt idx="165">
                  <c:v>730.36007957049412</c:v>
                </c:pt>
                <c:pt idx="166">
                  <c:v>730.36007957049412</c:v>
                </c:pt>
                <c:pt idx="167">
                  <c:v>730.36007957049412</c:v>
                </c:pt>
                <c:pt idx="168">
                  <c:v>730.36007957049412</c:v>
                </c:pt>
                <c:pt idx="169">
                  <c:v>730.36007957049412</c:v>
                </c:pt>
                <c:pt idx="170">
                  <c:v>730.36007957049412</c:v>
                </c:pt>
                <c:pt idx="171">
                  <c:v>730.36007957049412</c:v>
                </c:pt>
                <c:pt idx="172">
                  <c:v>730.36007957049412</c:v>
                </c:pt>
                <c:pt idx="173">
                  <c:v>730.36007957049412</c:v>
                </c:pt>
                <c:pt idx="174">
                  <c:v>730.36007957049412</c:v>
                </c:pt>
                <c:pt idx="175">
                  <c:v>730.36007957049412</c:v>
                </c:pt>
                <c:pt idx="176">
                  <c:v>730.36007957049412</c:v>
                </c:pt>
                <c:pt idx="177">
                  <c:v>730.36007957049412</c:v>
                </c:pt>
                <c:pt idx="178">
                  <c:v>730.36007957049412</c:v>
                </c:pt>
                <c:pt idx="179">
                  <c:v>730.36007957049412</c:v>
                </c:pt>
                <c:pt idx="180">
                  <c:v>730.36007957049412</c:v>
                </c:pt>
                <c:pt idx="181">
                  <c:v>730.36007957049412</c:v>
                </c:pt>
                <c:pt idx="182">
                  <c:v>730.36007957049412</c:v>
                </c:pt>
                <c:pt idx="183">
                  <c:v>730.36007957049412</c:v>
                </c:pt>
                <c:pt idx="184">
                  <c:v>730.36007957049412</c:v>
                </c:pt>
                <c:pt idx="185">
                  <c:v>730.36007957049412</c:v>
                </c:pt>
                <c:pt idx="186">
                  <c:v>730.36007957049412</c:v>
                </c:pt>
                <c:pt idx="187">
                  <c:v>730.36007957049412</c:v>
                </c:pt>
                <c:pt idx="188">
                  <c:v>730.36007957049412</c:v>
                </c:pt>
                <c:pt idx="189">
                  <c:v>730.36007957049412</c:v>
                </c:pt>
                <c:pt idx="190">
                  <c:v>730.36007957049412</c:v>
                </c:pt>
                <c:pt idx="191">
                  <c:v>730.36007957049412</c:v>
                </c:pt>
                <c:pt idx="192">
                  <c:v>730.36007957049412</c:v>
                </c:pt>
                <c:pt idx="193">
                  <c:v>730.36007957049412</c:v>
                </c:pt>
                <c:pt idx="194">
                  <c:v>730.36007957049412</c:v>
                </c:pt>
                <c:pt idx="195">
                  <c:v>730.36007957049412</c:v>
                </c:pt>
                <c:pt idx="196">
                  <c:v>730.36007957049412</c:v>
                </c:pt>
                <c:pt idx="197">
                  <c:v>730.36007957049412</c:v>
                </c:pt>
                <c:pt idx="198">
                  <c:v>730.36007957049412</c:v>
                </c:pt>
                <c:pt idx="199">
                  <c:v>730.36007957049412</c:v>
                </c:pt>
                <c:pt idx="200">
                  <c:v>730.36007957049412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2.1100280511145315</c:v>
                </c:pt>
                <c:pt idx="2">
                  <c:v>2.7558717727554725</c:v>
                </c:pt>
                <c:pt idx="3">
                  <c:v>3.6002040212057129</c:v>
                </c:pt>
                <c:pt idx="4">
                  <c:v>4.7042604750179606</c:v>
                </c:pt>
                <c:pt idx="5">
                  <c:v>6.1482360950259149</c:v>
                </c:pt>
                <c:pt idx="6">
                  <c:v>8.0371745369866741</c:v>
                </c:pt>
                <c:pt idx="7">
                  <c:v>10.508692577487937</c:v>
                </c:pt>
                <c:pt idx="8">
                  <c:v>13.743112890113615</c:v>
                </c:pt>
                <c:pt idx="9">
                  <c:v>17.976758095644303</c:v>
                </c:pt>
                <c:pt idx="10">
                  <c:v>23.519394977176777</c:v>
                </c:pt>
                <c:pt idx="11">
                  <c:v>35.982472898491373</c:v>
                </c:pt>
                <c:pt idx="12">
                  <c:v>48.325547197182182</c:v>
                </c:pt>
                <c:pt idx="13">
                  <c:v>60.584149282923612</c:v>
                </c:pt>
                <c:pt idx="14">
                  <c:v>72.777938409790707</c:v>
                </c:pt>
                <c:pt idx="15">
                  <c:v>84.919362878908643</c:v>
                </c:pt>
                <c:pt idx="16">
                  <c:v>90.698267920643289</c:v>
                </c:pt>
                <c:pt idx="17">
                  <c:v>96.467953961397711</c:v>
                </c:pt>
                <c:pt idx="18">
                  <c:v>102.22905153508778</c:v>
                </c:pt>
                <c:pt idx="19">
                  <c:v>107.98211410040665</c:v>
                </c:pt>
                <c:pt idx="20">
                  <c:v>113.7276311626287</c:v>
                </c:pt>
                <c:pt idx="21">
                  <c:v>91.79794602352689</c:v>
                </c:pt>
                <c:pt idx="22">
                  <c:v>120.55829551377822</c:v>
                </c:pt>
                <c:pt idx="23">
                  <c:v>149.15048706468869</c:v>
                </c:pt>
                <c:pt idx="24">
                  <c:v>177.61148225294494</c:v>
                </c:pt>
                <c:pt idx="25">
                  <c:v>205.96531993399233</c:v>
                </c:pt>
                <c:pt idx="26">
                  <c:v>206.23489972360537</c:v>
                </c:pt>
                <c:pt idx="27">
                  <c:v>206.50447136588431</c:v>
                </c:pt>
                <c:pt idx="28">
                  <c:v>206.77403487300452</c:v>
                </c:pt>
                <c:pt idx="29">
                  <c:v>207.04359025710684</c:v>
                </c:pt>
                <c:pt idx="30">
                  <c:v>207.31313753029772</c:v>
                </c:pt>
                <c:pt idx="31">
                  <c:v>150.23693675874813</c:v>
                </c:pt>
                <c:pt idx="32">
                  <c:v>187.88424290595154</c:v>
                </c:pt>
                <c:pt idx="33">
                  <c:v>225.35493278909905</c:v>
                </c:pt>
                <c:pt idx="34">
                  <c:v>262.68258019911826</c:v>
                </c:pt>
                <c:pt idx="35">
                  <c:v>299.89038593700792</c:v>
                </c:pt>
                <c:pt idx="36">
                  <c:v>298.28652353338651</c:v>
                </c:pt>
                <c:pt idx="37">
                  <c:v>296.6824688612503</c:v>
                </c:pt>
                <c:pt idx="38">
                  <c:v>295.07822073101482</c:v>
                </c:pt>
                <c:pt idx="39">
                  <c:v>293.47377793906503</c:v>
                </c:pt>
                <c:pt idx="40">
                  <c:v>291.86913926751032</c:v>
                </c:pt>
                <c:pt idx="41">
                  <c:v>232.61598585067262</c:v>
                </c:pt>
                <c:pt idx="42">
                  <c:v>267.23921926263705</c:v>
                </c:pt>
                <c:pt idx="43">
                  <c:v>301.7613173030694</c:v>
                </c:pt>
                <c:pt idx="44">
                  <c:v>336.19547139388357</c:v>
                </c:pt>
                <c:pt idx="45">
                  <c:v>370.55194735083109</c:v>
                </c:pt>
                <c:pt idx="46">
                  <c:v>368.15732380156101</c:v>
                </c:pt>
                <c:pt idx="47">
                  <c:v>365.762360183966</c:v>
                </c:pt>
                <c:pt idx="48">
                  <c:v>363.3670539509107</c:v>
                </c:pt>
                <c:pt idx="49">
                  <c:v>360.97140251884821</c:v>
                </c:pt>
                <c:pt idx="50">
                  <c:v>358.57540326704753</c:v>
                </c:pt>
                <c:pt idx="51">
                  <c:v>307.10541864100423</c:v>
                </c:pt>
                <c:pt idx="52">
                  <c:v>335.66222489133725</c:v>
                </c:pt>
                <c:pt idx="53">
                  <c:v>364.1655275890343</c:v>
                </c:pt>
                <c:pt idx="54">
                  <c:v>392.62009899923305</c:v>
                </c:pt>
                <c:pt idx="55">
                  <c:v>421.02996350009448</c:v>
                </c:pt>
                <c:pt idx="56">
                  <c:v>419.43800890530139</c:v>
                </c:pt>
                <c:pt idx="57">
                  <c:v>417.84592410212394</c:v>
                </c:pt>
                <c:pt idx="58">
                  <c:v>416.25370852333799</c:v>
                </c:pt>
                <c:pt idx="59">
                  <c:v>414.66136159701688</c:v>
                </c:pt>
                <c:pt idx="60">
                  <c:v>413.06888274647389</c:v>
                </c:pt>
                <c:pt idx="61">
                  <c:v>372.94623334325024</c:v>
                </c:pt>
                <c:pt idx="62">
                  <c:v>395.2770634103922</c:v>
                </c:pt>
                <c:pt idx="63">
                  <c:v>417.58056393601964</c:v>
                </c:pt>
                <c:pt idx="64">
                  <c:v>439.85839879647762</c:v>
                </c:pt>
                <c:pt idx="65">
                  <c:v>462.11204968448243</c:v>
                </c:pt>
                <c:pt idx="66">
                  <c:v>460.78807982104087</c:v>
                </c:pt>
                <c:pt idx="67">
                  <c:v>459.46402874777476</c:v>
                </c:pt>
                <c:pt idx="68">
                  <c:v>458.1398961971957</c:v>
                </c:pt>
                <c:pt idx="69">
                  <c:v>456.81568190014065</c:v>
                </c:pt>
                <c:pt idx="70">
                  <c:v>455.49138558575549</c:v>
                </c:pt>
                <c:pt idx="71">
                  <c:v>424.47875444249871</c:v>
                </c:pt>
                <c:pt idx="72">
                  <c:v>441.18368397828704</c:v>
                </c:pt>
                <c:pt idx="73">
                  <c:v>457.87505988614583</c:v>
                </c:pt>
                <c:pt idx="74">
                  <c:v>474.5534456075705</c:v>
                </c:pt>
                <c:pt idx="75">
                  <c:v>491.21936176570631</c:v>
                </c:pt>
                <c:pt idx="76">
                  <c:v>489.89711405016806</c:v>
                </c:pt>
                <c:pt idx="77">
                  <c:v>488.57479061485748</c:v>
                </c:pt>
                <c:pt idx="78">
                  <c:v>487.25239122557076</c:v>
                </c:pt>
                <c:pt idx="79">
                  <c:v>485.92991564672815</c:v>
                </c:pt>
                <c:pt idx="80">
                  <c:v>484.60736364135965</c:v>
                </c:pt>
                <c:pt idx="81">
                  <c:v>459.19920876443308</c:v>
                </c:pt>
                <c:pt idx="82">
                  <c:v>472.17159422788467</c:v>
                </c:pt>
                <c:pt idx="83">
                  <c:v>485.13639362991444</c:v>
                </c:pt>
                <c:pt idx="84">
                  <c:v>498.09383823712579</c:v>
                </c:pt>
                <c:pt idx="85">
                  <c:v>511.04414630438532</c:v>
                </c:pt>
                <c:pt idx="86">
                  <c:v>509.72300718239211</c:v>
                </c:pt>
                <c:pt idx="87">
                  <c:v>508.40179569615731</c:v>
                </c:pt>
                <c:pt idx="88">
                  <c:v>507.08051163078744</c:v>
                </c:pt>
                <c:pt idx="89">
                  <c:v>505.7591547701748</c:v>
                </c:pt>
                <c:pt idx="90">
                  <c:v>504.43772489698978</c:v>
                </c:pt>
                <c:pt idx="91">
                  <c:v>484.60736364135977</c:v>
                </c:pt>
                <c:pt idx="92">
                  <c:v>495.18565291531075</c:v>
                </c:pt>
                <c:pt idx="93">
                  <c:v>505.7591547701748</c:v>
                </c:pt>
                <c:pt idx="94">
                  <c:v>516.3279834059249</c:v>
                </c:pt>
                <c:pt idx="95">
                  <c:v>526.89224796595829</c:v>
                </c:pt>
                <c:pt idx="96">
                  <c:v>525.57196088133378</c:v>
                </c:pt>
                <c:pt idx="97">
                  <c:v>524.25160392011537</c:v>
                </c:pt>
                <c:pt idx="98">
                  <c:v>522.93117688121538</c:v>
                </c:pt>
                <c:pt idx="99">
                  <c:v>521.61067956244608</c:v>
                </c:pt>
                <c:pt idx="100">
                  <c:v>520.29011176051108</c:v>
                </c:pt>
                <c:pt idx="101">
                  <c:v>495.18565291531075</c:v>
                </c:pt>
                <c:pt idx="102">
                  <c:v>495.18565291531075</c:v>
                </c:pt>
                <c:pt idx="103">
                  <c:v>495.18565291531075</c:v>
                </c:pt>
                <c:pt idx="104">
                  <c:v>495.18565291531075</c:v>
                </c:pt>
                <c:pt idx="105">
                  <c:v>495.18565291531075</c:v>
                </c:pt>
                <c:pt idx="106">
                  <c:v>495.18565291531075</c:v>
                </c:pt>
                <c:pt idx="107">
                  <c:v>495.18565291531075</c:v>
                </c:pt>
                <c:pt idx="108">
                  <c:v>495.18565291531075</c:v>
                </c:pt>
                <c:pt idx="109">
                  <c:v>495.18565291531075</c:v>
                </c:pt>
                <c:pt idx="110">
                  <c:v>495.18565291531075</c:v>
                </c:pt>
                <c:pt idx="111">
                  <c:v>495.18565291531075</c:v>
                </c:pt>
                <c:pt idx="112">
                  <c:v>495.18565291531075</c:v>
                </c:pt>
                <c:pt idx="113">
                  <c:v>495.18565291531075</c:v>
                </c:pt>
                <c:pt idx="114">
                  <c:v>495.18565291531075</c:v>
                </c:pt>
                <c:pt idx="115">
                  <c:v>495.18565291531075</c:v>
                </c:pt>
                <c:pt idx="116">
                  <c:v>495.18565291531075</c:v>
                </c:pt>
                <c:pt idx="117">
                  <c:v>495.18565291531075</c:v>
                </c:pt>
                <c:pt idx="118">
                  <c:v>495.18565291531075</c:v>
                </c:pt>
                <c:pt idx="119">
                  <c:v>495.18565291531075</c:v>
                </c:pt>
                <c:pt idx="120">
                  <c:v>495.18565291531075</c:v>
                </c:pt>
                <c:pt idx="121">
                  <c:v>495.18565291531075</c:v>
                </c:pt>
                <c:pt idx="122">
                  <c:v>495.18565291531075</c:v>
                </c:pt>
                <c:pt idx="123">
                  <c:v>495.18565291531075</c:v>
                </c:pt>
                <c:pt idx="124">
                  <c:v>495.18565291531075</c:v>
                </c:pt>
                <c:pt idx="125">
                  <c:v>495.18565291531075</c:v>
                </c:pt>
                <c:pt idx="126">
                  <c:v>495.18565291531075</c:v>
                </c:pt>
                <c:pt idx="127">
                  <c:v>495.18565291531075</c:v>
                </c:pt>
                <c:pt idx="128">
                  <c:v>495.18565291531075</c:v>
                </c:pt>
                <c:pt idx="129">
                  <c:v>495.18565291531075</c:v>
                </c:pt>
                <c:pt idx="130">
                  <c:v>495.18565291531075</c:v>
                </c:pt>
                <c:pt idx="131">
                  <c:v>495.18565291531075</c:v>
                </c:pt>
                <c:pt idx="132">
                  <c:v>495.18565291531075</c:v>
                </c:pt>
                <c:pt idx="133">
                  <c:v>495.18565291531075</c:v>
                </c:pt>
                <c:pt idx="134">
                  <c:v>495.18565291531075</c:v>
                </c:pt>
                <c:pt idx="135">
                  <c:v>495.18565291531075</c:v>
                </c:pt>
                <c:pt idx="136">
                  <c:v>495.18565291531075</c:v>
                </c:pt>
                <c:pt idx="137">
                  <c:v>495.18565291531075</c:v>
                </c:pt>
                <c:pt idx="138">
                  <c:v>495.18565291531075</c:v>
                </c:pt>
                <c:pt idx="139">
                  <c:v>495.18565291531075</c:v>
                </c:pt>
                <c:pt idx="140">
                  <c:v>495.18565291531075</c:v>
                </c:pt>
                <c:pt idx="141">
                  <c:v>495.18565291531075</c:v>
                </c:pt>
                <c:pt idx="142">
                  <c:v>495.18565291531075</c:v>
                </c:pt>
                <c:pt idx="143">
                  <c:v>495.18565291531075</c:v>
                </c:pt>
                <c:pt idx="144">
                  <c:v>495.18565291531075</c:v>
                </c:pt>
                <c:pt idx="145">
                  <c:v>495.18565291531075</c:v>
                </c:pt>
                <c:pt idx="146">
                  <c:v>495.18565291531075</c:v>
                </c:pt>
                <c:pt idx="147">
                  <c:v>495.18565291531075</c:v>
                </c:pt>
                <c:pt idx="148">
                  <c:v>495.18565291531075</c:v>
                </c:pt>
                <c:pt idx="149">
                  <c:v>495.18565291531075</c:v>
                </c:pt>
                <c:pt idx="150">
                  <c:v>495.18565291531075</c:v>
                </c:pt>
                <c:pt idx="151">
                  <c:v>495.18565291531075</c:v>
                </c:pt>
                <c:pt idx="152">
                  <c:v>495.18565291531075</c:v>
                </c:pt>
                <c:pt idx="153">
                  <c:v>495.18565291531075</c:v>
                </c:pt>
                <c:pt idx="154">
                  <c:v>495.18565291531075</c:v>
                </c:pt>
                <c:pt idx="155">
                  <c:v>495.18565291531075</c:v>
                </c:pt>
                <c:pt idx="156">
                  <c:v>495.18565291531075</c:v>
                </c:pt>
                <c:pt idx="157">
                  <c:v>495.18565291531075</c:v>
                </c:pt>
                <c:pt idx="158">
                  <c:v>495.18565291531075</c:v>
                </c:pt>
                <c:pt idx="159">
                  <c:v>495.18565291531075</c:v>
                </c:pt>
                <c:pt idx="160">
                  <c:v>495.18565291531075</c:v>
                </c:pt>
                <c:pt idx="161">
                  <c:v>495.18565291531075</c:v>
                </c:pt>
                <c:pt idx="162">
                  <c:v>495.18565291531075</c:v>
                </c:pt>
                <c:pt idx="163">
                  <c:v>495.18565291531075</c:v>
                </c:pt>
                <c:pt idx="164">
                  <c:v>495.18565291531075</c:v>
                </c:pt>
                <c:pt idx="165">
                  <c:v>495.18565291531075</c:v>
                </c:pt>
                <c:pt idx="166">
                  <c:v>495.18565291531075</c:v>
                </c:pt>
                <c:pt idx="167">
                  <c:v>495.18565291531075</c:v>
                </c:pt>
                <c:pt idx="168">
                  <c:v>495.18565291531075</c:v>
                </c:pt>
                <c:pt idx="169">
                  <c:v>495.18565291531075</c:v>
                </c:pt>
                <c:pt idx="170">
                  <c:v>495.18565291531075</c:v>
                </c:pt>
                <c:pt idx="171">
                  <c:v>495.18565291531075</c:v>
                </c:pt>
                <c:pt idx="172">
                  <c:v>495.18565291531075</c:v>
                </c:pt>
                <c:pt idx="173">
                  <c:v>495.18565291531075</c:v>
                </c:pt>
                <c:pt idx="174">
                  <c:v>495.18565291531075</c:v>
                </c:pt>
                <c:pt idx="175">
                  <c:v>495.18565291531075</c:v>
                </c:pt>
                <c:pt idx="176">
                  <c:v>495.18565291531075</c:v>
                </c:pt>
                <c:pt idx="177">
                  <c:v>495.18565291531075</c:v>
                </c:pt>
                <c:pt idx="178">
                  <c:v>495.18565291531075</c:v>
                </c:pt>
                <c:pt idx="179">
                  <c:v>495.18565291531075</c:v>
                </c:pt>
                <c:pt idx="180">
                  <c:v>495.18565291531075</c:v>
                </c:pt>
                <c:pt idx="181">
                  <c:v>495.18565291531075</c:v>
                </c:pt>
                <c:pt idx="182">
                  <c:v>495.18565291531075</c:v>
                </c:pt>
                <c:pt idx="183">
                  <c:v>495.18565291531075</c:v>
                </c:pt>
                <c:pt idx="184">
                  <c:v>495.18565291531075</c:v>
                </c:pt>
                <c:pt idx="185">
                  <c:v>495.18565291531075</c:v>
                </c:pt>
                <c:pt idx="186">
                  <c:v>495.18565291531075</c:v>
                </c:pt>
                <c:pt idx="187">
                  <c:v>495.18565291531075</c:v>
                </c:pt>
                <c:pt idx="188">
                  <c:v>495.18565291531075</c:v>
                </c:pt>
                <c:pt idx="189">
                  <c:v>495.18565291531075</c:v>
                </c:pt>
                <c:pt idx="190">
                  <c:v>495.18565291531075</c:v>
                </c:pt>
                <c:pt idx="191">
                  <c:v>495.18565291531075</c:v>
                </c:pt>
                <c:pt idx="192">
                  <c:v>495.18565291531075</c:v>
                </c:pt>
                <c:pt idx="193">
                  <c:v>495.18565291531075</c:v>
                </c:pt>
                <c:pt idx="194">
                  <c:v>495.18565291531075</c:v>
                </c:pt>
                <c:pt idx="195">
                  <c:v>495.18565291531075</c:v>
                </c:pt>
                <c:pt idx="196">
                  <c:v>495.18565291531075</c:v>
                </c:pt>
                <c:pt idx="197">
                  <c:v>495.18565291531075</c:v>
                </c:pt>
                <c:pt idx="198">
                  <c:v>495.18565291531075</c:v>
                </c:pt>
                <c:pt idx="199">
                  <c:v>495.18565291531075</c:v>
                </c:pt>
                <c:pt idx="200">
                  <c:v>495.18565291531075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119.2202473006392</c:v>
                </c:pt>
                <c:pt idx="17">
                  <c:v>119.9302774112839</c:v>
                </c:pt>
                <c:pt idx="18">
                  <c:v>120.64020503062972</c:v>
                </c:pt>
                <c:pt idx="19">
                  <c:v>121.35003084980929</c:v>
                </c:pt>
                <c:pt idx="20">
                  <c:v>122.05975555117313</c:v>
                </c:pt>
                <c:pt idx="21">
                  <c:v>52.596565340992925</c:v>
                </c:pt>
                <c:pt idx="22">
                  <c:v>103.21584715908864</c:v>
                </c:pt>
                <c:pt idx="23">
                  <c:v>153.19656565271254</c:v>
                </c:pt>
                <c:pt idx="24">
                  <c:v>202.78365885540236</c:v>
                </c:pt>
                <c:pt idx="25">
                  <c:v>252.08814071355732</c:v>
                </c:pt>
                <c:pt idx="26">
                  <c:v>252.43697663025793</c:v>
                </c:pt>
                <c:pt idx="27">
                  <c:v>252.78580162209678</c:v>
                </c:pt>
                <c:pt idx="28">
                  <c:v>253.13461570632361</c:v>
                </c:pt>
                <c:pt idx="29">
                  <c:v>253.4834189001364</c:v>
                </c:pt>
                <c:pt idx="30">
                  <c:v>253.8322112206821</c:v>
                </c:pt>
                <c:pt idx="31">
                  <c:v>178.20659311177283</c:v>
                </c:pt>
                <c:pt idx="32">
                  <c:v>225.19351582573117</c:v>
                </c:pt>
                <c:pt idx="33">
                  <c:v>271.95483714858989</c:v>
                </c:pt>
                <c:pt idx="34">
                  <c:v>318.53490425391578</c:v>
                </c:pt>
                <c:pt idx="35">
                  <c:v>364.963962968158</c:v>
                </c:pt>
                <c:pt idx="36">
                  <c:v>360.46560950688848</c:v>
                </c:pt>
                <c:pt idx="37">
                  <c:v>355.96602761986787</c:v>
                </c:pt>
                <c:pt idx="38">
                  <c:v>351.46519953536063</c:v>
                </c:pt>
                <c:pt idx="39">
                  <c:v>346.96310698781582</c:v>
                </c:pt>
                <c:pt idx="40">
                  <c:v>342.45973119739187</c:v>
                </c:pt>
                <c:pt idx="41">
                  <c:v>262.20000863602723</c:v>
                </c:pt>
                <c:pt idx="42">
                  <c:v>303.60526832221211</c:v>
                </c:pt>
                <c:pt idx="43">
                  <c:v>344.88478646657558</c:v>
                </c:pt>
                <c:pt idx="44">
                  <c:v>386.05571889224319</c:v>
                </c:pt>
                <c:pt idx="45">
                  <c:v>427.13125995293154</c:v>
                </c:pt>
                <c:pt idx="46">
                  <c:v>427.13125995293154</c:v>
                </c:pt>
                <c:pt idx="47">
                  <c:v>427.13125995293154</c:v>
                </c:pt>
                <c:pt idx="48">
                  <c:v>427.13125995293154</c:v>
                </c:pt>
                <c:pt idx="49">
                  <c:v>427.13125995293154</c:v>
                </c:pt>
                <c:pt idx="50">
                  <c:v>427.13125995293154</c:v>
                </c:pt>
                <c:pt idx="51">
                  <c:v>380.52593997693947</c:v>
                </c:pt>
                <c:pt idx="52">
                  <c:v>408.15790291270633</c:v>
                </c:pt>
                <c:pt idx="53">
                  <c:v>435.7494691678225</c:v>
                </c:pt>
                <c:pt idx="54">
                  <c:v>463.30355334692121</c:v>
                </c:pt>
                <c:pt idx="55">
                  <c:v>490.82269538774079</c:v>
                </c:pt>
                <c:pt idx="56">
                  <c:v>491.16647330797923</c:v>
                </c:pt>
                <c:pt idx="57">
                  <c:v>491.51024612468018</c:v>
                </c:pt>
                <c:pt idx="58">
                  <c:v>491.85401384192204</c:v>
                </c:pt>
                <c:pt idx="59">
                  <c:v>492.19777646377651</c:v>
                </c:pt>
                <c:pt idx="60">
                  <c:v>492.54153399430999</c:v>
                </c:pt>
                <c:pt idx="61">
                  <c:v>460.20550736963395</c:v>
                </c:pt>
                <c:pt idx="62">
                  <c:v>479.4751338732458</c:v>
                </c:pt>
                <c:pt idx="63">
                  <c:v>498.72830352665977</c:v>
                </c:pt>
                <c:pt idx="64">
                  <c:v>517.96574061668355</c:v>
                </c:pt>
                <c:pt idx="65">
                  <c:v>537.18811127897277</c:v>
                </c:pt>
                <c:pt idx="66">
                  <c:v>536.15871305053781</c:v>
                </c:pt>
                <c:pt idx="67">
                  <c:v>535.12927326681597</c:v>
                </c:pt>
                <c:pt idx="68">
                  <c:v>534.09979183647317</c:v>
                </c:pt>
                <c:pt idx="69">
                  <c:v>533.07026866779404</c:v>
                </c:pt>
                <c:pt idx="70">
                  <c:v>532.04070366867973</c:v>
                </c:pt>
                <c:pt idx="71">
                  <c:v>503.53911076696596</c:v>
                </c:pt>
                <c:pt idx="72">
                  <c:v>519.68262684712829</c:v>
                </c:pt>
                <c:pt idx="73">
                  <c:v>535.81557107772039</c:v>
                </c:pt>
                <c:pt idx="74">
                  <c:v>551.93830643246747</c:v>
                </c:pt>
                <c:pt idx="75">
                  <c:v>568.05117296149058</c:v>
                </c:pt>
                <c:pt idx="76">
                  <c:v>566.33749757672831</c:v>
                </c:pt>
                <c:pt idx="77">
                  <c:v>564.62371375974169</c:v>
                </c:pt>
                <c:pt idx="78">
                  <c:v>562.90982113451878</c:v>
                </c:pt>
                <c:pt idx="79">
                  <c:v>561.19581932256744</c:v>
                </c:pt>
                <c:pt idx="80">
                  <c:v>559.4817079428916</c:v>
                </c:pt>
                <c:pt idx="81">
                  <c:v>520.02598972417468</c:v>
                </c:pt>
                <c:pt idx="82">
                  <c:v>520.02598972417468</c:v>
                </c:pt>
                <c:pt idx="83">
                  <c:v>520.02598972417468</c:v>
                </c:pt>
                <c:pt idx="84">
                  <c:v>520.02598972417468</c:v>
                </c:pt>
                <c:pt idx="85">
                  <c:v>520.02598972417468</c:v>
                </c:pt>
                <c:pt idx="86">
                  <c:v>520.02598972417468</c:v>
                </c:pt>
                <c:pt idx="87">
                  <c:v>520.02598972417468</c:v>
                </c:pt>
                <c:pt idx="88">
                  <c:v>520.02598972417468</c:v>
                </c:pt>
                <c:pt idx="89">
                  <c:v>520.02598972417468</c:v>
                </c:pt>
                <c:pt idx="90">
                  <c:v>520.02598972417468</c:v>
                </c:pt>
                <c:pt idx="91">
                  <c:v>520.02598972417468</c:v>
                </c:pt>
                <c:pt idx="92">
                  <c:v>520.02598972417468</c:v>
                </c:pt>
                <c:pt idx="93">
                  <c:v>520.02598972417468</c:v>
                </c:pt>
                <c:pt idx="94">
                  <c:v>520.02598972417468</c:v>
                </c:pt>
                <c:pt idx="95">
                  <c:v>520.02598972417468</c:v>
                </c:pt>
                <c:pt idx="96">
                  <c:v>520.02598972417468</c:v>
                </c:pt>
                <c:pt idx="97">
                  <c:v>520.02598972417468</c:v>
                </c:pt>
                <c:pt idx="98">
                  <c:v>520.02598972417468</c:v>
                </c:pt>
                <c:pt idx="99">
                  <c:v>520.02598972417468</c:v>
                </c:pt>
                <c:pt idx="100">
                  <c:v>520.02598972417468</c:v>
                </c:pt>
                <c:pt idx="101">
                  <c:v>520.02598972417468</c:v>
                </c:pt>
                <c:pt idx="102">
                  <c:v>520.02598972417468</c:v>
                </c:pt>
                <c:pt idx="103">
                  <c:v>520.02598972417468</c:v>
                </c:pt>
                <c:pt idx="104">
                  <c:v>520.02598972417468</c:v>
                </c:pt>
                <c:pt idx="105">
                  <c:v>520.02598972417468</c:v>
                </c:pt>
                <c:pt idx="106">
                  <c:v>520.02598972417468</c:v>
                </c:pt>
                <c:pt idx="107">
                  <c:v>520.02598972417468</c:v>
                </c:pt>
                <c:pt idx="108">
                  <c:v>520.02598972417468</c:v>
                </c:pt>
                <c:pt idx="109">
                  <c:v>520.02598972417468</c:v>
                </c:pt>
                <c:pt idx="110">
                  <c:v>520.02598972417468</c:v>
                </c:pt>
                <c:pt idx="111">
                  <c:v>520.02598972417468</c:v>
                </c:pt>
                <c:pt idx="112">
                  <c:v>520.02598972417468</c:v>
                </c:pt>
                <c:pt idx="113">
                  <c:v>520.02598972417468</c:v>
                </c:pt>
                <c:pt idx="114">
                  <c:v>520.02598972417468</c:v>
                </c:pt>
                <c:pt idx="115">
                  <c:v>520.02598972417468</c:v>
                </c:pt>
                <c:pt idx="116">
                  <c:v>520.02598972417468</c:v>
                </c:pt>
                <c:pt idx="117">
                  <c:v>520.02598972417468</c:v>
                </c:pt>
                <c:pt idx="118">
                  <c:v>520.02598972417468</c:v>
                </c:pt>
                <c:pt idx="119">
                  <c:v>520.02598972417468</c:v>
                </c:pt>
                <c:pt idx="120">
                  <c:v>520.02598972417468</c:v>
                </c:pt>
                <c:pt idx="121">
                  <c:v>520.02598972417468</c:v>
                </c:pt>
                <c:pt idx="122">
                  <c:v>520.02598972417468</c:v>
                </c:pt>
                <c:pt idx="123">
                  <c:v>520.02598972417468</c:v>
                </c:pt>
                <c:pt idx="124">
                  <c:v>520.02598972417468</c:v>
                </c:pt>
                <c:pt idx="125">
                  <c:v>520.02598972417468</c:v>
                </c:pt>
                <c:pt idx="126">
                  <c:v>520.02598972417468</c:v>
                </c:pt>
                <c:pt idx="127">
                  <c:v>520.02598972417468</c:v>
                </c:pt>
                <c:pt idx="128">
                  <c:v>520.02598972417468</c:v>
                </c:pt>
                <c:pt idx="129">
                  <c:v>520.02598972417468</c:v>
                </c:pt>
                <c:pt idx="130">
                  <c:v>520.02598972417468</c:v>
                </c:pt>
                <c:pt idx="131">
                  <c:v>520.02598972417468</c:v>
                </c:pt>
                <c:pt idx="132">
                  <c:v>520.02598972417468</c:v>
                </c:pt>
                <c:pt idx="133">
                  <c:v>520.02598972417468</c:v>
                </c:pt>
                <c:pt idx="134">
                  <c:v>520.02598972417468</c:v>
                </c:pt>
                <c:pt idx="135">
                  <c:v>520.02598972417468</c:v>
                </c:pt>
                <c:pt idx="136">
                  <c:v>520.02598972417468</c:v>
                </c:pt>
                <c:pt idx="137">
                  <c:v>520.02598972417468</c:v>
                </c:pt>
                <c:pt idx="138">
                  <c:v>520.02598972417468</c:v>
                </c:pt>
                <c:pt idx="139">
                  <c:v>520.02598972417468</c:v>
                </c:pt>
                <c:pt idx="140">
                  <c:v>520.02598972417468</c:v>
                </c:pt>
                <c:pt idx="141">
                  <c:v>520.02598972417468</c:v>
                </c:pt>
                <c:pt idx="142">
                  <c:v>520.02598972417468</c:v>
                </c:pt>
                <c:pt idx="143">
                  <c:v>520.02598972417468</c:v>
                </c:pt>
                <c:pt idx="144">
                  <c:v>520.02598972417468</c:v>
                </c:pt>
                <c:pt idx="145">
                  <c:v>520.02598972417468</c:v>
                </c:pt>
                <c:pt idx="146">
                  <c:v>520.02598972417468</c:v>
                </c:pt>
                <c:pt idx="147">
                  <c:v>520.02598972417468</c:v>
                </c:pt>
                <c:pt idx="148">
                  <c:v>520.02598972417468</c:v>
                </c:pt>
                <c:pt idx="149">
                  <c:v>520.02598972417468</c:v>
                </c:pt>
                <c:pt idx="150">
                  <c:v>520.02598972417468</c:v>
                </c:pt>
                <c:pt idx="151">
                  <c:v>520.02598972417468</c:v>
                </c:pt>
                <c:pt idx="152">
                  <c:v>520.02598972417468</c:v>
                </c:pt>
                <c:pt idx="153">
                  <c:v>520.02598972417468</c:v>
                </c:pt>
                <c:pt idx="154">
                  <c:v>520.02598972417468</c:v>
                </c:pt>
                <c:pt idx="155">
                  <c:v>520.02598972417468</c:v>
                </c:pt>
                <c:pt idx="156">
                  <c:v>520.02598972417468</c:v>
                </c:pt>
                <c:pt idx="157">
                  <c:v>520.02598972417468</c:v>
                </c:pt>
                <c:pt idx="158">
                  <c:v>520.02598972417468</c:v>
                </c:pt>
                <c:pt idx="159">
                  <c:v>520.02598972417468</c:v>
                </c:pt>
                <c:pt idx="160">
                  <c:v>520.02598972417468</c:v>
                </c:pt>
                <c:pt idx="161">
                  <c:v>520.02598972417468</c:v>
                </c:pt>
                <c:pt idx="162">
                  <c:v>520.02598972417468</c:v>
                </c:pt>
                <c:pt idx="163">
                  <c:v>520.02598972417468</c:v>
                </c:pt>
                <c:pt idx="164">
                  <c:v>520.02598972417468</c:v>
                </c:pt>
                <c:pt idx="165">
                  <c:v>520.02598972417468</c:v>
                </c:pt>
                <c:pt idx="166">
                  <c:v>520.02598972417468</c:v>
                </c:pt>
                <c:pt idx="167">
                  <c:v>520.02598972417468</c:v>
                </c:pt>
                <c:pt idx="168">
                  <c:v>520.02598972417468</c:v>
                </c:pt>
                <c:pt idx="169">
                  <c:v>520.02598972417468</c:v>
                </c:pt>
                <c:pt idx="170">
                  <c:v>520.02598972417468</c:v>
                </c:pt>
                <c:pt idx="171">
                  <c:v>520.02598972417468</c:v>
                </c:pt>
                <c:pt idx="172">
                  <c:v>520.02598972417468</c:v>
                </c:pt>
                <c:pt idx="173">
                  <c:v>520.02598972417468</c:v>
                </c:pt>
                <c:pt idx="174">
                  <c:v>520.02598972417468</c:v>
                </c:pt>
                <c:pt idx="175">
                  <c:v>520.02598972417468</c:v>
                </c:pt>
                <c:pt idx="176">
                  <c:v>520.02598972417468</c:v>
                </c:pt>
                <c:pt idx="177">
                  <c:v>520.02598972417468</c:v>
                </c:pt>
                <c:pt idx="178">
                  <c:v>520.02598972417468</c:v>
                </c:pt>
                <c:pt idx="179">
                  <c:v>520.02598972417468</c:v>
                </c:pt>
                <c:pt idx="180">
                  <c:v>520.02598972417468</c:v>
                </c:pt>
                <c:pt idx="181">
                  <c:v>520.02598972417468</c:v>
                </c:pt>
                <c:pt idx="182">
                  <c:v>520.02598972417468</c:v>
                </c:pt>
                <c:pt idx="183">
                  <c:v>520.02598972417468</c:v>
                </c:pt>
                <c:pt idx="184">
                  <c:v>520.02598972417468</c:v>
                </c:pt>
                <c:pt idx="185">
                  <c:v>520.02598972417468</c:v>
                </c:pt>
                <c:pt idx="186">
                  <c:v>520.02598972417468</c:v>
                </c:pt>
                <c:pt idx="187">
                  <c:v>520.02598972417468</c:v>
                </c:pt>
                <c:pt idx="188">
                  <c:v>520.02598972417468</c:v>
                </c:pt>
                <c:pt idx="189">
                  <c:v>520.02598972417468</c:v>
                </c:pt>
                <c:pt idx="190">
                  <c:v>520.02598972417468</c:v>
                </c:pt>
                <c:pt idx="191">
                  <c:v>520.02598972417468</c:v>
                </c:pt>
                <c:pt idx="192">
                  <c:v>520.02598972417468</c:v>
                </c:pt>
                <c:pt idx="193">
                  <c:v>520.02598972417468</c:v>
                </c:pt>
                <c:pt idx="194">
                  <c:v>520.02598972417468</c:v>
                </c:pt>
                <c:pt idx="195">
                  <c:v>520.02598972417468</c:v>
                </c:pt>
                <c:pt idx="196">
                  <c:v>520.02598972417468</c:v>
                </c:pt>
                <c:pt idx="197">
                  <c:v>520.02598972417468</c:v>
                </c:pt>
                <c:pt idx="198">
                  <c:v>520.02598972417468</c:v>
                </c:pt>
                <c:pt idx="199">
                  <c:v>520.02598972417468</c:v>
                </c:pt>
                <c:pt idx="200">
                  <c:v>520.02598972417468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0" zoomScale="80" zoomScaleNormal="80" workbookViewId="0">
      <selection activeCell="B92" sqref="B9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1.25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0.55000000000000004</v>
      </c>
      <c r="D9" s="33">
        <f t="shared" ref="D9:D18" si="0">C9*$C$5</f>
        <v>0.6875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27</v>
      </c>
      <c r="C10" s="32">
        <v>0.3</v>
      </c>
      <c r="D10" s="33">
        <f t="shared" si="0"/>
        <v>0.375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32">
        <v>0.15</v>
      </c>
      <c r="D11" s="33">
        <f t="shared" si="0"/>
        <v>0.1875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1.25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19</v>
      </c>
      <c r="B36" s="60">
        <v>162</v>
      </c>
      <c r="C36" s="60"/>
      <c r="D36" s="60"/>
      <c r="E36" s="51"/>
      <c r="F36" s="51"/>
      <c r="G36" s="51"/>
      <c r="H36" s="51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281</v>
      </c>
      <c r="C37" s="60">
        <v>1</v>
      </c>
      <c r="D37" s="60">
        <v>54</v>
      </c>
      <c r="E37" s="51"/>
      <c r="F37" s="51">
        <v>0.6</v>
      </c>
      <c r="G37" s="51">
        <v>0.2</v>
      </c>
      <c r="H37" s="51">
        <v>0.2</v>
      </c>
      <c r="I37" s="53">
        <f>IF(A37&lt;&gt;0,(B37-(B36-D36))/(A37-A36),"")</f>
        <v>19.833333333333332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f>367</f>
        <v>367</v>
      </c>
      <c r="C38" s="60"/>
      <c r="D38" s="60"/>
      <c r="E38" s="51"/>
      <c r="F38" s="51"/>
      <c r="G38" s="51"/>
      <c r="H38" s="51"/>
      <c r="I38" s="53">
        <f>IF(A38&lt;&gt;0,(B38-(B37-D37))/(A38-A37),"")</f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f>436+54</f>
        <v>490</v>
      </c>
      <c r="C39" s="60">
        <v>2</v>
      </c>
      <c r="D39" s="60">
        <f>54+69</f>
        <v>123</v>
      </c>
      <c r="E39" s="51">
        <v>0.8</v>
      </c>
      <c r="F39" s="51">
        <v>0.2</v>
      </c>
      <c r="G39" s="51"/>
      <c r="H39" s="51"/>
      <c r="I39" s="49">
        <f t="shared" ref="I39:I55" si="1">IF(A39&lt;&gt;0,(B39-(B38-D38))/(A39-A38),"")</f>
        <v>24.6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f>492</f>
        <v>492</v>
      </c>
      <c r="C40" s="60"/>
      <c r="D40" s="60"/>
      <c r="E40" s="51"/>
      <c r="F40" s="51"/>
      <c r="G40" s="51"/>
      <c r="H40" s="51"/>
      <c r="I40" s="49">
        <f t="shared" si="1"/>
        <v>25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f>540+72</f>
        <v>612</v>
      </c>
      <c r="C41" s="60">
        <v>3</v>
      </c>
      <c r="D41" s="60">
        <f>72+66</f>
        <v>138</v>
      </c>
      <c r="E41" s="51">
        <v>0.8</v>
      </c>
      <c r="F41" s="51">
        <v>0.2</v>
      </c>
      <c r="G41" s="51"/>
      <c r="H41" s="51"/>
      <c r="I41" s="53">
        <f t="shared" si="1"/>
        <v>24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f>581</f>
        <v>581</v>
      </c>
      <c r="C42" s="60"/>
      <c r="D42" s="60"/>
      <c r="E42" s="51"/>
      <c r="F42" s="51"/>
      <c r="G42" s="51"/>
      <c r="H42" s="51"/>
      <c r="I42" s="53">
        <f t="shared" si="1"/>
        <v>21.4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f>615+48</f>
        <v>663</v>
      </c>
      <c r="C43" s="60">
        <v>4</v>
      </c>
      <c r="D43" s="60">
        <f>35+48</f>
        <v>83</v>
      </c>
      <c r="E43" s="51">
        <v>0.8</v>
      </c>
      <c r="F43" s="51">
        <v>0.2</v>
      </c>
      <c r="G43" s="51"/>
      <c r="H43" s="51"/>
      <c r="I43" s="49">
        <f t="shared" si="1"/>
        <v>16.399999999999999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f>637</f>
        <v>637</v>
      </c>
      <c r="C44" s="60">
        <v>5</v>
      </c>
      <c r="D44" s="60">
        <f>29</f>
        <v>29</v>
      </c>
      <c r="E44" s="51">
        <v>0.8</v>
      </c>
      <c r="F44" s="51">
        <v>0.2</v>
      </c>
      <c r="G44" s="51"/>
      <c r="H44" s="51"/>
      <c r="I44" s="49">
        <f t="shared" si="1"/>
        <v>11.4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16</v>
      </c>
      <c r="C62" s="60"/>
      <c r="D62" s="60"/>
      <c r="E62" s="51"/>
      <c r="F62" s="51"/>
      <c r="G62" s="51"/>
      <c r="H62" s="51"/>
      <c r="I62" s="53">
        <f>IFERROR(B62/A62,"")</f>
        <v>1.6</v>
      </c>
      <c r="K62" s="23" t="s">
        <v>324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f>58+2</f>
        <v>60</v>
      </c>
      <c r="C63" s="60"/>
      <c r="D63" s="60"/>
      <c r="E63" s="51"/>
      <c r="F63" s="51"/>
      <c r="G63" s="51"/>
      <c r="H63" s="51"/>
      <c r="I63" s="49">
        <f t="shared" ref="I63:I77" si="2">IF(A63&lt;&gt;0,(B63-(B62-D62))/(A63-A62),"")</f>
        <v>8.8000000000000007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f>81</f>
        <v>81</v>
      </c>
      <c r="C64" s="60">
        <v>1</v>
      </c>
      <c r="D64" s="60">
        <f>35+2</f>
        <v>37</v>
      </c>
      <c r="E64" s="51"/>
      <c r="F64" s="51">
        <v>0.6</v>
      </c>
      <c r="G64" s="51">
        <v>0.2</v>
      </c>
      <c r="H64" s="51">
        <v>0.2</v>
      </c>
      <c r="I64" s="49">
        <f t="shared" si="2"/>
        <v>4.2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f>114+35</f>
        <v>149</v>
      </c>
      <c r="C65" s="60"/>
      <c r="D65" s="60"/>
      <c r="E65" s="51"/>
      <c r="F65" s="51"/>
      <c r="G65" s="51"/>
      <c r="H65" s="51"/>
      <c r="I65" s="49">
        <f t="shared" si="2"/>
        <v>21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150</v>
      </c>
      <c r="C66" s="60">
        <v>2</v>
      </c>
      <c r="D66" s="60">
        <f>35+35</f>
        <v>70</v>
      </c>
      <c r="E66" s="51"/>
      <c r="F66" s="51">
        <v>0.6</v>
      </c>
      <c r="G66" s="51">
        <v>0.2</v>
      </c>
      <c r="H66" s="51">
        <v>0.2</v>
      </c>
      <c r="I66" s="49">
        <f t="shared" si="2"/>
        <v>0.2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f>184+35</f>
        <v>219</v>
      </c>
      <c r="C67" s="60"/>
      <c r="D67" s="60"/>
      <c r="E67" s="51"/>
      <c r="F67" s="51"/>
      <c r="G67" s="51"/>
      <c r="H67" s="51"/>
      <c r="I67" s="49">
        <f t="shared" si="2"/>
        <v>27.8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213</v>
      </c>
      <c r="C68" s="60">
        <v>3</v>
      </c>
      <c r="D68" s="60">
        <f>35+35</f>
        <v>70</v>
      </c>
      <c r="E68" s="51">
        <v>0.8</v>
      </c>
      <c r="F68" s="51">
        <v>0.2</v>
      </c>
      <c r="G68" s="51"/>
      <c r="H68" s="51"/>
      <c r="I68" s="49">
        <f t="shared" si="2"/>
        <v>-1.2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50">
        <f>240+32</f>
        <v>272</v>
      </c>
      <c r="C69" s="50"/>
      <c r="D69" s="50"/>
      <c r="E69" s="51"/>
      <c r="F69" s="51"/>
      <c r="G69" s="51"/>
      <c r="H69" s="51"/>
      <c r="I69" s="49">
        <f t="shared" si="2"/>
        <v>25.8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50">
        <v>263</v>
      </c>
      <c r="C70" s="50">
        <v>4</v>
      </c>
      <c r="D70" s="50">
        <f>32+28</f>
        <v>60</v>
      </c>
      <c r="E70" s="51">
        <v>0.8</v>
      </c>
      <c r="F70" s="51">
        <v>0.2</v>
      </c>
      <c r="G70" s="51"/>
      <c r="H70" s="51"/>
      <c r="I70" s="49">
        <f t="shared" si="2"/>
        <v>-1.8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50">
        <f>285+25</f>
        <v>310</v>
      </c>
      <c r="C71" s="50"/>
      <c r="D71" s="50"/>
      <c r="E71" s="51"/>
      <c r="F71" s="51"/>
      <c r="G71" s="51"/>
      <c r="H71" s="51"/>
      <c r="I71" s="49">
        <f t="shared" si="2"/>
        <v>21.4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50">
        <v>304</v>
      </c>
      <c r="C72" s="50">
        <v>5</v>
      </c>
      <c r="D72" s="50">
        <f>25+22</f>
        <v>47</v>
      </c>
      <c r="E72" s="51">
        <v>0.8</v>
      </c>
      <c r="F72" s="51">
        <v>0.2</v>
      </c>
      <c r="G72" s="51"/>
      <c r="H72" s="51"/>
      <c r="I72" s="49">
        <f t="shared" si="2"/>
        <v>-1.2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65</v>
      </c>
      <c r="B73" s="50">
        <f>322+19</f>
        <v>341</v>
      </c>
      <c r="C73" s="50"/>
      <c r="D73" s="50"/>
      <c r="E73" s="51"/>
      <c r="F73" s="51"/>
      <c r="G73" s="51"/>
      <c r="H73" s="51"/>
      <c r="I73" s="49">
        <f t="shared" si="2"/>
        <v>16.8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70</v>
      </c>
      <c r="B74" s="50">
        <v>336</v>
      </c>
      <c r="C74" s="50">
        <v>6</v>
      </c>
      <c r="D74" s="50">
        <f>19+17</f>
        <v>36</v>
      </c>
      <c r="E74" s="51">
        <v>0.8</v>
      </c>
      <c r="F74" s="51">
        <v>0.2</v>
      </c>
      <c r="G74" s="51"/>
      <c r="H74" s="51"/>
      <c r="I74" s="49">
        <f t="shared" si="2"/>
        <v>-1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75</v>
      </c>
      <c r="B75" s="50">
        <f>348+15</f>
        <v>363</v>
      </c>
      <c r="C75" s="50"/>
      <c r="D75" s="50"/>
      <c r="E75" s="51"/>
      <c r="F75" s="51"/>
      <c r="G75" s="51"/>
      <c r="H75" s="51"/>
      <c r="I75" s="49">
        <f t="shared" si="2"/>
        <v>12.6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80</v>
      </c>
      <c r="B76" s="50">
        <v>358</v>
      </c>
      <c r="C76" s="50">
        <v>7</v>
      </c>
      <c r="D76" s="50">
        <f>15+14</f>
        <v>29</v>
      </c>
      <c r="E76" s="51">
        <v>0.8</v>
      </c>
      <c r="F76" s="51">
        <v>0.2</v>
      </c>
      <c r="G76" s="51"/>
      <c r="H76" s="51"/>
      <c r="I76" s="49">
        <f t="shared" si="2"/>
        <v>-1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85</v>
      </c>
      <c r="B77" s="50">
        <v>378</v>
      </c>
      <c r="C77" s="50"/>
      <c r="D77" s="50"/>
      <c r="E77" s="51"/>
      <c r="F77" s="51"/>
      <c r="G77" s="51"/>
      <c r="H77" s="51"/>
      <c r="I77" s="49">
        <f t="shared" si="2"/>
        <v>9.8000000000000007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90</v>
      </c>
      <c r="B78" s="50">
        <v>373</v>
      </c>
      <c r="C78" s="50">
        <v>8</v>
      </c>
      <c r="D78" s="50">
        <f>12+11</f>
        <v>23</v>
      </c>
      <c r="E78" s="51">
        <v>0.8</v>
      </c>
      <c r="F78" s="51">
        <v>0.2</v>
      </c>
      <c r="G78" s="51"/>
      <c r="H78" s="51"/>
      <c r="I78" s="49">
        <f t="shared" ref="I78:I81" si="3">IF(A78&lt;&gt;0,(B78-(B77-D77))/(A78-A77),"")</f>
        <v>-1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95</v>
      </c>
      <c r="B79" s="50">
        <v>390</v>
      </c>
      <c r="C79" s="50"/>
      <c r="D79" s="50"/>
      <c r="E79" s="51"/>
      <c r="F79" s="51"/>
      <c r="G79" s="51"/>
      <c r="H79" s="51"/>
      <c r="I79" s="49">
        <f t="shared" si="3"/>
        <v>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100</v>
      </c>
      <c r="B80" s="50">
        <v>385</v>
      </c>
      <c r="C80" s="50">
        <v>9</v>
      </c>
      <c r="D80" s="50">
        <f>10+9</f>
        <v>19</v>
      </c>
      <c r="E80" s="51">
        <v>0.8</v>
      </c>
      <c r="F80" s="51">
        <v>0.2</v>
      </c>
      <c r="G80" s="51"/>
      <c r="H80" s="51"/>
      <c r="I80" s="49">
        <f t="shared" si="3"/>
        <v>-1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K87" s="23" t="s">
        <v>325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11</v>
      </c>
      <c r="C88" s="60"/>
      <c r="D88" s="60"/>
      <c r="E88" s="51"/>
      <c r="F88" s="51"/>
      <c r="G88" s="51"/>
      <c r="H88" s="87"/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f>33+32</f>
        <v>65</v>
      </c>
      <c r="C89" s="60"/>
      <c r="D89" s="60"/>
      <c r="E89" s="51"/>
      <c r="F89" s="51"/>
      <c r="G89" s="51"/>
      <c r="H89" s="87"/>
      <c r="I89" s="53">
        <f t="shared" ref="I89:I107" si="4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67</v>
      </c>
      <c r="C90" s="60">
        <v>1</v>
      </c>
      <c r="D90" s="60">
        <f>32+35</f>
        <v>67</v>
      </c>
      <c r="E90" s="87">
        <v>0.5</v>
      </c>
      <c r="F90" s="87"/>
      <c r="G90" s="87"/>
      <c r="H90" s="87">
        <v>0.5</v>
      </c>
      <c r="I90" s="53">
        <f t="shared" si="4"/>
        <v>0.4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25</v>
      </c>
      <c r="B91" s="60">
        <f>106+35</f>
        <v>141</v>
      </c>
      <c r="C91" s="60"/>
      <c r="D91" s="60"/>
      <c r="E91" s="87"/>
      <c r="F91" s="87"/>
      <c r="G91" s="87"/>
      <c r="H91" s="87"/>
      <c r="I91" s="53">
        <f t="shared" si="4"/>
        <v>28.2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30</v>
      </c>
      <c r="B92" s="60">
        <f>142</f>
        <v>142</v>
      </c>
      <c r="C92" s="60">
        <v>2</v>
      </c>
      <c r="D92" s="60">
        <f>35+35</f>
        <v>70</v>
      </c>
      <c r="E92" s="87">
        <v>0.5</v>
      </c>
      <c r="F92" s="87"/>
      <c r="G92" s="87"/>
      <c r="H92" s="87">
        <v>0.5</v>
      </c>
      <c r="I92" s="53">
        <f t="shared" si="4"/>
        <v>0.2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35</v>
      </c>
      <c r="B93" s="60">
        <f>171+35</f>
        <v>206</v>
      </c>
      <c r="C93" s="60"/>
      <c r="D93" s="60"/>
      <c r="E93" s="87"/>
      <c r="F93" s="87"/>
      <c r="G93" s="87"/>
      <c r="H93" s="87"/>
      <c r="I93" s="53">
        <f t="shared" si="4"/>
        <v>26.8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f>193</f>
        <v>193</v>
      </c>
      <c r="C94" s="60">
        <v>3</v>
      </c>
      <c r="D94" s="60">
        <f>35+35</f>
        <v>70</v>
      </c>
      <c r="E94" s="87">
        <v>0.8</v>
      </c>
      <c r="F94" s="87">
        <v>0.2</v>
      </c>
      <c r="G94" s="87"/>
      <c r="H94" s="87"/>
      <c r="I94" s="53">
        <f t="shared" si="4"/>
        <v>-2.6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45</v>
      </c>
      <c r="B95" s="60">
        <f>218+24</f>
        <v>242</v>
      </c>
      <c r="C95" s="60"/>
      <c r="D95" s="60"/>
      <c r="E95" s="87"/>
      <c r="F95" s="87"/>
      <c r="G95" s="87"/>
      <c r="H95" s="87"/>
      <c r="I95" s="53">
        <f t="shared" si="4"/>
        <v>23.8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50</v>
      </c>
      <c r="B96" s="60">
        <f>242</f>
        <v>242</v>
      </c>
      <c r="C96" s="60">
        <v>4</v>
      </c>
      <c r="D96" s="60">
        <f>24+19</f>
        <v>43</v>
      </c>
      <c r="E96" s="87">
        <v>0.8</v>
      </c>
      <c r="F96" s="87">
        <v>0.2</v>
      </c>
      <c r="G96" s="87"/>
      <c r="H96" s="87"/>
      <c r="I96" s="53">
        <f t="shared" si="4"/>
        <v>0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55</v>
      </c>
      <c r="B97" s="60">
        <f>263+16</f>
        <v>279</v>
      </c>
      <c r="C97" s="60"/>
      <c r="D97" s="60"/>
      <c r="E97" s="87"/>
      <c r="F97" s="87"/>
      <c r="G97" s="87"/>
      <c r="H97" s="87"/>
      <c r="I97" s="53">
        <f t="shared" si="4"/>
        <v>16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60</v>
      </c>
      <c r="B98" s="60">
        <v>280</v>
      </c>
      <c r="C98" s="60">
        <v>5</v>
      </c>
      <c r="D98" s="60">
        <f>14+16</f>
        <v>30</v>
      </c>
      <c r="E98" s="87">
        <v>0.8</v>
      </c>
      <c r="F98" s="87">
        <v>0.2</v>
      </c>
      <c r="G98" s="87"/>
      <c r="H98" s="87"/>
      <c r="I98" s="53">
        <f t="shared" si="4"/>
        <v>0.2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65</v>
      </c>
      <c r="B99" s="60">
        <f>293+13</f>
        <v>306</v>
      </c>
      <c r="C99" s="60"/>
      <c r="D99" s="60"/>
      <c r="E99" s="87"/>
      <c r="F99" s="87"/>
      <c r="G99" s="87"/>
      <c r="H99" s="87"/>
      <c r="I99" s="53">
        <f t="shared" si="4"/>
        <v>11.2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70</v>
      </c>
      <c r="B100" s="60">
        <v>303</v>
      </c>
      <c r="C100" s="60">
        <v>6</v>
      </c>
      <c r="D100" s="60">
        <f>13+13</f>
        <v>26</v>
      </c>
      <c r="E100" s="65">
        <v>0.8</v>
      </c>
      <c r="F100" s="65">
        <v>0.2</v>
      </c>
      <c r="G100" s="65"/>
      <c r="H100" s="65"/>
      <c r="I100" s="53">
        <f t="shared" si="4"/>
        <v>-0.6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75</v>
      </c>
      <c r="B101" s="60">
        <f>312+12</f>
        <v>324</v>
      </c>
      <c r="C101" s="60"/>
      <c r="D101" s="60"/>
      <c r="E101" s="65"/>
      <c r="F101" s="65"/>
      <c r="G101" s="65"/>
      <c r="H101" s="65"/>
      <c r="I101" s="53">
        <f t="shared" si="4"/>
        <v>9.4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80</v>
      </c>
      <c r="B102" s="50">
        <v>319</v>
      </c>
      <c r="C102" s="60">
        <v>7</v>
      </c>
      <c r="D102" s="50">
        <f>12+11</f>
        <v>23</v>
      </c>
      <c r="E102" s="54">
        <v>0.8</v>
      </c>
      <c r="F102" s="54">
        <v>0.2</v>
      </c>
      <c r="G102" s="54"/>
      <c r="H102" s="54"/>
      <c r="I102" s="53">
        <f t="shared" si="4"/>
        <v>-1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2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ref="I133" si="6">IF(A133&lt;&gt;0,(B133-(B132-D132))/(A133-A132),"")</f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2" zoomScaleNormal="100" workbookViewId="0">
      <selection activeCell="H33" sqref="H33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Bouleau verruqueux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381.58561971183832</v>
      </c>
      <c r="T3" s="59">
        <f>IF('Données projet'!E9&gt;30,$R$33-$H$33,LOOKUP('Données projet'!$E$9,$A$3:$A$203,R3:R203)-LOOKUP('Données projet'!$E$9,$A$3:$A$203,$H$3:$H$203))</f>
        <v>444.55874959426347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282.98219518929034</v>
      </c>
      <c r="AO3" s="59">
        <f>IF('Données projet'!E10&gt;30,$AM$33-$H$33,LOOKUP('Données projet'!$E$10,$A$3:$A$203,AM3:AM203)-LOOKUP('Données projet'!$E$10,$A$3:$A$203,$H$3:$H$203))</f>
        <v>205.95652510682322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293.14894570672351</v>
      </c>
      <c r="BJ3" s="59">
        <f>IF('Données projet'!E11&gt;30,$BH$33-$H$33,LOOKUP('Données projet'!$E$11,$A$3:$A$203,BH3:BH203)-LOOKUP('Données projet'!$E$11,$A$3:$A$203,$H$3:$H$203))</f>
        <v>252.47559879720762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259.76966919403429</v>
      </c>
      <c r="S4" s="59">
        <f ca="1">AVERAGE(OFFSET($R$3,0,0,'Données projet'!$E$9+1,1))-AVERAGE(OFFSET($H$3,0,0,'Données projet'!$E$9+1,1))</f>
        <v>381.58561971183832</v>
      </c>
      <c r="T4" s="59">
        <f>$T$3</f>
        <v>444.55874959426347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1.6</v>
      </c>
      <c r="AI4" s="13">
        <f>IF('Données projet'!$A$62&gt;35,AI3+AH4-AQ3,IF(A4&lt;'Données projet'!$A$62,$AF$205^A4,IF(A4='Données projet'!$A$62,'Données projet'!$B$62,AI3+AH4-AQ3)))</f>
        <v>1.3195079107728942</v>
      </c>
      <c r="AJ4" s="13">
        <f>AI4*VLOOKUP('Données projet'!$B$10,Paramètres!$A$1:$I$89,3,0)*VLOOKUP('Données projet'!$B$10,Paramètres!$A$1:$I$89,5,0)</f>
        <v>0.82337293632228603</v>
      </c>
      <c r="AK4" s="13">
        <f>EXP(-1.0587+0.8836*LN(AJ4)+0.284)</f>
        <v>0.38812642316931101</v>
      </c>
      <c r="AL4" s="20">
        <f t="shared" ref="AL4:AL67" si="4">(AJ4+AK4)*0.475*44/12</f>
        <v>2.1100280511145315</v>
      </c>
      <c r="AM4" s="59">
        <f t="shared" ref="AM4:AM67" si="5">AL4+(AD4+AE4)*44/12</f>
        <v>259.99891694000337</v>
      </c>
      <c r="AN4" s="59">
        <f ca="1">AVERAGE(OFFSET($AM$3,0,0,'Données projet'!$E$10+1,1))-AVERAGE(OFFSET($H$3,0,0,'Données projet'!$E$10+1,1))</f>
        <v>282.98219518929034</v>
      </c>
      <c r="AO4" s="59">
        <f>$AO$3</f>
        <v>205.95652510682322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1.0310202862584663</v>
      </c>
      <c r="BF4" s="13">
        <f>EXP(-1.0587+0.8836*LN(BE4)+0.284)</f>
        <v>0.47345092792653765</v>
      </c>
      <c r="BG4" s="20">
        <f t="shared" ref="BG4:BG67" si="7">(BE4+BF4)*0.475*44/12</f>
        <v>2.6202873647055487</v>
      </c>
      <c r="BH4" s="59">
        <f t="shared" ref="BH4:BH67" si="8">BG4+(AY4+AZ4)*44/12</f>
        <v>260.50917625359443</v>
      </c>
      <c r="BI4" s="59">
        <f ca="1">AVERAGE(OFFSET($BH$3,0,0,'Données projet'!$E$11+1,1))-AVERAGE(OFFSET($H$3,0,0,'Données projet'!$E$11+1,1))</f>
        <v>293.14894570672351</v>
      </c>
      <c r="BJ4" s="59">
        <f>$BJ$3</f>
        <v>252.47559879720762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261.54497706414969</v>
      </c>
      <c r="S5" s="59">
        <f ca="1">AVERAGE(OFFSET($R$3,0,0,'Données projet'!$E$9+1,1))-AVERAGE(OFFSET($H$3,0,0,'Données projet'!$E$9+1,1))</f>
        <v>381.58561971183832</v>
      </c>
      <c r="T5" s="59">
        <f t="shared" ref="T5:T68" si="34">$T$3</f>
        <v>444.55874959426347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1.6</v>
      </c>
      <c r="AI5" s="13">
        <f>IF('Données projet'!$A$62&gt;35,AI4+AH5-AQ4,IF(A5&lt;'Données projet'!$A$62,$AF$205^A5,IF(A5='Données projet'!$A$62,'Données projet'!$B$62,AI4+AH5-AQ4)))</f>
        <v>1.741101126592248</v>
      </c>
      <c r="AJ5" s="13">
        <f>AI5*VLOOKUP('Données projet'!$B$10,Paramètres!$A$1:$I$89,3,0)*VLOOKUP('Données projet'!$B$10,Paramètres!$A$1:$I$89,5,0)</f>
        <v>1.0864471029935627</v>
      </c>
      <c r="AK5" s="13">
        <f t="shared" ref="AK5:AK68" si="35">EXP(-1.0587+0.8836*LN(AJ5)+0.284)</f>
        <v>0.49587161820575165</v>
      </c>
      <c r="AL5" s="20">
        <f t="shared" si="4"/>
        <v>2.7558717727554725</v>
      </c>
      <c r="AM5" s="59">
        <f t="shared" si="5"/>
        <v>261.86698288386663</v>
      </c>
      <c r="AN5" s="59">
        <f ca="1">AVERAGE(OFFSET($AM$3,0,0,'Données projet'!$E$10+1,1))-AVERAGE(OFFSET($H$3,0,0,'Données projet'!$E$10+1,1))</f>
        <v>282.98219518929034</v>
      </c>
      <c r="AO5" s="59">
        <f t="shared" ref="AO5:AO68" si="36">$AO$3</f>
        <v>205.95652510682322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1.310407828743207</v>
      </c>
      <c r="BF5" s="13">
        <f t="shared" ref="BF5:BF68" si="37">EXP(-1.0587+0.8836*LN(BE5)+0.284)</f>
        <v>0.58518398183877263</v>
      </c>
      <c r="BG5" s="20">
        <f t="shared" si="7"/>
        <v>3.3014890700969475</v>
      </c>
      <c r="BH5" s="59">
        <f t="shared" si="8"/>
        <v>262.41260018120806</v>
      </c>
      <c r="BI5" s="59">
        <f ca="1">AVERAGE(OFFSET($BH$3,0,0,'Données projet'!$E$11+1,1))-AVERAGE(OFFSET($H$3,0,0,'Données projet'!$E$11+1,1))</f>
        <v>293.14894570672351</v>
      </c>
      <c r="BJ5" s="59">
        <f t="shared" ref="BJ5:BJ68" si="38">$BJ$3</f>
        <v>252.47559879720762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263.48359426836487</v>
      </c>
      <c r="S6" s="59">
        <f ca="1">AVERAGE(OFFSET($R$3,0,0,'Données projet'!$E$9+1,1))-AVERAGE(OFFSET($H$3,0,0,'Données projet'!$E$9+1,1))</f>
        <v>381.58561971183832</v>
      </c>
      <c r="T6" s="59">
        <f t="shared" si="34"/>
        <v>444.55874959426347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1.6</v>
      </c>
      <c r="AI6" s="13">
        <f>IF('Données projet'!$A$62&gt;35,AI5+AH6-AQ5,IF(A6&lt;'Données projet'!$A$62,$AF$205^A6,IF(A6='Données projet'!$A$62,'Données projet'!$B$62,AI5+AH6-AQ5)))</f>
        <v>2.2973967099940698</v>
      </c>
      <c r="AJ6" s="13">
        <f>AI6*VLOOKUP('Données projet'!$B$10,Paramètres!$A$1:$I$89,3,0)*VLOOKUP('Données projet'!$B$10,Paramètres!$A$1:$I$89,5,0)</f>
        <v>1.4335755470362996</v>
      </c>
      <c r="AK6" s="13">
        <f t="shared" si="35"/>
        <v>0.63352724025884655</v>
      </c>
      <c r="AL6" s="20">
        <f t="shared" si="4"/>
        <v>3.6002040212057129</v>
      </c>
      <c r="AM6" s="59">
        <f t="shared" si="5"/>
        <v>263.93353735453906</v>
      </c>
      <c r="AN6" s="59">
        <f ca="1">AVERAGE(OFFSET($AM$3,0,0,'Données projet'!$E$10+1,1))-AVERAGE(OFFSET($H$3,0,0,'Données projet'!$E$10+1,1))</f>
        <v>282.98219518929034</v>
      </c>
      <c r="AO6" s="59">
        <f t="shared" si="36"/>
        <v>205.95652510682322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1.6655042587600553</v>
      </c>
      <c r="BF6" s="13">
        <f t="shared" si="37"/>
        <v>0.72328571431972233</v>
      </c>
      <c r="BG6" s="20">
        <f t="shared" si="7"/>
        <v>4.1604758697806128</v>
      </c>
      <c r="BH6" s="59">
        <f t="shared" si="8"/>
        <v>264.49380920311393</v>
      </c>
      <c r="BI6" s="59">
        <f ca="1">AVERAGE(OFFSET($BH$3,0,0,'Données projet'!$E$11+1,1))-AVERAGE(OFFSET($H$3,0,0,'Données projet'!$E$11+1,1))</f>
        <v>293.14894570672351</v>
      </c>
      <c r="BJ6" s="59">
        <f t="shared" si="38"/>
        <v>252.47559879720762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265.63392560576659</v>
      </c>
      <c r="S7" s="59">
        <f ca="1">AVERAGE(OFFSET($R$3,0,0,'Données projet'!$E$9+1,1))-AVERAGE(OFFSET($H$3,0,0,'Données projet'!$E$9+1,1))</f>
        <v>381.58561971183832</v>
      </c>
      <c r="T7" s="59">
        <f t="shared" si="34"/>
        <v>444.55874959426347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1.6</v>
      </c>
      <c r="AI7" s="13">
        <f>IF('Données projet'!$A$62&gt;35,AI6+AH7-AQ6,IF(A7&lt;'Données projet'!$A$62,$AF$205^A7,IF(A7='Données projet'!$A$62,'Données projet'!$B$62,AI6+AH7-AQ6)))</f>
        <v>3.0314331330207951</v>
      </c>
      <c r="AJ7" s="13">
        <f>AI7*VLOOKUP('Données projet'!$B$10,Paramètres!$A$1:$I$89,3,0)*VLOOKUP('Données projet'!$B$10,Paramètres!$A$1:$I$89,5,0)</f>
        <v>1.891614275004976</v>
      </c>
      <c r="AK7" s="13">
        <f t="shared" si="35"/>
        <v>0.80939652404839879</v>
      </c>
      <c r="AL7" s="20">
        <f t="shared" si="4"/>
        <v>4.7042604750179606</v>
      </c>
      <c r="AM7" s="59">
        <f t="shared" si="5"/>
        <v>266.25981603057352</v>
      </c>
      <c r="AN7" s="59">
        <f ca="1">AVERAGE(OFFSET($AM$3,0,0,'Données projet'!$E$10+1,1))-AVERAGE(OFFSET($H$3,0,0,'Données projet'!$E$10+1,1))</f>
        <v>282.98219518929034</v>
      </c>
      <c r="AO7" s="59">
        <f t="shared" si="36"/>
        <v>205.95652510682322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2.116825292938223</v>
      </c>
      <c r="BF7" s="13">
        <f t="shared" si="37"/>
        <v>0.89397905748405238</v>
      </c>
      <c r="BG7" s="20">
        <f t="shared" si="7"/>
        <v>5.2438175769854629</v>
      </c>
      <c r="BH7" s="59">
        <f t="shared" si="8"/>
        <v>266.79937313254101</v>
      </c>
      <c r="BI7" s="59">
        <f ca="1">AVERAGE(OFFSET($BH$3,0,0,'Données projet'!$E$11+1,1))-AVERAGE(OFFSET($H$3,0,0,'Données projet'!$E$11+1,1))</f>
        <v>293.14894570672351</v>
      </c>
      <c r="BJ7" s="59">
        <f t="shared" si="38"/>
        <v>252.47559879720762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268.05877425367106</v>
      </c>
      <c r="S8" s="59">
        <f ca="1">AVERAGE(OFFSET($R$3,0,0,'Données projet'!$E$9+1,1))-AVERAGE(OFFSET($H$3,0,0,'Données projet'!$E$9+1,1))</f>
        <v>381.58561971183832</v>
      </c>
      <c r="T8" s="59">
        <f t="shared" si="34"/>
        <v>444.55874959426347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1.6</v>
      </c>
      <c r="AI8" s="13">
        <f>IF('Données projet'!$A$62&gt;35,AI7+AH8-AQ7,IF(A8&lt;'Données projet'!$A$62,$AF$205^A8,IF(A8='Données projet'!$A$62,'Données projet'!$B$62,AI7+AH8-AQ7)))</f>
        <v>3.9999999999999982</v>
      </c>
      <c r="AJ8" s="13">
        <f>AI8*VLOOKUP('Données projet'!$B$10,Paramètres!$A$1:$I$89,3,0)*VLOOKUP('Données projet'!$B$10,Paramètres!$A$1:$I$89,5,0)</f>
        <v>2.4959999999999987</v>
      </c>
      <c r="AK8" s="13">
        <f t="shared" si="35"/>
        <v>1.0340877100627279</v>
      </c>
      <c r="AL8" s="20">
        <f t="shared" si="4"/>
        <v>6.1482360950259149</v>
      </c>
      <c r="AM8" s="59">
        <f t="shared" si="5"/>
        <v>268.92601387280371</v>
      </c>
      <c r="AN8" s="59">
        <f ca="1">AVERAGE(OFFSET($AM$3,0,0,'Données projet'!$E$10+1,1))-AVERAGE(OFFSET($H$3,0,0,'Données projet'!$E$10+1,1))</f>
        <v>282.98219518929034</v>
      </c>
      <c r="AO8" s="59">
        <f t="shared" si="36"/>
        <v>205.95652510682322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2.690446029936302</v>
      </c>
      <c r="BF8" s="13">
        <f t="shared" si="37"/>
        <v>1.1049555374832079</v>
      </c>
      <c r="BG8" s="20">
        <f t="shared" si="7"/>
        <v>6.6103243965889789</v>
      </c>
      <c r="BH8" s="59">
        <f t="shared" si="8"/>
        <v>269.38810217436674</v>
      </c>
      <c r="BI8" s="59">
        <f ca="1">AVERAGE(OFFSET($BH$3,0,0,'Données projet'!$E$11+1,1))-AVERAGE(OFFSET($H$3,0,0,'Données projet'!$E$11+1,1))</f>
        <v>293.14894570672351</v>
      </c>
      <c r="BJ8" s="59">
        <f t="shared" si="38"/>
        <v>252.47559879720762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270.83963883937986</v>
      </c>
      <c r="S9" s="59">
        <f ca="1">AVERAGE(OFFSET($R$3,0,0,'Données projet'!$E$9+1,1))-AVERAGE(OFFSET($H$3,0,0,'Données projet'!$E$9+1,1))</f>
        <v>381.58561971183832</v>
      </c>
      <c r="T9" s="59">
        <f t="shared" si="34"/>
        <v>444.55874959426347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1.6</v>
      </c>
      <c r="AI9" s="13">
        <f>IF('Données projet'!$A$62&gt;35,AI8+AH9-AQ8,IF(A9&lt;'Données projet'!$A$62,$AF$205^A9,IF(A9='Données projet'!$A$62,'Données projet'!$B$62,AI8+AH9-AQ8)))</f>
        <v>5.2780316430915741</v>
      </c>
      <c r="AJ9" s="13">
        <f>AI9*VLOOKUP('Données projet'!$B$10,Paramètres!$A$1:$I$89,3,0)*VLOOKUP('Données projet'!$B$10,Paramètres!$A$1:$I$89,5,0)</f>
        <v>3.2934917452891423</v>
      </c>
      <c r="AK9" s="13">
        <f t="shared" si="35"/>
        <v>1.3211539218802408</v>
      </c>
      <c r="AL9" s="20">
        <f t="shared" si="4"/>
        <v>8.0371745369866741</v>
      </c>
      <c r="AM9" s="59">
        <f t="shared" si="5"/>
        <v>272.0371745369867</v>
      </c>
      <c r="AN9" s="59">
        <f ca="1">AVERAGE(OFFSET($AM$3,0,0,'Données projet'!$E$10+1,1))-AVERAGE(OFFSET($H$3,0,0,'Données projet'!$E$10+1,1))</f>
        <v>282.98219518929034</v>
      </c>
      <c r="AO9" s="59">
        <f t="shared" si="36"/>
        <v>205.95652510682322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3.4195074407641517</v>
      </c>
      <c r="BF9" s="13">
        <f t="shared" si="37"/>
        <v>1.3657218584637647</v>
      </c>
      <c r="BG9" s="20">
        <f t="shared" si="7"/>
        <v>8.3342743628219527</v>
      </c>
      <c r="BH9" s="59">
        <f t="shared" si="8"/>
        <v>272.33427436282193</v>
      </c>
      <c r="BI9" s="59">
        <f ca="1">AVERAGE(OFFSET($BH$3,0,0,'Données projet'!$E$11+1,1))-AVERAGE(OFFSET($H$3,0,0,'Données projet'!$E$11+1,1))</f>
        <v>293.14894570672351</v>
      </c>
      <c r="BJ9" s="59">
        <f t="shared" si="38"/>
        <v>252.47559879720762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274.08229683859719</v>
      </c>
      <c r="S10" s="59">
        <f ca="1">AVERAGE(OFFSET($R$3,0,0,'Données projet'!$E$9+1,1))-AVERAGE(OFFSET($H$3,0,0,'Données projet'!$E$9+1,1))</f>
        <v>381.58561971183832</v>
      </c>
      <c r="T10" s="59">
        <f t="shared" si="34"/>
        <v>444.55874959426347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1.6</v>
      </c>
      <c r="AI10" s="13">
        <f>IF('Données projet'!$A$62&gt;35,AI9+AH10-AQ9,IF(A10&lt;'Données projet'!$A$62,$AF$205^A10,IF(A10='Données projet'!$A$62,'Données projet'!$B$62,AI9+AH10-AQ9)))</f>
        <v>6.9644045063689894</v>
      </c>
      <c r="AJ10" s="13">
        <f>AI10*VLOOKUP('Données projet'!$B$10,Paramètres!$A$1:$I$89,3,0)*VLOOKUP('Données projet'!$B$10,Paramètres!$A$1:$I$89,5,0)</f>
        <v>4.3457884119742491</v>
      </c>
      <c r="AK10" s="13">
        <f t="shared" si="35"/>
        <v>1.6879106755786337</v>
      </c>
      <c r="AL10" s="20">
        <f t="shared" si="4"/>
        <v>10.508692577487937</v>
      </c>
      <c r="AM10" s="59">
        <f t="shared" si="5"/>
        <v>275.73091479971015</v>
      </c>
      <c r="AN10" s="59">
        <f ca="1">AVERAGE(OFFSET($AM$3,0,0,'Données projet'!$E$10+1,1))-AVERAGE(OFFSET($H$3,0,0,'Données projet'!$E$10+1,1))</f>
        <v>282.98219518929034</v>
      </c>
      <c r="AO10" s="59">
        <f t="shared" si="36"/>
        <v>205.95652510682322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4.3461310902855157</v>
      </c>
      <c r="BF10" s="13">
        <f t="shared" si="37"/>
        <v>1.6880282793406653</v>
      </c>
      <c r="BG10" s="20">
        <f t="shared" si="7"/>
        <v>10.509494235432264</v>
      </c>
      <c r="BH10" s="59">
        <f t="shared" si="8"/>
        <v>275.7317164576545</v>
      </c>
      <c r="BI10" s="59">
        <f ca="1">AVERAGE(OFFSET($BH$3,0,0,'Données projet'!$E$11+1,1))-AVERAGE(OFFSET($H$3,0,0,'Données projet'!$E$11+1,1))</f>
        <v>293.14894570672351</v>
      </c>
      <c r="BJ10" s="59">
        <f t="shared" si="38"/>
        <v>252.47559879720762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277.9240604336527</v>
      </c>
      <c r="S11" s="59">
        <f ca="1">AVERAGE(OFFSET($R$3,0,0,'Données projet'!$E$9+1,1))-AVERAGE(OFFSET($H$3,0,0,'Données projet'!$E$9+1,1))</f>
        <v>381.58561971183832</v>
      </c>
      <c r="T11" s="59">
        <f t="shared" si="34"/>
        <v>444.55874959426347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1.6</v>
      </c>
      <c r="AI11" s="13">
        <f>IF('Données projet'!$A$62&gt;35,AI10+AH11-AQ10,IF(A11&lt;'Données projet'!$A$62,$AF$205^A11,IF(A11='Données projet'!$A$62,'Données projet'!$B$62,AI10+AH11-AQ10)))</f>
        <v>9.1895868399762737</v>
      </c>
      <c r="AJ11" s="13">
        <f>AI11*VLOOKUP('Données projet'!$B$10,Paramètres!$A$1:$I$89,3,0)*VLOOKUP('Données projet'!$B$10,Paramètres!$A$1:$I$89,5,0)</f>
        <v>5.734302188145195</v>
      </c>
      <c r="AK11" s="13">
        <f t="shared" si="35"/>
        <v>2.1564803324942012</v>
      </c>
      <c r="AL11" s="20">
        <f t="shared" si="4"/>
        <v>13.743112890113615</v>
      </c>
      <c r="AM11" s="59">
        <f t="shared" si="5"/>
        <v>280.18755733455805</v>
      </c>
      <c r="AN11" s="59">
        <f ca="1">AVERAGE(OFFSET($AM$3,0,0,'Données projet'!$E$10+1,1))-AVERAGE(OFFSET($H$3,0,0,'Données projet'!$E$10+1,1))</f>
        <v>282.98219518929034</v>
      </c>
      <c r="AO11" s="59">
        <f t="shared" si="36"/>
        <v>205.95652510682322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5.5238527130460966</v>
      </c>
      <c r="BF11" s="13">
        <f t="shared" si="37"/>
        <v>2.0863980862538192</v>
      </c>
      <c r="BG11" s="20">
        <f t="shared" si="7"/>
        <v>13.25452014211402</v>
      </c>
      <c r="BH11" s="59">
        <f t="shared" si="8"/>
        <v>279.69896458655847</v>
      </c>
      <c r="BI11" s="59">
        <f ca="1">AVERAGE(OFFSET($BH$3,0,0,'Données projet'!$E$11+1,1))-AVERAGE(OFFSET($H$3,0,0,'Données projet'!$E$11+1,1))</f>
        <v>293.14894570672351</v>
      </c>
      <c r="BJ11" s="59">
        <f t="shared" si="38"/>
        <v>252.47559879720762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282.54320716865197</v>
      </c>
      <c r="S12" s="59">
        <f ca="1">AVERAGE(OFFSET($R$3,0,0,'Données projet'!$E$9+1,1))-AVERAGE(OFFSET($H$3,0,0,'Données projet'!$E$9+1,1))</f>
        <v>381.58561971183832</v>
      </c>
      <c r="T12" s="59">
        <f t="shared" si="34"/>
        <v>444.55874959426347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1.6</v>
      </c>
      <c r="AI12" s="13">
        <f>IF('Données projet'!$A$62&gt;35,AI11+AH12-AQ11,IF(A12&lt;'Données projet'!$A$62,$AF$205^A12,IF(A12='Données projet'!$A$62,'Données projet'!$B$62,AI11+AH12-AQ11)))</f>
        <v>12.125732532083175</v>
      </c>
      <c r="AJ12" s="13">
        <f>AI12*VLOOKUP('Données projet'!$B$10,Paramètres!$A$1:$I$89,3,0)*VLOOKUP('Données projet'!$B$10,Paramètres!$A$1:$I$89,5,0)</f>
        <v>7.5664571000199006</v>
      </c>
      <c r="AK12" s="13">
        <f t="shared" si="35"/>
        <v>2.7551264955653472</v>
      </c>
      <c r="AL12" s="20">
        <f t="shared" si="4"/>
        <v>17.976758095644303</v>
      </c>
      <c r="AM12" s="59">
        <f t="shared" si="5"/>
        <v>285.64342476231099</v>
      </c>
      <c r="AN12" s="59">
        <f ca="1">AVERAGE(OFFSET($AM$3,0,0,'Données projet'!$E$10+1,1))-AVERAGE(OFFSET($H$3,0,0,'Données projet'!$E$10+1,1))</f>
        <v>282.98219518929034</v>
      </c>
      <c r="AO12" s="59">
        <f t="shared" si="36"/>
        <v>205.95652510682322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7.0207152434102458</v>
      </c>
      <c r="BF12" s="13">
        <f t="shared" si="37"/>
        <v>2.5787820189978565</v>
      </c>
      <c r="BG12" s="20">
        <f t="shared" si="7"/>
        <v>16.71912439869411</v>
      </c>
      <c r="BH12" s="59">
        <f t="shared" si="8"/>
        <v>284.38579106536082</v>
      </c>
      <c r="BI12" s="59">
        <f ca="1">AVERAGE(OFFSET($BH$3,0,0,'Données projet'!$E$11+1,1))-AVERAGE(OFFSET($H$3,0,0,'Données projet'!$E$11+1,1))</f>
        <v>293.14894570672351</v>
      </c>
      <c r="BJ12" s="59">
        <f t="shared" si="38"/>
        <v>252.47559879720762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288.17123899352742</v>
      </c>
      <c r="S13" s="59">
        <f ca="1">AVERAGE(OFFSET($R$3,0,0,'Données projet'!$E$9+1,1))-AVERAGE(OFFSET($H$3,0,0,'Données projet'!$E$9+1,1))</f>
        <v>381.58561971183832</v>
      </c>
      <c r="T13" s="59">
        <f t="shared" si="34"/>
        <v>444.55874959426347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16</v>
      </c>
      <c r="AG13" s="12">
        <f>VLOOKUP(A13,'Données projet'!$A$61:$I$81,9,0)</f>
        <v>1.6</v>
      </c>
      <c r="AH13" s="12">
        <f t="array" ref="AH13">INDEX(AG:AG,MIN(IF(ISNUMBER(AG13:AG209),ROW(AG13:AG209),"")))</f>
        <v>1.6</v>
      </c>
      <c r="AI13" s="13">
        <f>IF('Données projet'!$A$62&gt;35,AI12+AH13-AQ12,IF(A13&lt;'Données projet'!$A$62,$AF$205^A13,IF(A13='Données projet'!$A$62,'Données projet'!$B$62,AI12+AH13-AQ12)))</f>
        <v>16</v>
      </c>
      <c r="AJ13" s="13">
        <f>AI13*VLOOKUP('Données projet'!$B$10,Paramètres!$A$1:$I$89,3,0)*VLOOKUP('Données projet'!$B$10,Paramètres!$A$1:$I$89,5,0)</f>
        <v>9.984</v>
      </c>
      <c r="AK13" s="13">
        <f t="shared" si="35"/>
        <v>3.5199588385703997</v>
      </c>
      <c r="AL13" s="20">
        <f t="shared" si="4"/>
        <v>23.519394977176777</v>
      </c>
      <c r="AM13" s="59">
        <f t="shared" si="5"/>
        <v>292.40828386606563</v>
      </c>
      <c r="AN13" s="59">
        <f ca="1">AVERAGE(OFFSET($AM$3,0,0,'Données projet'!$E$10+1,1))-AVERAGE(OFFSET($H$3,0,0,'Données projet'!$E$10+1,1))</f>
        <v>282.98219518929034</v>
      </c>
      <c r="AO13" s="59">
        <f t="shared" si="36"/>
        <v>205.95652510682322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8.9232000000000014</v>
      </c>
      <c r="BF13" s="13">
        <f t="shared" si="37"/>
        <v>3.187367140202428</v>
      </c>
      <c r="BG13" s="20">
        <f t="shared" si="7"/>
        <v>21.092571102519226</v>
      </c>
      <c r="BH13" s="59">
        <f t="shared" si="8"/>
        <v>289.98145999140809</v>
      </c>
      <c r="BI13" s="59">
        <f ca="1">AVERAGE(OFFSET($BH$3,0,0,'Données projet'!$E$11+1,1))-AVERAGE(OFFSET($H$3,0,0,'Données projet'!$E$11+1,1))</f>
        <v>293.14894570672351</v>
      </c>
      <c r="BJ13" s="59">
        <f t="shared" si="38"/>
        <v>252.47559879720762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295.10882018897831</v>
      </c>
      <c r="S14" s="59">
        <f ca="1">AVERAGE(OFFSET($R$3,0,0,'Données projet'!$E$9+1,1))-AVERAGE(OFFSET($H$3,0,0,'Données projet'!$E$9+1,1))</f>
        <v>381.58561971183832</v>
      </c>
      <c r="T14" s="59">
        <f t="shared" si="34"/>
        <v>444.55874959426347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8.8000000000000007</v>
      </c>
      <c r="AI14" s="13">
        <f>IF('Données projet'!$A$62&gt;35,AI13+AH14-AQ13,IF(A14&lt;'Données projet'!$A$62,$AF$205^A14,IF(A14='Données projet'!$A$62,'Données projet'!$B$62,AI13+AH14-AQ13)))</f>
        <v>24.8</v>
      </c>
      <c r="AJ14" s="13">
        <f>AI14*VLOOKUP('Données projet'!$B$10,Paramètres!$A$1:$I$89,3,0)*VLOOKUP('Données projet'!$B$10,Paramètres!$A$1:$I$89,5,0)</f>
        <v>15.475200000000001</v>
      </c>
      <c r="AK14" s="13">
        <f t="shared" si="35"/>
        <v>5.1845930517653818</v>
      </c>
      <c r="AL14" s="20">
        <f t="shared" si="4"/>
        <v>35.982472898491373</v>
      </c>
      <c r="AM14" s="59">
        <f t="shared" si="5"/>
        <v>306.09358400960252</v>
      </c>
      <c r="AN14" s="59">
        <f ca="1">AVERAGE(OFFSET($AM$3,0,0,'Données projet'!$E$10+1,1))-AVERAGE(OFFSET($H$3,0,0,'Données projet'!$E$10+1,1))</f>
        <v>282.98219518929034</v>
      </c>
      <c r="AO14" s="59">
        <f t="shared" si="36"/>
        <v>205.95652510682322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17.684160000000002</v>
      </c>
      <c r="BF14" s="13">
        <f t="shared" si="37"/>
        <v>5.8333451290197509</v>
      </c>
      <c r="BG14" s="20">
        <f t="shared" si="7"/>
        <v>40.959654766376069</v>
      </c>
      <c r="BH14" s="59">
        <f t="shared" si="8"/>
        <v>311.07076587748719</v>
      </c>
      <c r="BI14" s="59">
        <f ca="1">AVERAGE(OFFSET($BH$3,0,0,'Données projet'!$E$11+1,1))-AVERAGE(OFFSET($H$3,0,0,'Données projet'!$E$11+1,1))</f>
        <v>293.14894570672351</v>
      </c>
      <c r="BJ14" s="59">
        <f t="shared" si="38"/>
        <v>252.47559879720762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303.74650101186751</v>
      </c>
      <c r="S15" s="59">
        <f ca="1">AVERAGE(OFFSET($R$3,0,0,'Données projet'!$E$9+1,1))-AVERAGE(OFFSET($H$3,0,0,'Données projet'!$E$9+1,1))</f>
        <v>381.58561971183832</v>
      </c>
      <c r="T15" s="59">
        <f t="shared" si="34"/>
        <v>444.55874959426347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8.8000000000000007</v>
      </c>
      <c r="AI15" s="13">
        <f>IF('Données projet'!$A$62&gt;35,AI14+AH15-AQ14,IF(A15&lt;'Données projet'!$A$62,$AF$205^A15,IF(A15='Données projet'!$A$62,'Données projet'!$B$62,AI14+AH15-AQ14)))</f>
        <v>33.6</v>
      </c>
      <c r="AJ15" s="13">
        <f>AI15*VLOOKUP('Données projet'!$B$10,Paramètres!$A$1:$I$89,3,0)*VLOOKUP('Données projet'!$B$10,Paramètres!$A$1:$I$89,5,0)</f>
        <v>20.9664</v>
      </c>
      <c r="AK15" s="13">
        <f t="shared" si="35"/>
        <v>6.7803256634538869</v>
      </c>
      <c r="AL15" s="20">
        <f t="shared" si="4"/>
        <v>48.325547197182182</v>
      </c>
      <c r="AM15" s="59">
        <f t="shared" si="5"/>
        <v>319.65888053051549</v>
      </c>
      <c r="AN15" s="59">
        <f ca="1">AVERAGE(OFFSET($AM$3,0,0,'Données projet'!$E$10+1,1))-AVERAGE(OFFSET($H$3,0,0,'Données projet'!$E$10+1,1))</f>
        <v>282.98219518929034</v>
      </c>
      <c r="AO15" s="59">
        <f t="shared" si="36"/>
        <v>205.95652510682322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26.445120000000003</v>
      </c>
      <c r="BF15" s="13">
        <f t="shared" si="37"/>
        <v>8.3240865246071554</v>
      </c>
      <c r="BG15" s="20">
        <f t="shared" si="7"/>
        <v>60.556368030357454</v>
      </c>
      <c r="BH15" s="59">
        <f t="shared" si="8"/>
        <v>331.88970136369079</v>
      </c>
      <c r="BI15" s="59">
        <f ca="1">AVERAGE(OFFSET($BH$3,0,0,'Données projet'!$E$11+1,1))-AVERAGE(OFFSET($H$3,0,0,'Données projet'!$E$11+1,1))</f>
        <v>293.14894570672351</v>
      </c>
      <c r="BJ15" s="59">
        <f t="shared" si="38"/>
        <v>252.47559879720762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314.59166767936932</v>
      </c>
      <c r="S16" s="59">
        <f ca="1">AVERAGE(OFFSET($R$3,0,0,'Données projet'!$E$9+1,1))-AVERAGE(OFFSET($H$3,0,0,'Données projet'!$E$9+1,1))</f>
        <v>381.58561971183832</v>
      </c>
      <c r="T16" s="59">
        <f t="shared" si="34"/>
        <v>444.55874959426347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8.8000000000000007</v>
      </c>
      <c r="AI16" s="13">
        <f>IF('Données projet'!$A$62&gt;35,AI15+AH16-AQ15,IF(A16&lt;'Données projet'!$A$62,$AF$205^A16,IF(A16='Données projet'!$A$62,'Données projet'!$B$62,AI15+AH16-AQ15)))</f>
        <v>42.400000000000006</v>
      </c>
      <c r="AJ16" s="13">
        <f>AI16*VLOOKUP('Données projet'!$B$10,Paramètres!$A$1:$I$89,3,0)*VLOOKUP('Données projet'!$B$10,Paramètres!$A$1:$I$89,5,0)</f>
        <v>26.457600000000003</v>
      </c>
      <c r="AK16" s="13">
        <f t="shared" si="35"/>
        <v>8.3275574830183334</v>
      </c>
      <c r="AL16" s="20">
        <f t="shared" si="4"/>
        <v>60.584149282923612</v>
      </c>
      <c r="AM16" s="59">
        <f t="shared" si="5"/>
        <v>333.13970483847913</v>
      </c>
      <c r="AN16" s="59">
        <f ca="1">AVERAGE(OFFSET($AM$3,0,0,'Données projet'!$E$10+1,1))-AVERAGE(OFFSET($H$3,0,0,'Données projet'!$E$10+1,1))</f>
        <v>282.98219518929034</v>
      </c>
      <c r="AO16" s="59">
        <f t="shared" si="36"/>
        <v>205.95652510682322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35.206080000000007</v>
      </c>
      <c r="BF16" s="13">
        <f t="shared" si="37"/>
        <v>10.718732666310196</v>
      </c>
      <c r="BG16" s="20">
        <f t="shared" si="7"/>
        <v>79.985715393823597</v>
      </c>
      <c r="BH16" s="59">
        <f t="shared" si="8"/>
        <v>352.54127094937917</v>
      </c>
      <c r="BI16" s="59">
        <f ca="1">AVERAGE(OFFSET($BH$3,0,0,'Données projet'!$E$11+1,1))-AVERAGE(OFFSET($H$3,0,0,'Données projet'!$E$11+1,1))</f>
        <v>293.14894570672351</v>
      </c>
      <c r="BJ16" s="59">
        <f t="shared" si="38"/>
        <v>252.47559879720762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328.3035939534235</v>
      </c>
      <c r="S17" s="59">
        <f ca="1">AVERAGE(OFFSET($R$3,0,0,'Données projet'!$E$9+1,1))-AVERAGE(OFFSET($H$3,0,0,'Données projet'!$E$9+1,1))</f>
        <v>381.58561971183832</v>
      </c>
      <c r="T17" s="59">
        <f t="shared" si="34"/>
        <v>444.55874959426347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8.8000000000000007</v>
      </c>
      <c r="AI17" s="13">
        <f>IF('Données projet'!$A$62&gt;35,AI16+AH17-AQ16,IF(A17&lt;'Données projet'!$A$62,$AF$205^A17,IF(A17='Données projet'!$A$62,'Données projet'!$B$62,AI16+AH17-AQ16)))</f>
        <v>51.2</v>
      </c>
      <c r="AJ17" s="13">
        <f>AI17*VLOOKUP('Données projet'!$B$10,Paramètres!$A$1:$I$89,3,0)*VLOOKUP('Données projet'!$B$10,Paramètres!$A$1:$I$89,5,0)</f>
        <v>31.948800000000002</v>
      </c>
      <c r="AK17" s="13">
        <f t="shared" si="35"/>
        <v>9.8375761204539884</v>
      </c>
      <c r="AL17" s="20">
        <f t="shared" si="4"/>
        <v>72.777938409790707</v>
      </c>
      <c r="AM17" s="59">
        <f t="shared" si="5"/>
        <v>346.55571618756846</v>
      </c>
      <c r="AN17" s="59">
        <f ca="1">AVERAGE(OFFSET($AM$3,0,0,'Données projet'!$E$10+1,1))-AVERAGE(OFFSET($H$3,0,0,'Données projet'!$E$10+1,1))</f>
        <v>282.98219518929034</v>
      </c>
      <c r="AO17" s="59">
        <f t="shared" si="36"/>
        <v>205.95652510682322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43.967040000000004</v>
      </c>
      <c r="BF17" s="13">
        <f t="shared" si="37"/>
        <v>13.04425511497986</v>
      </c>
      <c r="BG17" s="20">
        <f t="shared" si="7"/>
        <v>99.294672325256599</v>
      </c>
      <c r="BH17" s="59">
        <f t="shared" si="8"/>
        <v>373.07245010303438</v>
      </c>
      <c r="BI17" s="59">
        <f ca="1">AVERAGE(OFFSET($BH$3,0,0,'Données projet'!$E$11+1,1))-AVERAGE(OFFSET($H$3,0,0,'Données projet'!$E$11+1,1))</f>
        <v>293.14894570672351</v>
      </c>
      <c r="BJ17" s="59">
        <f t="shared" si="38"/>
        <v>252.47559879720762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345.73903563222814</v>
      </c>
      <c r="S18" s="59">
        <f ca="1">AVERAGE(OFFSET($R$3,0,0,'Données projet'!$E$9+1,1))-AVERAGE(OFFSET($H$3,0,0,'Données projet'!$E$9+1,1))</f>
        <v>381.58561971183832</v>
      </c>
      <c r="T18" s="59">
        <f t="shared" si="34"/>
        <v>444.55874959426347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60</v>
      </c>
      <c r="AG18" s="12">
        <f>VLOOKUP(A18,'Données projet'!$A$61:$I$81,9,0)</f>
        <v>8.8000000000000007</v>
      </c>
      <c r="AH18" s="12">
        <f t="array" ref="AH18">INDEX(AG:AG,MIN(IF(ISNUMBER(AG18:AG214),ROW(AG18:AG214),"")))</f>
        <v>8.8000000000000007</v>
      </c>
      <c r="AI18" s="13">
        <f>IF('Données projet'!$A$62&gt;35,AI17+AH18-AQ17,IF(A18&lt;'Données projet'!$A$62,$AF$205^A18,IF(A18='Données projet'!$A$62,'Données projet'!$B$62,AI17+AH18-AQ17)))</f>
        <v>60</v>
      </c>
      <c r="AJ18" s="13">
        <f>AI18*VLOOKUP('Données projet'!$B$10,Paramètres!$A$1:$I$89,3,0)*VLOOKUP('Données projet'!$B$10,Paramètres!$A$1:$I$89,5,0)</f>
        <v>37.44</v>
      </c>
      <c r="AK18" s="13">
        <f t="shared" si="35"/>
        <v>11.31752892568918</v>
      </c>
      <c r="AL18" s="20">
        <f t="shared" si="4"/>
        <v>84.919362878908643</v>
      </c>
      <c r="AM18" s="59">
        <f t="shared" si="5"/>
        <v>359.91936287890866</v>
      </c>
      <c r="AN18" s="59">
        <f ca="1">AVERAGE(OFFSET($AM$3,0,0,'Données projet'!$E$10+1,1))-AVERAGE(OFFSET($H$3,0,0,'Données projet'!$E$10+1,1))</f>
        <v>282.98219518929034</v>
      </c>
      <c r="AO18" s="59">
        <f t="shared" si="36"/>
        <v>205.95652510682322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52.728000000000009</v>
      </c>
      <c r="BF18" s="13">
        <f t="shared" si="37"/>
        <v>15.316084592505286</v>
      </c>
      <c r="BG18" s="20">
        <f t="shared" si="7"/>
        <v>118.51011399861339</v>
      </c>
      <c r="BH18" s="59">
        <f t="shared" si="8"/>
        <v>393.51011399861341</v>
      </c>
      <c r="BI18" s="59">
        <f ca="1">AVERAGE(OFFSET($BH$3,0,0,'Données projet'!$E$11+1,1))-AVERAGE(OFFSET($H$3,0,0,'Données projet'!$E$11+1,1))</f>
        <v>293.14894570672351</v>
      </c>
      <c r="BJ18" s="59">
        <f t="shared" si="38"/>
        <v>252.47559879720762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368.01154650081702</v>
      </c>
      <c r="S19" s="59">
        <f ca="1">AVERAGE(OFFSET($R$3,0,0,'Données projet'!$E$9+1,1))-AVERAGE(OFFSET($H$3,0,0,'Données projet'!$E$9+1,1))</f>
        <v>381.58561971183832</v>
      </c>
      <c r="T19" s="59">
        <f t="shared" si="34"/>
        <v>444.55874959426347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4.2</v>
      </c>
      <c r="AI19" s="13">
        <f>IF('Données projet'!$A$62&gt;35,AI18+AH19-AQ18,IF(A19&lt;'Données projet'!$A$62,$AF$205^A19,IF(A19='Données projet'!$A$62,'Données projet'!$B$62,AI18+AH19-AQ18)))</f>
        <v>64.2</v>
      </c>
      <c r="AJ19" s="13">
        <f>AI19*VLOOKUP('Données projet'!$B$10,Paramètres!$A$1:$I$89,3,0)*VLOOKUP('Données projet'!$B$10,Paramètres!$A$1:$I$89,5,0)</f>
        <v>40.0608</v>
      </c>
      <c r="AK19" s="13">
        <f t="shared" si="35"/>
        <v>12.014760528599025</v>
      </c>
      <c r="AL19" s="20">
        <f t="shared" si="4"/>
        <v>90.698267920643289</v>
      </c>
      <c r="AM19" s="59">
        <f t="shared" si="5"/>
        <v>366.9204901428655</v>
      </c>
      <c r="AN19" s="59">
        <f ca="1">AVERAGE(OFFSET($AM$3,0,0,'Données projet'!$E$10+1,1))-AVERAGE(OFFSET($H$3,0,0,'Données projet'!$E$10+1,1))</f>
        <v>282.98219518929034</v>
      </c>
      <c r="AO19" s="59">
        <f t="shared" si="36"/>
        <v>205.95652510682322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0.4</v>
      </c>
      <c r="BD19" s="12">
        <f>IF('Données projet'!$A$88&gt;35,BD18+BC19-BL18,IF(A19&lt;'Données projet'!$A$88,$BA$205^A19,IF(A19='Données projet'!$A$88,'Données projet'!$B$88,BD18+BC19-BL18)))</f>
        <v>65.400000000000006</v>
      </c>
      <c r="BE19" s="13">
        <f>BD19*VLOOKUP('Données projet'!$B$11,Paramètres!$A$1:$I$89,3,0)*VLOOKUP('Données projet'!$B$11,Paramètres!$A$1:$I$89,5,0)</f>
        <v>53.052480000000003</v>
      </c>
      <c r="BF19" s="13">
        <f t="shared" si="37"/>
        <v>15.399336631945953</v>
      </c>
      <c r="BG19" s="20">
        <f t="shared" si="7"/>
        <v>119.2202473006392</v>
      </c>
      <c r="BH19" s="59">
        <f t="shared" si="8"/>
        <v>395.44246952286142</v>
      </c>
      <c r="BI19" s="59">
        <f ca="1">AVERAGE(OFFSET($BH$3,0,0,'Données projet'!$E$11+1,1))-AVERAGE(OFFSET($H$3,0,0,'Données projet'!$E$11+1,1))</f>
        <v>293.14894570672351</v>
      </c>
      <c r="BJ19" s="59">
        <f t="shared" si="38"/>
        <v>252.47559879720762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396.56865461000649</v>
      </c>
      <c r="S20" s="59">
        <f ca="1">AVERAGE(OFFSET($R$3,0,0,'Données projet'!$E$9+1,1))-AVERAGE(OFFSET($H$3,0,0,'Données projet'!$E$9+1,1))</f>
        <v>381.58561971183832</v>
      </c>
      <c r="T20" s="59">
        <f t="shared" si="34"/>
        <v>444.55874959426347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4.2</v>
      </c>
      <c r="AI20" s="13">
        <f>IF('Données projet'!$A$62&gt;35,AI19+AH20-AQ19,IF(A20&lt;'Données projet'!$A$62,$AF$205^A20,IF(A20='Données projet'!$A$62,'Données projet'!$B$62,AI19+AH20-AQ19)))</f>
        <v>68.400000000000006</v>
      </c>
      <c r="AJ20" s="13">
        <f>AI20*VLOOKUP('Données projet'!$B$10,Paramètres!$A$1:$I$89,3,0)*VLOOKUP('Données projet'!$B$10,Paramètres!$A$1:$I$89,5,0)</f>
        <v>42.681600000000003</v>
      </c>
      <c r="AK20" s="13">
        <f t="shared" si="35"/>
        <v>12.70669892520443</v>
      </c>
      <c r="AL20" s="20">
        <f t="shared" si="4"/>
        <v>96.467953961397711</v>
      </c>
      <c r="AM20" s="59">
        <f t="shared" si="5"/>
        <v>373.91239840584217</v>
      </c>
      <c r="AN20" s="59">
        <f ca="1">AVERAGE(OFFSET($AM$3,0,0,'Données projet'!$E$10+1,1))-AVERAGE(OFFSET($H$3,0,0,'Données projet'!$E$10+1,1))</f>
        <v>282.98219518929034</v>
      </c>
      <c r="AO20" s="59">
        <f t="shared" si="36"/>
        <v>205.95652510682322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0.4</v>
      </c>
      <c r="BD20" s="12">
        <f>IF('Données projet'!$A$88&gt;35,BD19+BC20-BL19,IF(A20&lt;'Données projet'!$A$88,$BA$205^A20,IF(A20='Données projet'!$A$88,'Données projet'!$B$88,BD19+BC20-BL19)))</f>
        <v>65.800000000000011</v>
      </c>
      <c r="BE20" s="13">
        <f>BD20*VLOOKUP('Données projet'!$B$11,Paramètres!$A$1:$I$89,3,0)*VLOOKUP('Données projet'!$B$11,Paramètres!$A$1:$I$89,5,0)</f>
        <v>53.376960000000011</v>
      </c>
      <c r="BF20" s="13">
        <f t="shared" si="37"/>
        <v>15.48252942274674</v>
      </c>
      <c r="BG20" s="20">
        <f t="shared" si="7"/>
        <v>119.9302774112839</v>
      </c>
      <c r="BH20" s="59">
        <f t="shared" si="8"/>
        <v>397.37472185572835</v>
      </c>
      <c r="BI20" s="59">
        <f ca="1">AVERAGE(OFFSET($BH$3,0,0,'Données projet'!$E$11+1,1))-AVERAGE(OFFSET($H$3,0,0,'Données projet'!$E$11+1,1))</f>
        <v>293.14894570672351</v>
      </c>
      <c r="BJ20" s="59">
        <f t="shared" si="38"/>
        <v>252.47559879720762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433.29228875555856</v>
      </c>
      <c r="S21" s="59">
        <f ca="1">AVERAGE(OFFSET($R$3,0,0,'Données projet'!$E$9+1,1))-AVERAGE(OFFSET($H$3,0,0,'Données projet'!$E$9+1,1))</f>
        <v>381.58561971183832</v>
      </c>
      <c r="T21" s="59">
        <f t="shared" si="34"/>
        <v>444.55874959426347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4.2</v>
      </c>
      <c r="AI21" s="13">
        <f>IF('Données projet'!$A$62&gt;35,AI20+AH21-AQ20,IF(A21&lt;'Données projet'!$A$62,$AF$205^A21,IF(A21='Données projet'!$A$62,'Données projet'!$B$62,AI20+AH21-AQ20)))</f>
        <v>72.600000000000009</v>
      </c>
      <c r="AJ21" s="13">
        <f>AI21*VLOOKUP('Données projet'!$B$10,Paramètres!$A$1:$I$89,3,0)*VLOOKUP('Données projet'!$B$10,Paramètres!$A$1:$I$89,5,0)</f>
        <v>45.302400000000013</v>
      </c>
      <c r="AK21" s="13">
        <f t="shared" si="35"/>
        <v>13.393706144547997</v>
      </c>
      <c r="AL21" s="20">
        <f t="shared" si="4"/>
        <v>102.22905153508778</v>
      </c>
      <c r="AM21" s="59">
        <f t="shared" si="5"/>
        <v>380.89571820175445</v>
      </c>
      <c r="AN21" s="59">
        <f ca="1">AVERAGE(OFFSET($AM$3,0,0,'Données projet'!$E$10+1,1))-AVERAGE(OFFSET($H$3,0,0,'Données projet'!$E$10+1,1))</f>
        <v>282.98219518929034</v>
      </c>
      <c r="AO21" s="59">
        <f t="shared" si="36"/>
        <v>205.95652510682322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0.4</v>
      </c>
      <c r="BD21" s="12">
        <f>IF('Données projet'!$A$88&gt;35,BD20+BC21-BL20,IF(A21&lt;'Données projet'!$A$88,$BA$205^A21,IF(A21='Données projet'!$A$88,'Données projet'!$B$88,BD20+BC21-BL20)))</f>
        <v>66.200000000000017</v>
      </c>
      <c r="BE21" s="13">
        <f>BD21*VLOOKUP('Données projet'!$B$11,Paramètres!$A$1:$I$89,3,0)*VLOOKUP('Données projet'!$B$11,Paramètres!$A$1:$I$89,5,0)</f>
        <v>53.701440000000012</v>
      </c>
      <c r="BF21" s="13">
        <f t="shared" si="37"/>
        <v>15.565663366868728</v>
      </c>
      <c r="BG21" s="20">
        <f t="shared" si="7"/>
        <v>120.64020503062972</v>
      </c>
      <c r="BH21" s="59">
        <f t="shared" si="8"/>
        <v>399.3068716972964</v>
      </c>
      <c r="BI21" s="59">
        <f ca="1">AVERAGE(OFFSET($BH$3,0,0,'Données projet'!$E$11+1,1))-AVERAGE(OFFSET($H$3,0,0,'Données projet'!$E$11+1,1))</f>
        <v>293.14894570672351</v>
      </c>
      <c r="BJ21" s="59">
        <f t="shared" si="38"/>
        <v>252.47559879720762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480.62947485620896</v>
      </c>
      <c r="S22" s="59">
        <f ca="1">AVERAGE(OFFSET($R$3,0,0,'Données projet'!$E$9+1,1))-AVERAGE(OFFSET($H$3,0,0,'Données projet'!$E$9+1,1))</f>
        <v>381.58561971183832</v>
      </c>
      <c r="T22" s="59">
        <f t="shared" si="34"/>
        <v>444.55874959426347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4.2</v>
      </c>
      <c r="AI22" s="13">
        <f>IF('Données projet'!$A$62&gt;35,AI21+AH22-AQ21,IF(A22&lt;'Données projet'!$A$62,$AF$205^A22,IF(A22='Données projet'!$A$62,'Données projet'!$B$62,AI21+AH22-AQ21)))</f>
        <v>76.800000000000011</v>
      </c>
      <c r="AJ22" s="13">
        <f>AI22*VLOOKUP('Données projet'!$B$10,Paramètres!$A$1:$I$89,3,0)*VLOOKUP('Données projet'!$B$10,Paramètres!$A$1:$I$89,5,0)</f>
        <v>47.923200000000008</v>
      </c>
      <c r="AK22" s="13">
        <f t="shared" si="35"/>
        <v>14.076099961955958</v>
      </c>
      <c r="AL22" s="20">
        <f t="shared" si="4"/>
        <v>107.98211410040665</v>
      </c>
      <c r="AM22" s="59">
        <f t="shared" si="5"/>
        <v>387.8710029892955</v>
      </c>
      <c r="AN22" s="59">
        <f ca="1">AVERAGE(OFFSET($AM$3,0,0,'Données projet'!$E$10+1,1))-AVERAGE(OFFSET($H$3,0,0,'Données projet'!$E$10+1,1))</f>
        <v>282.98219518929034</v>
      </c>
      <c r="AO22" s="59">
        <f t="shared" si="36"/>
        <v>205.95652510682322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0.4</v>
      </c>
      <c r="BD22" s="12">
        <f>IF('Données projet'!$A$88&gt;35,BD21+BC22-BL21,IF(A22&lt;'Données projet'!$A$88,$BA$205^A22,IF(A22='Données projet'!$A$88,'Données projet'!$B$88,BD21+BC22-BL21)))</f>
        <v>66.600000000000023</v>
      </c>
      <c r="BE22" s="13">
        <f>BD22*VLOOKUP('Données projet'!$B$11,Paramètres!$A$1:$I$89,3,0)*VLOOKUP('Données projet'!$B$11,Paramètres!$A$1:$I$89,5,0)</f>
        <v>54.025920000000021</v>
      </c>
      <c r="BF22" s="13">
        <f t="shared" si="37"/>
        <v>15.648738861134508</v>
      </c>
      <c r="BG22" s="20">
        <f t="shared" si="7"/>
        <v>121.35003084980929</v>
      </c>
      <c r="BH22" s="59">
        <f t="shared" si="8"/>
        <v>401.23891973869814</v>
      </c>
      <c r="BI22" s="59">
        <f ca="1">AVERAGE(OFFSET($BH$3,0,0,'Données projet'!$E$11+1,1))-AVERAGE(OFFSET($H$3,0,0,'Données projet'!$E$11+1,1))</f>
        <v>293.14894570672351</v>
      </c>
      <c r="BJ22" s="59">
        <f t="shared" si="38"/>
        <v>252.47559879720762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19.833333333333332</v>
      </c>
      <c r="N23" s="13">
        <f>IF('Données projet'!$A$36&gt;35,N22+M23-V22,IF(A23&lt;'Données projet'!$A$36,$K$205^A23,IF(A23='Données projet'!$A$36,'Données projet'!$B$36,N22+M23-V22)))</f>
        <v>181.83333333333334</v>
      </c>
      <c r="O23" s="13">
        <f>N23*VLOOKUP('Données projet'!$B$9,Paramètres!$A$1:$I$89,3,0)*VLOOKUP('Données projet'!$B$9,Paramètres!$A$1:$I$89,5,0)</f>
        <v>101.64483333333334</v>
      </c>
      <c r="P23" s="13">
        <f t="shared" si="33"/>
        <v>27.353483560919244</v>
      </c>
      <c r="Q23" s="20">
        <f t="shared" si="2"/>
        <v>224.67206859082322</v>
      </c>
      <c r="R23" s="59">
        <f t="shared" si="0"/>
        <v>505.78317970193439</v>
      </c>
      <c r="S23" s="59">
        <f ca="1">AVERAGE(OFFSET($R$3,0,0,'Données projet'!$E$9+1,1))-AVERAGE(OFFSET($H$3,0,0,'Données projet'!$E$9+1,1))</f>
        <v>381.58561971183832</v>
      </c>
      <c r="T23" s="59">
        <f t="shared" si="34"/>
        <v>444.55874959426347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81</v>
      </c>
      <c r="AG23" s="12">
        <f>VLOOKUP(A23,'Données projet'!$A$61:$I$81,9,0)</f>
        <v>4.2</v>
      </c>
      <c r="AH23" s="12">
        <f t="array" ref="AH23">INDEX(AG:AG,MIN(IF(ISNUMBER(AG23:AG219),ROW(AG23:AG219),"")))</f>
        <v>4.2</v>
      </c>
      <c r="AI23" s="13">
        <f>IF('Données projet'!$A$62&gt;35,AI22+AH23-AQ22,IF(A23&lt;'Données projet'!$A$62,$AF$205^A23,IF(A23='Données projet'!$A$62,'Données projet'!$B$62,AI22+AH23-AQ22)))</f>
        <v>81.000000000000014</v>
      </c>
      <c r="AJ23" s="13">
        <f>AI23*VLOOKUP('Données projet'!$B$10,Paramètres!$A$1:$I$89,3,0)*VLOOKUP('Données projet'!$B$10,Paramètres!$A$1:$I$89,5,0)</f>
        <v>50.544000000000004</v>
      </c>
      <c r="AK23" s="13">
        <f t="shared" si="35"/>
        <v>14.754161433088251</v>
      </c>
      <c r="AL23" s="20">
        <f t="shared" si="4"/>
        <v>113.7276311626287</v>
      </c>
      <c r="AM23" s="59">
        <f t="shared" si="5"/>
        <v>394.83874227373985</v>
      </c>
      <c r="AN23" s="59">
        <f ca="1">AVERAGE(OFFSET($AM$3,0,0,'Données projet'!$E$10+1,1))-AVERAGE(OFFSET($H$3,0,0,'Données projet'!$E$10+1,1))</f>
        <v>282.98219518929034</v>
      </c>
      <c r="AO23" s="59">
        <f t="shared" si="36"/>
        <v>205.95652510682322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0.36</v>
      </c>
      <c r="AT23" s="16">
        <f>IF(ISNA(VLOOKUP(A23,'Données projet'!$A$61:$I$81,7,0)),0%,VLOOKUP(A23,'Données projet'!$A$61:$I$81,7,0))</f>
        <v>0.2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10.982565771441237</v>
      </c>
      <c r="AW23" s="21">
        <f>EXP(-LN(2)/2)*AW22+(1-EXP(-LN(2)/2))/(LN(2)/2)*AQ23*AT23*VLOOKUP('Données projet'!$B$10,Paramètres!$A$1:$I$89,3,0)*0.475*44/12</f>
        <v>5.2281958570582079</v>
      </c>
      <c r="AX23" s="21">
        <f t="shared" si="6"/>
        <v>16.210761628499444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67</v>
      </c>
      <c r="BB23" s="12">
        <f>VLOOKUP(A23,'Données projet'!$A$87:$I$107,9,0)</f>
        <v>0.4</v>
      </c>
      <c r="BC23" s="12">
        <f t="array" ref="BC23">INDEX(BB:BB,MIN(IF(ISNUMBER(BB23:BB219),ROW(BB23:BB219),"")))</f>
        <v>0.4</v>
      </c>
      <c r="BD23" s="12">
        <f>IF('Données projet'!$A$88&gt;35,BD22+BC23-BL22,IF(A23&lt;'Données projet'!$A$88,$BA$205^A23,IF(A23='Données projet'!$A$88,'Données projet'!$B$88,BD22+BC23-BL22)))</f>
        <v>67.000000000000028</v>
      </c>
      <c r="BE23" s="13">
        <f>BD23*VLOOKUP('Données projet'!$B$11,Paramètres!$A$1:$I$89,3,0)*VLOOKUP('Données projet'!$B$11,Paramètres!$A$1:$I$89,5,0)</f>
        <v>54.350400000000029</v>
      </c>
      <c r="BF23" s="13">
        <f t="shared" si="37"/>
        <v>15.731756297324264</v>
      </c>
      <c r="BG23" s="20">
        <f t="shared" si="7"/>
        <v>122.05975555117313</v>
      </c>
      <c r="BH23" s="59">
        <f t="shared" si="8"/>
        <v>403.17086666228425</v>
      </c>
      <c r="BI23" s="59">
        <f ca="1">AVERAGE(OFFSET($BH$3,0,0,'Données projet'!$E$11+1,1))-AVERAGE(OFFSET($H$3,0,0,'Données projet'!$E$11+1,1))</f>
        <v>293.14894570672351</v>
      </c>
      <c r="BJ23" s="59">
        <f t="shared" si="38"/>
        <v>252.47559879720762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67</v>
      </c>
      <c r="BM23" s="16">
        <f>IF(ISNA(VLOOKUP(A23,'Données projet'!$A$87:$I$107,5,0)),0%,VLOOKUP(A23,'Données projet'!$A$87:$I$107,5,0)*VLOOKUP('Données projet'!$B$11,Paramètres!$A$1:$I$89,7,0))</f>
        <v>0.215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12.917792822890044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12.917792822890044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19.833333333333332</v>
      </c>
      <c r="N24" s="13">
        <f>IF('Données projet'!$A$36&gt;35,N23+M24-V23,IF(A24&lt;'Données projet'!$A$36,$K$205^A24,IF(A24='Données projet'!$A$36,'Données projet'!$B$36,N23+M24-V23)))</f>
        <v>201.66666666666669</v>
      </c>
      <c r="O24" s="13">
        <f>N24*VLOOKUP('Données projet'!$B$9,Paramètres!$A$1:$I$89,3,0)*VLOOKUP('Données projet'!$B$9,Paramètres!$A$1:$I$89,5,0)</f>
        <v>112.73166666666667</v>
      </c>
      <c r="P24" s="13">
        <f t="shared" si="33"/>
        <v>29.973664832526055</v>
      </c>
      <c r="Q24" s="20">
        <f t="shared" si="2"/>
        <v>248.54511902776062</v>
      </c>
      <c r="R24" s="59">
        <f t="shared" si="0"/>
        <v>530.87845236109388</v>
      </c>
      <c r="S24" s="59">
        <f ca="1">AVERAGE(OFFSET($R$3,0,0,'Données projet'!$E$9+1,1))-AVERAGE(OFFSET($H$3,0,0,'Données projet'!$E$9+1,1))</f>
        <v>381.58561971183832</v>
      </c>
      <c r="T24" s="59">
        <f t="shared" si="34"/>
        <v>444.55874959426347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21</v>
      </c>
      <c r="AI24" s="13">
        <f>IF('Données projet'!$A$62&gt;35,AI23+AH24-AQ23,IF(A24&lt;'Données projet'!$A$62,$AF$205^A24,IF(A24='Données projet'!$A$62,'Données projet'!$B$62,AI23+AH24-AQ23)))</f>
        <v>65.000000000000014</v>
      </c>
      <c r="AJ24" s="13">
        <f>AI24*VLOOKUP('Données projet'!$B$10,Paramètres!$A$1:$I$89,3,0)*VLOOKUP('Données projet'!$B$10,Paramètres!$A$1:$I$89,5,0)</f>
        <v>40.560000000000009</v>
      </c>
      <c r="AK24" s="13">
        <f t="shared" si="35"/>
        <v>12.146954654656581</v>
      </c>
      <c r="AL24" s="20">
        <f t="shared" si="4"/>
        <v>91.79794602352689</v>
      </c>
      <c r="AM24" s="59">
        <f t="shared" si="5"/>
        <v>374.1312793568602</v>
      </c>
      <c r="AN24" s="59">
        <f ca="1">AVERAGE(OFFSET($AM$3,0,0,'Données projet'!$E$10+1,1))-AVERAGE(OFFSET($H$3,0,0,'Données projet'!$E$10+1,1))</f>
        <v>282.98219518929034</v>
      </c>
      <c r="AO24" s="59">
        <f t="shared" si="36"/>
        <v>205.95652510682322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10.682246932873143</v>
      </c>
      <c r="AW24" s="21">
        <f>EXP(-LN(2)/2)*AW23+(1-EXP(-LN(2)/2))/(LN(2)/2)*AQ24*AT24*VLOOKUP('Données projet'!$B$10,Paramètres!$A$1:$I$89,3,0)*0.475*44/12</f>
        <v>3.6968927438972727</v>
      </c>
      <c r="AX24" s="21">
        <f t="shared" si="6"/>
        <v>14.379139676770416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28.2</v>
      </c>
      <c r="BD24" s="12">
        <f>IF('Données projet'!$A$88&gt;35,BD23+BC24-BL23,IF(A24&lt;'Données projet'!$A$88,$BA$205^A24,IF(A24='Données projet'!$A$88,'Données projet'!$B$88,BD23+BC24-BL23)))</f>
        <v>28.200000000000031</v>
      </c>
      <c r="BE24" s="13">
        <f>BD24*VLOOKUP('Données projet'!$B$11,Paramètres!$A$1:$I$89,3,0)*VLOOKUP('Données projet'!$B$11,Paramètres!$A$1:$I$89,5,0)</f>
        <v>22.875840000000029</v>
      </c>
      <c r="BF24" s="13">
        <f t="shared" si="37"/>
        <v>7.3231448847805964</v>
      </c>
      <c r="BG24" s="20">
        <f t="shared" si="7"/>
        <v>52.596565340992925</v>
      </c>
      <c r="BH24" s="59">
        <f t="shared" si="8"/>
        <v>334.92989867432624</v>
      </c>
      <c r="BI24" s="59">
        <f ca="1">AVERAGE(OFFSET($BH$3,0,0,'Données projet'!$E$11+1,1))-AVERAGE(OFFSET($H$3,0,0,'Données projet'!$E$11+1,1))</f>
        <v>293.14894570672351</v>
      </c>
      <c r="BJ24" s="59">
        <f t="shared" si="38"/>
        <v>252.47559879720762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12.664482784708799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12.664482784708799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19.833333333333332</v>
      </c>
      <c r="N25" s="13">
        <f>IF('Données projet'!$A$36&gt;35,N24+M25-V24,IF(A25&lt;'Données projet'!$A$36,$K$205^A25,IF(A25='Données projet'!$A$36,'Données projet'!$B$36,N24+M25-V24)))</f>
        <v>221.50000000000003</v>
      </c>
      <c r="O25" s="13">
        <f>N25*VLOOKUP('Données projet'!$B$9,Paramètres!$A$1:$I$89,3,0)*VLOOKUP('Données projet'!$B$9,Paramètres!$A$1:$I$89,5,0)</f>
        <v>123.81850000000001</v>
      </c>
      <c r="P25" s="13">
        <f t="shared" si="33"/>
        <v>32.563971549777349</v>
      </c>
      <c r="Q25" s="20">
        <f t="shared" si="2"/>
        <v>272.36613794919555</v>
      </c>
      <c r="R25" s="59">
        <f t="shared" si="0"/>
        <v>555.92169350475115</v>
      </c>
      <c r="S25" s="59">
        <f ca="1">AVERAGE(OFFSET($R$3,0,0,'Données projet'!$E$9+1,1))-AVERAGE(OFFSET($H$3,0,0,'Données projet'!$E$9+1,1))</f>
        <v>381.58561971183832</v>
      </c>
      <c r="T25" s="59">
        <f t="shared" si="34"/>
        <v>444.55874959426347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21</v>
      </c>
      <c r="AI25" s="13">
        <f>IF('Données projet'!$A$62&gt;35,AI24+AH25-AQ24,IF(A25&lt;'Données projet'!$A$62,$AF$205^A25,IF(A25='Données projet'!$A$62,'Données projet'!$B$62,AI24+AH25-AQ24)))</f>
        <v>86.000000000000014</v>
      </c>
      <c r="AJ25" s="13">
        <f>AI25*VLOOKUP('Données projet'!$B$10,Paramètres!$A$1:$I$89,3,0)*VLOOKUP('Données projet'!$B$10,Paramètres!$A$1:$I$89,5,0)</f>
        <v>53.664000000000016</v>
      </c>
      <c r="AK25" s="13">
        <f t="shared" si="35"/>
        <v>15.55607397920279</v>
      </c>
      <c r="AL25" s="20">
        <f t="shared" si="4"/>
        <v>120.55829551377822</v>
      </c>
      <c r="AM25" s="59">
        <f t="shared" si="5"/>
        <v>404.11385106933375</v>
      </c>
      <c r="AN25" s="59">
        <f ca="1">AVERAGE(OFFSET($AM$3,0,0,'Données projet'!$E$10+1,1))-AVERAGE(OFFSET($H$3,0,0,'Données projet'!$E$10+1,1))</f>
        <v>282.98219518929034</v>
      </c>
      <c r="AO25" s="59">
        <f t="shared" si="36"/>
        <v>205.95652510682322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10.390140328738775</v>
      </c>
      <c r="AW25" s="21">
        <f>EXP(-LN(2)/2)*AW24+(1-EXP(-LN(2)/2))/(LN(2)/2)*AQ25*AT25*VLOOKUP('Données projet'!$B$10,Paramètres!$A$1:$I$89,3,0)*0.475*44/12</f>
        <v>2.6140979285291044</v>
      </c>
      <c r="AX25" s="21">
        <f t="shared" si="6"/>
        <v>13.004238257267879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28.2</v>
      </c>
      <c r="BD25" s="12">
        <f>IF('Données projet'!$A$88&gt;35,BD24+BC25-BL24,IF(A25&lt;'Données projet'!$A$88,$BA$205^A25,IF(A25='Données projet'!$A$88,'Données projet'!$B$88,BD24+BC25-BL24)))</f>
        <v>56.400000000000034</v>
      </c>
      <c r="BE25" s="13">
        <f>BD25*VLOOKUP('Données projet'!$B$11,Paramètres!$A$1:$I$89,3,0)*VLOOKUP('Données projet'!$B$11,Paramètres!$A$1:$I$89,5,0)</f>
        <v>45.751680000000029</v>
      </c>
      <c r="BF25" s="13">
        <f t="shared" si="37"/>
        <v>13.511007364070005</v>
      </c>
      <c r="BG25" s="20">
        <f t="shared" si="7"/>
        <v>103.21584715908864</v>
      </c>
      <c r="BH25" s="59">
        <f t="shared" si="8"/>
        <v>386.77140271464418</v>
      </c>
      <c r="BI25" s="59">
        <f ca="1">AVERAGE(OFFSET($BH$3,0,0,'Données projet'!$E$11+1,1))-AVERAGE(OFFSET($H$3,0,0,'Données projet'!$E$11+1,1))</f>
        <v>293.14894570672351</v>
      </c>
      <c r="BJ25" s="59">
        <f t="shared" si="38"/>
        <v>252.47559879720762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12.416140001872419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12.416140001872419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19.833333333333332</v>
      </c>
      <c r="N26" s="13">
        <f>IF('Données projet'!$A$36&gt;35,N25+M26-V25,IF(A26&lt;'Données projet'!$A$36,$K$205^A26,IF(A26='Données projet'!$A$36,'Données projet'!$B$36,N25+M26-V25)))</f>
        <v>241.33333333333337</v>
      </c>
      <c r="O26" s="13">
        <f>N26*VLOOKUP('Données projet'!$B$9,Paramètres!$A$1:$I$89,3,0)*VLOOKUP('Données projet'!$B$9,Paramètres!$A$1:$I$89,5,0)</f>
        <v>134.90533333333337</v>
      </c>
      <c r="P26" s="13">
        <f t="shared" si="33"/>
        <v>35.127382903297395</v>
      </c>
      <c r="Q26" s="20">
        <f t="shared" si="2"/>
        <v>296.14031411213193</v>
      </c>
      <c r="R26" s="59">
        <f t="shared" si="0"/>
        <v>580.91809188990965</v>
      </c>
      <c r="S26" s="59">
        <f ca="1">AVERAGE(OFFSET($R$3,0,0,'Données projet'!$E$9+1,1))-AVERAGE(OFFSET($H$3,0,0,'Données projet'!$E$9+1,1))</f>
        <v>381.58561971183832</v>
      </c>
      <c r="T26" s="59">
        <f t="shared" si="34"/>
        <v>444.55874959426347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21</v>
      </c>
      <c r="AI26" s="13">
        <f>IF('Données projet'!$A$62&gt;35,AI25+AH26-AQ25,IF(A26&lt;'Données projet'!$A$62,$AF$205^A26,IF(A26='Données projet'!$A$62,'Données projet'!$B$62,AI25+AH26-AQ25)))</f>
        <v>107.00000000000001</v>
      </c>
      <c r="AJ26" s="13">
        <f>AI26*VLOOKUP('Données projet'!$B$10,Paramètres!$A$1:$I$89,3,0)*VLOOKUP('Données projet'!$B$10,Paramètres!$A$1:$I$89,5,0)</f>
        <v>66.768000000000015</v>
      </c>
      <c r="AK26" s="13">
        <f t="shared" si="35"/>
        <v>18.868643290730351</v>
      </c>
      <c r="AL26" s="20">
        <f t="shared" si="4"/>
        <v>149.15048706468869</v>
      </c>
      <c r="AM26" s="59">
        <f t="shared" si="5"/>
        <v>433.92826484246643</v>
      </c>
      <c r="AN26" s="59">
        <f ca="1">AVERAGE(OFFSET($AM$3,0,0,'Données projet'!$E$10+1,1))-AVERAGE(OFFSET($H$3,0,0,'Données projet'!$E$10+1,1))</f>
        <v>282.98219518929034</v>
      </c>
      <c r="AO26" s="59">
        <f t="shared" si="36"/>
        <v>205.95652510682322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10.106021395055681</v>
      </c>
      <c r="AW26" s="21">
        <f>EXP(-LN(2)/2)*AW25+(1-EXP(-LN(2)/2))/(LN(2)/2)*AQ26*AT26*VLOOKUP('Données projet'!$B$10,Paramètres!$A$1:$I$89,3,0)*0.475*44/12</f>
        <v>1.8484463719486366</v>
      </c>
      <c r="AX26" s="21">
        <f t="shared" si="6"/>
        <v>11.954467767004317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28.2</v>
      </c>
      <c r="BD26" s="12">
        <f>IF('Données projet'!$A$88&gt;35,BD25+BC26-BL25,IF(A26&lt;'Données projet'!$A$88,$BA$205^A26,IF(A26='Données projet'!$A$88,'Données projet'!$B$88,BD25+BC26-BL25)))</f>
        <v>84.600000000000037</v>
      </c>
      <c r="BE26" s="13">
        <f>BD26*VLOOKUP('Données projet'!$B$11,Paramètres!$A$1:$I$89,3,0)*VLOOKUP('Données projet'!$B$11,Paramètres!$A$1:$I$89,5,0)</f>
        <v>68.627520000000032</v>
      </c>
      <c r="BF26" s="13">
        <f t="shared" si="37"/>
        <v>19.332230613997595</v>
      </c>
      <c r="BG26" s="20">
        <f t="shared" si="7"/>
        <v>153.19656565271254</v>
      </c>
      <c r="BH26" s="59">
        <f t="shared" si="8"/>
        <v>437.97434343049031</v>
      </c>
      <c r="BI26" s="59">
        <f ca="1">AVERAGE(OFFSET($BH$3,0,0,'Données projet'!$E$11+1,1))-AVERAGE(OFFSET($H$3,0,0,'Données projet'!$E$11+1,1))</f>
        <v>293.14894570672351</v>
      </c>
      <c r="BJ26" s="59">
        <f t="shared" si="38"/>
        <v>252.47559879720762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12.17266706953332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12.17266706953332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19.833333333333332</v>
      </c>
      <c r="N27" s="13">
        <f>IF('Données projet'!$A$36&gt;35,N26+M27-V26,IF(A27&lt;'Données projet'!$A$36,$K$205^A27,IF(A27='Données projet'!$A$36,'Données projet'!$B$36,N26+M27-V26)))</f>
        <v>261.16666666666669</v>
      </c>
      <c r="O27" s="13">
        <f>N27*VLOOKUP('Données projet'!$B$9,Paramètres!$A$1:$I$89,3,0)*VLOOKUP('Données projet'!$B$9,Paramètres!$A$1:$I$89,5,0)</f>
        <v>145.99216666666669</v>
      </c>
      <c r="P27" s="13">
        <f t="shared" si="33"/>
        <v>37.666360508078967</v>
      </c>
      <c r="Q27" s="20">
        <f t="shared" si="2"/>
        <v>319.87193482934862</v>
      </c>
      <c r="R27" s="59">
        <f t="shared" si="0"/>
        <v>605.87193482934867</v>
      </c>
      <c r="S27" s="59">
        <f ca="1">AVERAGE(OFFSET($R$3,0,0,'Données projet'!$E$9+1,1))-AVERAGE(OFFSET($H$3,0,0,'Données projet'!$E$9+1,1))</f>
        <v>381.58561971183832</v>
      </c>
      <c r="T27" s="59">
        <f t="shared" si="34"/>
        <v>444.55874959426347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21</v>
      </c>
      <c r="AI27" s="13">
        <f>IF('Données projet'!$A$62&gt;35,AI26+AH27-AQ26,IF(A27&lt;'Données projet'!$A$62,$AF$205^A27,IF(A27='Données projet'!$A$62,'Données projet'!$B$62,AI26+AH27-AQ26)))</f>
        <v>128</v>
      </c>
      <c r="AJ27" s="13">
        <f>AI27*VLOOKUP('Données projet'!$B$10,Paramètres!$A$1:$I$89,3,0)*VLOOKUP('Données projet'!$B$10,Paramètres!$A$1:$I$89,5,0)</f>
        <v>79.872</v>
      </c>
      <c r="AK27" s="13">
        <f t="shared" si="35"/>
        <v>22.105884547145418</v>
      </c>
      <c r="AL27" s="20">
        <f t="shared" si="4"/>
        <v>177.61148225294494</v>
      </c>
      <c r="AM27" s="59">
        <f t="shared" si="5"/>
        <v>463.61148225294494</v>
      </c>
      <c r="AN27" s="59">
        <f ca="1">AVERAGE(OFFSET($AM$3,0,0,'Données projet'!$E$10+1,1))-AVERAGE(OFFSET($H$3,0,0,'Données projet'!$E$10+1,1))</f>
        <v>282.98219518929034</v>
      </c>
      <c r="AO27" s="59">
        <f t="shared" si="36"/>
        <v>205.95652510682322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9.8296717085553151</v>
      </c>
      <c r="AW27" s="21">
        <f>EXP(-LN(2)/2)*AW26+(1-EXP(-LN(2)/2))/(LN(2)/2)*AQ27*AT27*VLOOKUP('Données projet'!$B$10,Paramètres!$A$1:$I$89,3,0)*0.475*44/12</f>
        <v>1.3070489642645522</v>
      </c>
      <c r="AX27" s="21">
        <f t="shared" si="6"/>
        <v>11.136720672819868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28.2</v>
      </c>
      <c r="BD27" s="12">
        <f>IF('Données projet'!$A$88&gt;35,BD26+BC27-BL26,IF(A27&lt;'Données projet'!$A$88,$BA$205^A27,IF(A27='Données projet'!$A$88,'Données projet'!$B$88,BD26+BC27-BL26)))</f>
        <v>112.80000000000004</v>
      </c>
      <c r="BE27" s="13">
        <f>BD27*VLOOKUP('Données projet'!$B$11,Paramètres!$A$1:$I$89,3,0)*VLOOKUP('Données projet'!$B$11,Paramètres!$A$1:$I$89,5,0)</f>
        <v>91.503360000000029</v>
      </c>
      <c r="BF27" s="13">
        <f t="shared" si="37"/>
        <v>24.927448912192737</v>
      </c>
      <c r="BG27" s="20">
        <f t="shared" si="7"/>
        <v>202.78365885540236</v>
      </c>
      <c r="BH27" s="59">
        <f t="shared" si="8"/>
        <v>488.78365885540234</v>
      </c>
      <c r="BI27" s="59">
        <f ca="1">AVERAGE(OFFSET($BH$3,0,0,'Données projet'!$E$11+1,1))-AVERAGE(OFFSET($H$3,0,0,'Données projet'!$E$11+1,1))</f>
        <v>293.14894570672351</v>
      </c>
      <c r="BJ27" s="59">
        <f t="shared" si="38"/>
        <v>252.47559879720762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11.933968492893566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11.933968492893566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281</v>
      </c>
      <c r="L28" s="12">
        <f>VLOOKUP(A28,'Données projet'!$A$35:$I$55,9,0)</f>
        <v>19.833333333333332</v>
      </c>
      <c r="M28" s="12">
        <f t="array" ref="M28">INDEX(L:L,MIN(IF(ISNUMBER(L28:L224),ROW(L28:L224),"")))</f>
        <v>19.833333333333332</v>
      </c>
      <c r="N28" s="13">
        <f>IF('Données projet'!$A$36&gt;35,N27+M28-V27,IF(A28&lt;'Données projet'!$A$36,$K$205^A28,IF(A28='Données projet'!$A$36,'Données projet'!$B$36,N27+M28-V27)))</f>
        <v>281</v>
      </c>
      <c r="O28" s="13">
        <f>N28*VLOOKUP('Données projet'!$B$9,Paramètres!$A$1:$I$89,3,0)*VLOOKUP('Données projet'!$B$9,Paramètres!$A$1:$I$89,5,0)</f>
        <v>157.07900000000001</v>
      </c>
      <c r="P28" s="13">
        <f t="shared" si="33"/>
        <v>40.182970874689481</v>
      </c>
      <c r="Q28" s="20">
        <f t="shared" si="2"/>
        <v>343.56459927341751</v>
      </c>
      <c r="R28" s="59">
        <f t="shared" si="0"/>
        <v>630.78682149563974</v>
      </c>
      <c r="S28" s="59">
        <f ca="1">AVERAGE(OFFSET($R$3,0,0,'Données projet'!$E$9+1,1))-AVERAGE(OFFSET($H$3,0,0,'Données projet'!$E$9+1,1))</f>
        <v>381.58561971183832</v>
      </c>
      <c r="T28" s="59">
        <f t="shared" si="34"/>
        <v>444.55874959426347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0.33</v>
      </c>
      <c r="Y28" s="16">
        <f>IF(ISNA(VLOOKUP(A28,'Données projet'!$A$35:$I$55,7,0)),0%,VLOOKUP(A28,'Données projet'!$A$35:$I$55,7,0))</f>
        <v>0.2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13.162382457495875</v>
      </c>
      <c r="AB28" s="21">
        <f>EXP(-LN(2)/2)*AB27+(1-EXP(-LN(2)/2))/(LN(2)/2)*V28*Y28*VLOOKUP('Données projet'!$B$9,Paramètres!$A$1:$I$89,3,0)*0.475*44/12</f>
        <v>6.8355128266267799</v>
      </c>
      <c r="AC28" s="22">
        <f t="shared" si="3"/>
        <v>19.997895284122656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149</v>
      </c>
      <c r="AG28" s="12">
        <f>VLOOKUP(A28,'Données projet'!$A$61:$I$81,9,0)</f>
        <v>21</v>
      </c>
      <c r="AH28" s="12">
        <f t="array" ref="AH28">INDEX(AG:AG,MIN(IF(ISNUMBER(AG28:AG224),ROW(AG28:AG224),"")))</f>
        <v>21</v>
      </c>
      <c r="AI28" s="13">
        <f>IF('Données projet'!$A$62&gt;35,AI27+AH28-AQ27,IF(A28&lt;'Données projet'!$A$62,$AF$205^A28,IF(A28='Données projet'!$A$62,'Données projet'!$B$62,AI27+AH28-AQ27)))</f>
        <v>149</v>
      </c>
      <c r="AJ28" s="13">
        <f>AI28*VLOOKUP('Données projet'!$B$10,Paramètres!$A$1:$I$89,3,0)*VLOOKUP('Données projet'!$B$10,Paramètres!$A$1:$I$89,5,0)</f>
        <v>92.975999999999999</v>
      </c>
      <c r="AK28" s="13">
        <f t="shared" si="35"/>
        <v>25.281599962100863</v>
      </c>
      <c r="AL28" s="20">
        <f t="shared" si="4"/>
        <v>205.96531993399233</v>
      </c>
      <c r="AM28" s="59">
        <f t="shared" si="5"/>
        <v>493.18754215621459</v>
      </c>
      <c r="AN28" s="59">
        <f ca="1">AVERAGE(OFFSET($AM$3,0,0,'Données projet'!$E$10+1,1))-AVERAGE(OFFSET($H$3,0,0,'Données projet'!$E$10+1,1))</f>
        <v>282.98219518929034</v>
      </c>
      <c r="AO28" s="59">
        <f t="shared" si="36"/>
        <v>205.95652510682322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9.5608788187649001</v>
      </c>
      <c r="AW28" s="21">
        <f>EXP(-LN(2)/2)*AW27+(1-EXP(-LN(2)/2))/(LN(2)/2)*AQ28*AT28*VLOOKUP('Données projet'!$B$10,Paramètres!$A$1:$I$89,3,0)*0.475*44/12</f>
        <v>0.9242231859743183</v>
      </c>
      <c r="AX28" s="21">
        <f t="shared" si="6"/>
        <v>10.485102004739218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141</v>
      </c>
      <c r="BB28" s="12">
        <f>VLOOKUP(A28,'Données projet'!$A$87:$I$107,9,0)</f>
        <v>28.2</v>
      </c>
      <c r="BC28" s="12">
        <f t="array" ref="BC28">INDEX(BB:BB,MIN(IF(ISNUMBER(BB28:BB224),ROW(BB28:BB224),"")))</f>
        <v>28.2</v>
      </c>
      <c r="BD28" s="12">
        <f>IF('Données projet'!$A$88&gt;35,BD27+BC28-BL27,IF(A28&lt;'Données projet'!$A$88,$BA$205^A28,IF(A28='Données projet'!$A$88,'Données projet'!$B$88,BD27+BC28-BL27)))</f>
        <v>141.00000000000003</v>
      </c>
      <c r="BE28" s="13">
        <f>BD28*VLOOKUP('Données projet'!$B$11,Paramètres!$A$1:$I$89,3,0)*VLOOKUP('Données projet'!$B$11,Paramètres!$A$1:$I$89,5,0)</f>
        <v>114.37920000000004</v>
      </c>
      <c r="BF28" s="13">
        <f t="shared" si="37"/>
        <v>30.360402323573549</v>
      </c>
      <c r="BG28" s="20">
        <f t="shared" si="7"/>
        <v>252.08814071355732</v>
      </c>
      <c r="BH28" s="59">
        <f t="shared" si="8"/>
        <v>539.31036293577949</v>
      </c>
      <c r="BI28" s="59">
        <f ca="1">AVERAGE(OFFSET($BH$3,0,0,'Données projet'!$E$11+1,1))-AVERAGE(OFFSET($H$3,0,0,'Données projet'!$E$11+1,1))</f>
        <v>293.14894570672351</v>
      </c>
      <c r="BJ28" s="59">
        <f t="shared" si="38"/>
        <v>252.47559879720762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11.699950649749962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11.699950649749962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255</v>
      </c>
      <c r="O29" s="13">
        <f>N29*VLOOKUP('Données projet'!$B$9,Paramètres!$A$1:$I$89,3,0)*VLOOKUP('Données projet'!$B$9,Paramètres!$A$1:$I$89,5,0)</f>
        <v>142.54499999999999</v>
      </c>
      <c r="P29" s="13">
        <f t="shared" si="33"/>
        <v>36.879416555079331</v>
      </c>
      <c r="Q29" s="20">
        <f t="shared" si="2"/>
        <v>312.49752550009651</v>
      </c>
      <c r="R29" s="59">
        <f t="shared" si="0"/>
        <v>600.94196994454092</v>
      </c>
      <c r="S29" s="59">
        <f ca="1">AVERAGE(OFFSET($R$3,0,0,'Données projet'!$E$9+1,1))-AVERAGE(OFFSET($H$3,0,0,'Données projet'!$E$9+1,1))</f>
        <v>381.58561971183832</v>
      </c>
      <c r="T29" s="59">
        <f t="shared" si="34"/>
        <v>444.55874959426347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12.802456417016041</v>
      </c>
      <c r="AB29" s="21">
        <f>EXP(-LN(2)/2)*AB28+(1-EXP(-LN(2)/2))/(LN(2)/2)*V29*Y29*VLOOKUP('Données projet'!$B$9,Paramètres!$A$1:$I$89,3,0)*0.475*44/12</f>
        <v>4.8334374725954214</v>
      </c>
      <c r="AC29" s="22">
        <f t="shared" si="3"/>
        <v>17.635893889611463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0.2</v>
      </c>
      <c r="AI29" s="13">
        <f>IF('Données projet'!$A$62&gt;35,AI28+AH29-AQ28,IF(A29&lt;'Données projet'!$A$62,$AF$205^A29,IF(A29='Données projet'!$A$62,'Données projet'!$B$62,AI28+AH29-AQ28)))</f>
        <v>149.19999999999999</v>
      </c>
      <c r="AJ29" s="13">
        <f>AI29*VLOOKUP('Données projet'!$B$10,Paramètres!$A$1:$I$89,3,0)*VLOOKUP('Données projet'!$B$10,Paramètres!$A$1:$I$89,5,0)</f>
        <v>93.100799999999978</v>
      </c>
      <c r="AK29" s="13">
        <f t="shared" si="35"/>
        <v>25.311582616424158</v>
      </c>
      <c r="AL29" s="20">
        <f t="shared" si="4"/>
        <v>206.23489972360537</v>
      </c>
      <c r="AM29" s="59">
        <f t="shared" si="5"/>
        <v>494.67934416804985</v>
      </c>
      <c r="AN29" s="59">
        <f ca="1">AVERAGE(OFFSET($AM$3,0,0,'Données projet'!$E$10+1,1))-AVERAGE(OFFSET($H$3,0,0,'Données projet'!$E$10+1,1))</f>
        <v>282.98219518929034</v>
      </c>
      <c r="AO29" s="59">
        <f t="shared" si="36"/>
        <v>205.95652510682322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9.2994360846810089</v>
      </c>
      <c r="AW29" s="21">
        <f>EXP(-LN(2)/2)*AW28+(1-EXP(-LN(2)/2))/(LN(2)/2)*AQ29*AT29*VLOOKUP('Données projet'!$B$10,Paramètres!$A$1:$I$89,3,0)*0.475*44/12</f>
        <v>0.6535244821322761</v>
      </c>
      <c r="AX29" s="21">
        <f t="shared" si="6"/>
        <v>9.9529605668132852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0.2</v>
      </c>
      <c r="BD29" s="12">
        <f>IF('Données projet'!$A$88&gt;35,BD28+BC29-BL28,IF(A29&lt;'Données projet'!$A$88,$BA$205^A29,IF(A29='Données projet'!$A$88,'Données projet'!$B$88,BD28+BC29-BL28)))</f>
        <v>141.20000000000002</v>
      </c>
      <c r="BE29" s="13">
        <f>BD29*VLOOKUP('Données projet'!$B$11,Paramètres!$A$1:$I$89,3,0)*VLOOKUP('Données projet'!$B$11,Paramètres!$A$1:$I$89,5,0)</f>
        <v>114.54144000000001</v>
      </c>
      <c r="BF29" s="13">
        <f t="shared" si="37"/>
        <v>30.398450888186357</v>
      </c>
      <c r="BG29" s="20">
        <f t="shared" si="7"/>
        <v>252.43697663025793</v>
      </c>
      <c r="BH29" s="59">
        <f t="shared" si="8"/>
        <v>540.88142107470242</v>
      </c>
      <c r="BI29" s="59">
        <f ca="1">AVERAGE(OFFSET($BH$3,0,0,'Données projet'!$E$11+1,1))-AVERAGE(OFFSET($H$3,0,0,'Données projet'!$E$11+1,1))</f>
        <v>293.14894570672351</v>
      </c>
      <c r="BJ29" s="59">
        <f t="shared" si="38"/>
        <v>252.47559879720762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11.470521753773614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11.470521753773614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283</v>
      </c>
      <c r="O30" s="13">
        <f>N30*VLOOKUP('Données projet'!$B$9,Paramètres!$A$1:$I$89,3,0)*VLOOKUP('Données projet'!$B$9,Paramètres!$A$1:$I$89,5,0)</f>
        <v>158.197</v>
      </c>
      <c r="P30" s="13">
        <f t="shared" si="33"/>
        <v>40.435575886690025</v>
      </c>
      <c r="Q30" s="20">
        <f t="shared" si="2"/>
        <v>345.95173633598512</v>
      </c>
      <c r="R30" s="59">
        <f t="shared" si="0"/>
        <v>635.6184030026518</v>
      </c>
      <c r="S30" s="59">
        <f ca="1">AVERAGE(OFFSET($R$3,0,0,'Données projet'!$E$9+1,1))-AVERAGE(OFFSET($H$3,0,0,'Données projet'!$E$9+1,1))</f>
        <v>381.58561971183832</v>
      </c>
      <c r="T30" s="59">
        <f t="shared" si="34"/>
        <v>444.55874959426347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12.452372573040815</v>
      </c>
      <c r="AB30" s="21">
        <f>EXP(-LN(2)/2)*AB29+(1-EXP(-LN(2)/2))/(LN(2)/2)*V30*Y30*VLOOKUP('Données projet'!$B$9,Paramètres!$A$1:$I$89,3,0)*0.475*44/12</f>
        <v>3.4177564133133904</v>
      </c>
      <c r="AC30" s="22">
        <f t="shared" si="3"/>
        <v>15.870128986354207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0.2</v>
      </c>
      <c r="AI30" s="13">
        <f>IF('Données projet'!$A$62&gt;35,AI29+AH30-AQ29,IF(A30&lt;'Données projet'!$A$62,$AF$205^A30,IF(A30='Données projet'!$A$62,'Données projet'!$B$62,AI29+AH30-AQ29)))</f>
        <v>149.39999999999998</v>
      </c>
      <c r="AJ30" s="13">
        <f>AI30*VLOOKUP('Données projet'!$B$10,Paramètres!$A$1:$I$89,3,0)*VLOOKUP('Données projet'!$B$10,Paramètres!$A$1:$I$89,5,0)</f>
        <v>93.225599999999986</v>
      </c>
      <c r="AK30" s="13">
        <f t="shared" si="35"/>
        <v>25.341560592852264</v>
      </c>
      <c r="AL30" s="20">
        <f t="shared" si="4"/>
        <v>206.50447136588431</v>
      </c>
      <c r="AM30" s="59">
        <f t="shared" si="5"/>
        <v>496.17113803255097</v>
      </c>
      <c r="AN30" s="59">
        <f ca="1">AVERAGE(OFFSET($AM$3,0,0,'Données projet'!$E$10+1,1))-AVERAGE(OFFSET($H$3,0,0,'Données projet'!$E$10+1,1))</f>
        <v>282.98219518929034</v>
      </c>
      <c r="AO30" s="59">
        <f t="shared" si="36"/>
        <v>205.95652510682322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9.0451425159093173</v>
      </c>
      <c r="AW30" s="21">
        <f>EXP(-LN(2)/2)*AW29+(1-EXP(-LN(2)/2))/(LN(2)/2)*AQ30*AT30*VLOOKUP('Données projet'!$B$10,Paramètres!$A$1:$I$89,3,0)*0.475*44/12</f>
        <v>0.46211159298715915</v>
      </c>
      <c r="AX30" s="21">
        <f t="shared" si="6"/>
        <v>9.5072541088964773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0.2</v>
      </c>
      <c r="BD30" s="12">
        <f>IF('Données projet'!$A$88&gt;35,BD29+BC30-BL29,IF(A30&lt;'Données projet'!$A$88,$BA$205^A30,IF(A30='Données projet'!$A$88,'Données projet'!$B$88,BD29+BC30-BL29)))</f>
        <v>141.4</v>
      </c>
      <c r="BE30" s="13">
        <f>BD30*VLOOKUP('Données projet'!$B$11,Paramètres!$A$1:$I$89,3,0)*VLOOKUP('Données projet'!$B$11,Paramètres!$A$1:$I$89,5,0)</f>
        <v>114.70368000000002</v>
      </c>
      <c r="BF30" s="13">
        <f t="shared" si="37"/>
        <v>30.436493180151242</v>
      </c>
      <c r="BG30" s="20">
        <f t="shared" si="7"/>
        <v>252.78580162209678</v>
      </c>
      <c r="BH30" s="59">
        <f t="shared" si="8"/>
        <v>542.4524682887635</v>
      </c>
      <c r="BI30" s="59">
        <f ca="1">AVERAGE(OFFSET($BH$3,0,0,'Données projet'!$E$11+1,1))-AVERAGE(OFFSET($H$3,0,0,'Données projet'!$E$11+1,1))</f>
        <v>293.14894570672351</v>
      </c>
      <c r="BJ30" s="59">
        <f t="shared" si="38"/>
        <v>252.47559879720762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11.245591818509553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11.245591818509553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311</v>
      </c>
      <c r="O31" s="13">
        <f>N31*VLOOKUP('Données projet'!$B$9,Paramètres!$A$1:$I$89,3,0)*VLOOKUP('Données projet'!$B$9,Paramètres!$A$1:$I$89,5,0)</f>
        <v>173.84899999999999</v>
      </c>
      <c r="P31" s="13">
        <f t="shared" si="33"/>
        <v>43.950945068839843</v>
      </c>
      <c r="Q31" s="20">
        <f t="shared" si="2"/>
        <v>379.33490432822936</v>
      </c>
      <c r="R31" s="59">
        <f t="shared" si="0"/>
        <v>670.22379321711821</v>
      </c>
      <c r="S31" s="59">
        <f ca="1">AVERAGE(OFFSET($R$3,0,0,'Données projet'!$E$9+1,1))-AVERAGE(OFFSET($H$3,0,0,'Données projet'!$E$9+1,1))</f>
        <v>381.58561971183832</v>
      </c>
      <c r="T31" s="59">
        <f t="shared" si="34"/>
        <v>444.55874959426347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12.111861790189201</v>
      </c>
      <c r="AB31" s="21">
        <f>EXP(-LN(2)/2)*AB30+(1-EXP(-LN(2)/2))/(LN(2)/2)*V31*Y31*VLOOKUP('Données projet'!$B$9,Paramètres!$A$1:$I$89,3,0)*0.475*44/12</f>
        <v>2.4167187362977112</v>
      </c>
      <c r="AC31" s="22">
        <f t="shared" si="3"/>
        <v>14.528580526486913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0.2</v>
      </c>
      <c r="AI31" s="13">
        <f>IF('Données projet'!$A$62&gt;35,AI30+AH31-AQ30,IF(A31&lt;'Données projet'!$A$62,$AF$205^A31,IF(A31='Données projet'!$A$62,'Données projet'!$B$62,AI30+AH31-AQ30)))</f>
        <v>149.59999999999997</v>
      </c>
      <c r="AJ31" s="13">
        <f>AI31*VLOOKUP('Données projet'!$B$10,Paramètres!$A$1:$I$89,3,0)*VLOOKUP('Données projet'!$B$10,Paramètres!$A$1:$I$89,5,0)</f>
        <v>93.350399999999979</v>
      </c>
      <c r="AK31" s="13">
        <f t="shared" si="35"/>
        <v>25.371533898375823</v>
      </c>
      <c r="AL31" s="20">
        <f t="shared" si="4"/>
        <v>206.77403487300452</v>
      </c>
      <c r="AM31" s="59">
        <f t="shared" si="5"/>
        <v>497.66292376189335</v>
      </c>
      <c r="AN31" s="59">
        <f ca="1">AVERAGE(OFFSET($AM$3,0,0,'Données projet'!$E$10+1,1))-AVERAGE(OFFSET($H$3,0,0,'Données projet'!$E$10+1,1))</f>
        <v>282.98219518929034</v>
      </c>
      <c r="AO31" s="59">
        <f t="shared" si="36"/>
        <v>205.95652510682322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8.7978026181484044</v>
      </c>
      <c r="AW31" s="21">
        <f>EXP(-LN(2)/2)*AW30+(1-EXP(-LN(2)/2))/(LN(2)/2)*AQ31*AT31*VLOOKUP('Données projet'!$B$10,Paramètres!$A$1:$I$89,3,0)*0.475*44/12</f>
        <v>0.32676224106613805</v>
      </c>
      <c r="AX31" s="21">
        <f t="shared" si="6"/>
        <v>9.1245648592145425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0.2</v>
      </c>
      <c r="BD31" s="12">
        <f>IF('Données projet'!$A$88&gt;35,BD30+BC31-BL30,IF(A31&lt;'Données projet'!$A$88,$BA$205^A31,IF(A31='Données projet'!$A$88,'Données projet'!$B$88,BD30+BC31-BL30)))</f>
        <v>141.6</v>
      </c>
      <c r="BE31" s="13">
        <f>BD31*VLOOKUP('Données projet'!$B$11,Paramètres!$A$1:$I$89,3,0)*VLOOKUP('Données projet'!$B$11,Paramètres!$A$1:$I$89,5,0)</f>
        <v>114.86592000000002</v>
      </c>
      <c r="BF31" s="13">
        <f t="shared" si="37"/>
        <v>30.474529209372392</v>
      </c>
      <c r="BG31" s="20">
        <f t="shared" si="7"/>
        <v>253.13461570632361</v>
      </c>
      <c r="BH31" s="59">
        <f t="shared" si="8"/>
        <v>544.02350459521244</v>
      </c>
      <c r="BI31" s="59">
        <f ca="1">AVERAGE(OFFSET($BH$3,0,0,'Données projet'!$E$11+1,1))-AVERAGE(OFFSET($H$3,0,0,'Données projet'!$E$11+1,1))</f>
        <v>293.14894570672351</v>
      </c>
      <c r="BJ31" s="59">
        <f t="shared" si="38"/>
        <v>252.47559879720762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11.025072622082307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11.025072622082307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339</v>
      </c>
      <c r="O32" s="13">
        <f>N32*VLOOKUP('Données projet'!$B$9,Paramètres!$A$1:$I$89,3,0)*VLOOKUP('Données projet'!$B$9,Paramètres!$A$1:$I$89,5,0)</f>
        <v>189.50100000000003</v>
      </c>
      <c r="P32" s="13">
        <f t="shared" si="33"/>
        <v>47.429614156769482</v>
      </c>
      <c r="Q32" s="20">
        <f t="shared" si="2"/>
        <v>412.6541529897068</v>
      </c>
      <c r="R32" s="59">
        <f t="shared" si="0"/>
        <v>704.76526410081794</v>
      </c>
      <c r="S32" s="59">
        <f ca="1">AVERAGE(OFFSET($R$3,0,0,'Données projet'!$E$9+1,1))-AVERAGE(OFFSET($H$3,0,0,'Données projet'!$E$9+1,1))</f>
        <v>381.58561971183832</v>
      </c>
      <c r="T32" s="59">
        <f t="shared" si="34"/>
        <v>444.55874959426347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11.780662292601347</v>
      </c>
      <c r="AB32" s="21">
        <f>EXP(-LN(2)/2)*AB31+(1-EXP(-LN(2)/2))/(LN(2)/2)*V32*Y32*VLOOKUP('Données projet'!$B$9,Paramètres!$A$1:$I$89,3,0)*0.475*44/12</f>
        <v>1.7088782066566954</v>
      </c>
      <c r="AC32" s="22">
        <f t="shared" si="3"/>
        <v>13.489540499258043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0.2</v>
      </c>
      <c r="AI32" s="13">
        <f>IF('Données projet'!$A$62&gt;35,AI31+AH32-AQ31,IF(A32&lt;'Données projet'!$A$62,$AF$205^A32,IF(A32='Données projet'!$A$62,'Données projet'!$B$62,AI31+AH32-AQ31)))</f>
        <v>149.79999999999995</v>
      </c>
      <c r="AJ32" s="13">
        <f>AI32*VLOOKUP('Données projet'!$B$10,Paramètres!$A$1:$I$89,3,0)*VLOOKUP('Données projet'!$B$10,Paramètres!$A$1:$I$89,5,0)</f>
        <v>93.475199999999987</v>
      </c>
      <c r="AK32" s="13">
        <f t="shared" si="35"/>
        <v>25.401502539965662</v>
      </c>
      <c r="AL32" s="20">
        <f t="shared" si="4"/>
        <v>207.04359025710684</v>
      </c>
      <c r="AM32" s="59">
        <f t="shared" si="5"/>
        <v>499.15470136821796</v>
      </c>
      <c r="AN32" s="59">
        <f ca="1">AVERAGE(OFFSET($AM$3,0,0,'Données projet'!$E$10+1,1))-AVERAGE(OFFSET($H$3,0,0,'Données projet'!$E$10+1,1))</f>
        <v>282.98219518929034</v>
      </c>
      <c r="AO32" s="59">
        <f t="shared" si="36"/>
        <v>205.95652510682322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8.5572262428988051</v>
      </c>
      <c r="AW32" s="21">
        <f>EXP(-LN(2)/2)*AW31+(1-EXP(-LN(2)/2))/(LN(2)/2)*AQ32*AT32*VLOOKUP('Données projet'!$B$10,Paramètres!$A$1:$I$89,3,0)*0.475*44/12</f>
        <v>0.23105579649357957</v>
      </c>
      <c r="AX32" s="21">
        <f t="shared" si="6"/>
        <v>8.7882820393923851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0.2</v>
      </c>
      <c r="BD32" s="12">
        <f>IF('Données projet'!$A$88&gt;35,BD31+BC32-BL31,IF(A32&lt;'Données projet'!$A$88,$BA$205^A32,IF(A32='Données projet'!$A$88,'Données projet'!$B$88,BD31+BC32-BL31)))</f>
        <v>141.79999999999998</v>
      </c>
      <c r="BE32" s="13">
        <f>BD32*VLOOKUP('Données projet'!$B$11,Paramètres!$A$1:$I$89,3,0)*VLOOKUP('Données projet'!$B$11,Paramètres!$A$1:$I$89,5,0)</f>
        <v>115.02815999999999</v>
      </c>
      <c r="BF32" s="13">
        <f t="shared" si="37"/>
        <v>30.512558985724276</v>
      </c>
      <c r="BG32" s="20">
        <f t="shared" si="7"/>
        <v>253.4834189001364</v>
      </c>
      <c r="BH32" s="59">
        <f t="shared" si="8"/>
        <v>545.59453001124757</v>
      </c>
      <c r="BI32" s="59">
        <f ca="1">AVERAGE(OFFSET($BH$3,0,0,'Données projet'!$E$11+1,1))-AVERAGE(OFFSET($H$3,0,0,'Données projet'!$E$11+1,1))</f>
        <v>293.14894570672351</v>
      </c>
      <c r="BJ32" s="59">
        <f t="shared" si="38"/>
        <v>252.47559879720762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10.808877672593571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10.808877672593571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367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367</v>
      </c>
      <c r="O33" s="13">
        <f>N33*VLOOKUP('Données projet'!$B$9,Paramètres!$A$1:$I$89,3,0)*VLOOKUP('Données projet'!$B$9,Paramètres!$A$1:$I$89,5,0)</f>
        <v>205.15300000000002</v>
      </c>
      <c r="P33" s="13">
        <f t="shared" si="33"/>
        <v>50.874959053246712</v>
      </c>
      <c r="Q33" s="20">
        <f t="shared" si="2"/>
        <v>445.91536201773806</v>
      </c>
      <c r="R33" s="59">
        <f t="shared" si="0"/>
        <v>739.24869535107132</v>
      </c>
      <c r="S33" s="59">
        <f ca="1">AVERAGE(OFFSET($R$3,0,0,'Données projet'!$E$9+1,1))-AVERAGE(OFFSET($H$3,0,0,'Données projet'!$E$9+1,1))</f>
        <v>381.58561971183832</v>
      </c>
      <c r="T33" s="59">
        <f t="shared" si="34"/>
        <v>444.55874959426347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11.458519462692058</v>
      </c>
      <c r="AB33" s="21">
        <f>EXP(-LN(2)/2)*AB32+(1-EXP(-LN(2)/2))/(LN(2)/2)*V33*Y33*VLOOKUP('Données projet'!$B$9,Paramètres!$A$1:$I$89,3,0)*0.475*44/12</f>
        <v>1.2083593681488558</v>
      </c>
      <c r="AC33" s="22">
        <f t="shared" si="3"/>
        <v>12.666878830840913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150</v>
      </c>
      <c r="AG33" s="12">
        <f>VLOOKUP(A33,'Données projet'!$A$61:$I$81,9,0)</f>
        <v>0.2</v>
      </c>
      <c r="AH33" s="12">
        <f t="array" ref="AH33">INDEX(AG:AG,MIN(IF(ISNUMBER(AG33:AG229),ROW(AG33:AG229),"")))</f>
        <v>0.2</v>
      </c>
      <c r="AI33" s="13">
        <f>IF('Données projet'!$A$62&gt;35,AI32+AH33-AQ32,IF(A33&lt;'Données projet'!$A$62,$AF$205^A33,IF(A33='Données projet'!$A$62,'Données projet'!$B$62,AI32+AH33-AQ32)))</f>
        <v>149.99999999999994</v>
      </c>
      <c r="AJ33" s="13">
        <f>AI33*VLOOKUP('Données projet'!$B$10,Paramètres!$A$1:$I$89,3,0)*VLOOKUP('Données projet'!$B$10,Paramètres!$A$1:$I$89,5,0)</f>
        <v>93.599999999999966</v>
      </c>
      <c r="AK33" s="13">
        <f t="shared" si="35"/>
        <v>25.431466524572915</v>
      </c>
      <c r="AL33" s="20">
        <f t="shared" si="4"/>
        <v>207.31313753029772</v>
      </c>
      <c r="AM33" s="59">
        <f t="shared" si="5"/>
        <v>500.64647086363107</v>
      </c>
      <c r="AN33" s="59">
        <f ca="1">AVERAGE(OFFSET($AM$3,0,0,'Données projet'!$E$10+1,1))-AVERAGE(OFFSET($H$3,0,0,'Données projet'!$E$10+1,1))</f>
        <v>282.98219518929034</v>
      </c>
      <c r="AO33" s="59">
        <f t="shared" si="36"/>
        <v>205.95652510682322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0.36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29.101055576440867</v>
      </c>
      <c r="AW33" s="21">
        <f>EXP(-LN(2)/2)*AW32+(1-EXP(-LN(2)/2))/(LN(2)/2)*AQ33*AT33*VLOOKUP('Données projet'!$B$10,Paramètres!$A$1:$I$89,3,0)*0.475*44/12</f>
        <v>10.054562471724275</v>
      </c>
      <c r="AX33" s="21">
        <f t="shared" si="6"/>
        <v>39.155618048165138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142</v>
      </c>
      <c r="BB33" s="12">
        <f>VLOOKUP(A33,'Données projet'!$A$87:$I$107,9,0)</f>
        <v>0.2</v>
      </c>
      <c r="BC33" s="12">
        <f t="array" ref="BC33">INDEX(BB:BB,MIN(IF(ISNUMBER(BB33:BB229),ROW(BB33:BB229),"")))</f>
        <v>0.2</v>
      </c>
      <c r="BD33" s="12">
        <f>IF('Données projet'!$A$88&gt;35,BD32+BC33-BL32,IF(A33&lt;'Données projet'!$A$88,$BA$205^A33,IF(A33='Données projet'!$A$88,'Données projet'!$B$88,BD32+BC33-BL32)))</f>
        <v>141.99999999999997</v>
      </c>
      <c r="BE33" s="13">
        <f>BD33*VLOOKUP('Données projet'!$B$11,Paramètres!$A$1:$I$89,3,0)*VLOOKUP('Données projet'!$B$11,Paramètres!$A$1:$I$89,5,0)</f>
        <v>115.19039999999998</v>
      </c>
      <c r="BF33" s="13">
        <f t="shared" si="37"/>
        <v>30.550582519051947</v>
      </c>
      <c r="BG33" s="20">
        <f t="shared" si="7"/>
        <v>253.8322112206821</v>
      </c>
      <c r="BH33" s="59">
        <f t="shared" si="8"/>
        <v>547.16554455401547</v>
      </c>
      <c r="BI33" s="59">
        <f ca="1">AVERAGE(OFFSET($BH$3,0,0,'Données projet'!$E$11+1,1))-AVERAGE(OFFSET($H$3,0,0,'Données projet'!$E$11+1,1))</f>
        <v>293.14894570672351</v>
      </c>
      <c r="BJ33" s="59">
        <f t="shared" si="38"/>
        <v>252.47559879720762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0.215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24.093123630949204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24.093123630949204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24.6</v>
      </c>
      <c r="N34" s="13">
        <f>IF('Données projet'!$A$36&gt;35,N33+M34-V33,IF(A34&lt;'Données projet'!$A$36,$K$205^A34,IF(A34='Données projet'!$A$36,'Données projet'!$B$36,N33+M34-V33)))</f>
        <v>391.6</v>
      </c>
      <c r="O34" s="13">
        <f>N34*VLOOKUP('Données projet'!$B$9,Paramètres!$A$1:$I$89,3,0)*VLOOKUP('Données projet'!$B$9,Paramètres!$A$1:$I$89,5,0)</f>
        <v>218.90440000000001</v>
      </c>
      <c r="P34" s="13">
        <f t="shared" si="33"/>
        <v>53.876693328812038</v>
      </c>
      <c r="Q34" s="20">
        <f t="shared" si="2"/>
        <v>475.09373754768097</v>
      </c>
      <c r="R34" s="59">
        <f t="shared" si="0"/>
        <v>768.42707088101429</v>
      </c>
      <c r="S34" s="59">
        <f ca="1">AVERAGE(OFFSET($R$3,0,0,'Données projet'!$E$9+1,1))-AVERAGE(OFFSET($H$3,0,0,'Données projet'!$E$9+1,1))</f>
        <v>381.58561971183832</v>
      </c>
      <c r="T34" s="59">
        <f t="shared" si="34"/>
        <v>444.55874959426347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11.145185645407393</v>
      </c>
      <c r="AB34" s="21">
        <f>EXP(-LN(2)/2)*AB33+(1-EXP(-LN(2)/2))/(LN(2)/2)*V34*Y34*VLOOKUP('Données projet'!$B$9,Paramètres!$A$1:$I$89,3,0)*0.475*44/12</f>
        <v>0.85443910332834783</v>
      </c>
      <c r="AC34" s="22">
        <f t="shared" si="3"/>
        <v>11.999624748735741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27.8</v>
      </c>
      <c r="AI34" s="13">
        <f>IF('Données projet'!$A$62&gt;35,AI33+AH34-AQ33,IF(A34&lt;'Données projet'!$A$62,$AF$205^A34,IF(A34='Données projet'!$A$62,'Données projet'!$B$62,AI33+AH34-AQ33)))</f>
        <v>107.79999999999995</v>
      </c>
      <c r="AJ34" s="13">
        <f>AI34*VLOOKUP('Données projet'!$B$10,Paramètres!$A$1:$I$89,3,0)*VLOOKUP('Données projet'!$B$10,Paramètres!$A$1:$I$89,5,0)</f>
        <v>67.267199999999974</v>
      </c>
      <c r="AK34" s="13">
        <f t="shared" si="35"/>
        <v>18.993242158132926</v>
      </c>
      <c r="AL34" s="20">
        <f t="shared" si="4"/>
        <v>150.23693675874813</v>
      </c>
      <c r="AM34" s="59">
        <f t="shared" si="5"/>
        <v>443.57027009208144</v>
      </c>
      <c r="AN34" s="59">
        <f ca="1">AVERAGE(OFFSET($AM$3,0,0,'Données projet'!$E$10+1,1))-AVERAGE(OFFSET($H$3,0,0,'Données projet'!$E$10+1,1))</f>
        <v>282.98219518929034</v>
      </c>
      <c r="AO34" s="59">
        <f t="shared" si="36"/>
        <v>205.95652510682322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28.30528568134509</v>
      </c>
      <c r="AW34" s="21">
        <f>EXP(-LN(2)/2)*AW33+(1-EXP(-LN(2)/2))/(LN(2)/2)*AQ34*AT34*VLOOKUP('Données projet'!$B$10,Paramètres!$A$1:$I$89,3,0)*0.475*44/12</f>
        <v>7.1096493056200094</v>
      </c>
      <c r="AX34" s="21">
        <f t="shared" si="6"/>
        <v>35.4149349869651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26.8</v>
      </c>
      <c r="BD34" s="12">
        <f>IF('Données projet'!$A$88&gt;35,BD33+BC34-BL33,IF(A34&lt;'Données projet'!$A$88,$BA$205^A34,IF(A34='Données projet'!$A$88,'Données projet'!$B$88,BD33+BC34-BL33)))</f>
        <v>98.799999999999983</v>
      </c>
      <c r="BE34" s="13">
        <f>BD34*VLOOKUP('Données projet'!$B$11,Paramètres!$A$1:$I$89,3,0)*VLOOKUP('Données projet'!$B$11,Paramètres!$A$1:$I$89,5,0)</f>
        <v>80.146559999999994</v>
      </c>
      <c r="BF34" s="13">
        <f t="shared" si="37"/>
        <v>22.17301499240547</v>
      </c>
      <c r="BG34" s="20">
        <f t="shared" si="7"/>
        <v>178.20659311177283</v>
      </c>
      <c r="BH34" s="59">
        <f t="shared" si="8"/>
        <v>471.53992644510618</v>
      </c>
      <c r="BI34" s="59">
        <f ca="1">AVERAGE(OFFSET($BH$3,0,0,'Données projet'!$E$11+1,1))-AVERAGE(OFFSET($H$3,0,0,'Données projet'!$E$11+1,1))</f>
        <v>293.14894570672351</v>
      </c>
      <c r="BJ34" s="59">
        <f t="shared" si="38"/>
        <v>252.47559879720762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23.620672171900658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23.620672171900658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24.6</v>
      </c>
      <c r="N35" s="13">
        <f>IF('Données projet'!$A$36&gt;35,N34+M35-V34,IF(A35&lt;'Données projet'!$A$36,$K$205^A35,IF(A35='Données projet'!$A$36,'Données projet'!$B$36,N34+M35-V34)))</f>
        <v>416.20000000000005</v>
      </c>
      <c r="O35" s="13">
        <f>N35*VLOOKUP('Données projet'!$B$9,Paramètres!$A$1:$I$89,3,0)*VLOOKUP('Données projet'!$B$9,Paramètres!$A$1:$I$89,5,0)</f>
        <v>232.65580000000003</v>
      </c>
      <c r="P35" s="13">
        <f t="shared" si="33"/>
        <v>56.856543319741881</v>
      </c>
      <c r="Q35" s="20">
        <f t="shared" ref="Q35:Q66" si="53">(O35+P35)*0.475*44/12</f>
        <v>504.23399794855044</v>
      </c>
      <c r="R35" s="59">
        <f t="shared" si="0"/>
        <v>797.56733128188375</v>
      </c>
      <c r="S35" s="59">
        <f ca="1">AVERAGE(OFFSET($R$3,0,0,'Données projet'!$E$9+1,1))-AVERAGE(OFFSET($H$3,0,0,'Données projet'!$E$9+1,1))</f>
        <v>381.58561971183832</v>
      </c>
      <c r="T35" s="59">
        <f t="shared" si="34"/>
        <v>444.55874959426347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10.840419957833888</v>
      </c>
      <c r="AB35" s="21">
        <f>EXP(-LN(2)/2)*AB34+(1-EXP(-LN(2)/2))/(LN(2)/2)*V35*Y35*VLOOKUP('Données projet'!$B$9,Paramètres!$A$1:$I$89,3,0)*0.475*44/12</f>
        <v>0.60417968407442801</v>
      </c>
      <c r="AC35" s="22">
        <f t="shared" si="3"/>
        <v>11.444599641908315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27.8</v>
      </c>
      <c r="AI35" s="13">
        <f>IF('Données projet'!$A$62&gt;35,AI34+AH35-AQ34,IF(A35&lt;'Données projet'!$A$62,$AF$205^A35,IF(A35='Données projet'!$A$62,'Données projet'!$B$62,AI34+AH35-AQ34)))</f>
        <v>135.59999999999997</v>
      </c>
      <c r="AJ35" s="13">
        <f>AI35*VLOOKUP('Données projet'!$B$10,Paramètres!$A$1:$I$89,3,0)*VLOOKUP('Données projet'!$B$10,Paramètres!$A$1:$I$89,5,0)</f>
        <v>84.614399999999975</v>
      </c>
      <c r="AK35" s="13">
        <f t="shared" si="35"/>
        <v>23.261720328776033</v>
      </c>
      <c r="AL35" s="20">
        <f t="shared" si="4"/>
        <v>187.88424290595154</v>
      </c>
      <c r="AM35" s="59">
        <f t="shared" si="5"/>
        <v>481.21757623928488</v>
      </c>
      <c r="AN35" s="59">
        <f ca="1">AVERAGE(OFFSET($AM$3,0,0,'Données projet'!$E$10+1,1))-AVERAGE(OFFSET($H$3,0,0,'Données projet'!$E$10+1,1))</f>
        <v>282.98219518929034</v>
      </c>
      <c r="AO35" s="59">
        <f t="shared" si="36"/>
        <v>205.95652510682322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27.531276155878427</v>
      </c>
      <c r="AW35" s="21">
        <f>EXP(-LN(2)/2)*AW34+(1-EXP(-LN(2)/2))/(LN(2)/2)*AQ35*AT35*VLOOKUP('Données projet'!$B$10,Paramètres!$A$1:$I$89,3,0)*0.475*44/12</f>
        <v>5.0272812358621382</v>
      </c>
      <c r="AX35" s="21">
        <f t="shared" si="6"/>
        <v>32.558557391740564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26.8</v>
      </c>
      <c r="BD35" s="12">
        <f>IF('Données projet'!$A$88&gt;35,BD34+BC35-BL34,IF(A35&lt;'Données projet'!$A$88,$BA$205^A35,IF(A35='Données projet'!$A$88,'Données projet'!$B$88,BD34+BC35-BL34)))</f>
        <v>125.59999999999998</v>
      </c>
      <c r="BE35" s="13">
        <f>BD35*VLOOKUP('Données projet'!$B$11,Paramètres!$A$1:$I$89,3,0)*VLOOKUP('Données projet'!$B$11,Paramètres!$A$1:$I$89,5,0)</f>
        <v>101.88672</v>
      </c>
      <c r="BF35" s="13">
        <f t="shared" si="37"/>
        <v>27.410992435826536</v>
      </c>
      <c r="BG35" s="20">
        <f t="shared" si="7"/>
        <v>225.19351582573117</v>
      </c>
      <c r="BH35" s="59">
        <f t="shared" si="8"/>
        <v>518.52684915906445</v>
      </c>
      <c r="BI35" s="59">
        <f ca="1">AVERAGE(OFFSET($BH$3,0,0,'Données projet'!$E$11+1,1))-AVERAGE(OFFSET($H$3,0,0,'Données projet'!$E$11+1,1))</f>
        <v>293.14894570672351</v>
      </c>
      <c r="BJ35" s="59">
        <f t="shared" si="38"/>
        <v>252.47559879720762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23.157485197797119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23.157485197797119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24.6</v>
      </c>
      <c r="N36" s="13">
        <f>IF('Données projet'!$A$36&gt;35,N35+M36-V35,IF(A36&lt;'Données projet'!$A$36,$K$205^A36,IF(A36='Données projet'!$A$36,'Données projet'!$B$36,N35+M36-V35)))</f>
        <v>440.80000000000007</v>
      </c>
      <c r="O36" s="13">
        <f>N36*VLOOKUP('Données projet'!$B$9,Paramètres!$A$1:$I$89,3,0)*VLOOKUP('Données projet'!$B$9,Paramètres!$A$1:$I$89,5,0)</f>
        <v>246.40720000000005</v>
      </c>
      <c r="P36" s="13">
        <f t="shared" si="33"/>
        <v>59.815949856261952</v>
      </c>
      <c r="Q36" s="20">
        <f t="shared" si="53"/>
        <v>533.33865266632301</v>
      </c>
      <c r="R36" s="59">
        <f t="shared" si="0"/>
        <v>826.67198599965627</v>
      </c>
      <c r="S36" s="59">
        <f ca="1">AVERAGE(OFFSET($R$3,0,0,'Données projet'!$E$9+1,1))-AVERAGE(OFFSET($H$3,0,0,'Données projet'!$E$9+1,1))</f>
        <v>381.58561971183832</v>
      </c>
      <c r="T36" s="59">
        <f t="shared" si="34"/>
        <v>444.55874959426347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10.54398810401401</v>
      </c>
      <c r="AB36" s="21">
        <f>EXP(-LN(2)/2)*AB35+(1-EXP(-LN(2)/2))/(LN(2)/2)*V36*Y36*VLOOKUP('Données projet'!$B$9,Paramètres!$A$1:$I$89,3,0)*0.475*44/12</f>
        <v>0.42721955166417402</v>
      </c>
      <c r="AC36" s="22">
        <f t="shared" si="3"/>
        <v>10.971207655678185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27.8</v>
      </c>
      <c r="AI36" s="13">
        <f>IF('Données projet'!$A$62&gt;35,AI35+AH36-AQ35,IF(A36&lt;'Données projet'!$A$62,$AF$205^A36,IF(A36='Données projet'!$A$62,'Données projet'!$B$62,AI35+AH36-AQ35)))</f>
        <v>163.39999999999998</v>
      </c>
      <c r="AJ36" s="13">
        <f>AI36*VLOOKUP('Données projet'!$B$10,Paramètres!$A$1:$I$89,3,0)*VLOOKUP('Données projet'!$B$10,Paramètres!$A$1:$I$89,5,0)</f>
        <v>101.96159999999999</v>
      </c>
      <c r="AK36" s="13">
        <f t="shared" si="35"/>
        <v>27.428792032018624</v>
      </c>
      <c r="AL36" s="20">
        <f t="shared" si="4"/>
        <v>225.35493278909905</v>
      </c>
      <c r="AM36" s="59">
        <f t="shared" si="5"/>
        <v>518.68826612243242</v>
      </c>
      <c r="AN36" s="59">
        <f ca="1">AVERAGE(OFFSET($AM$3,0,0,'Données projet'!$E$10+1,1))-AVERAGE(OFFSET($H$3,0,0,'Données projet'!$E$10+1,1))</f>
        <v>282.98219518929034</v>
      </c>
      <c r="AO36" s="59">
        <f t="shared" si="36"/>
        <v>205.95652510682322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26.778431961589042</v>
      </c>
      <c r="AW36" s="21">
        <f>EXP(-LN(2)/2)*AW35+(1-EXP(-LN(2)/2))/(LN(2)/2)*AQ36*AT36*VLOOKUP('Données projet'!$B$10,Paramètres!$A$1:$I$89,3,0)*0.475*44/12</f>
        <v>3.5548246528100056</v>
      </c>
      <c r="AX36" s="21">
        <f t="shared" si="6"/>
        <v>30.333256614399048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26.8</v>
      </c>
      <c r="BD36" s="12">
        <f>IF('Données projet'!$A$88&gt;35,BD35+BC36-BL35,IF(A36&lt;'Données projet'!$A$88,$BA$205^A36,IF(A36='Données projet'!$A$88,'Données projet'!$B$88,BD35+BC36-BL35)))</f>
        <v>152.39999999999998</v>
      </c>
      <c r="BE36" s="13">
        <f>BD36*VLOOKUP('Données projet'!$B$11,Paramètres!$A$1:$I$89,3,0)*VLOOKUP('Données projet'!$B$11,Paramètres!$A$1:$I$89,5,0)</f>
        <v>123.62687999999999</v>
      </c>
      <c r="BF36" s="13">
        <f t="shared" si="37"/>
        <v>32.519437980051656</v>
      </c>
      <c r="BG36" s="20">
        <f t="shared" si="7"/>
        <v>271.95483714858989</v>
      </c>
      <c r="BH36" s="59">
        <f t="shared" si="8"/>
        <v>565.2881704819232</v>
      </c>
      <c r="BI36" s="59">
        <f ca="1">AVERAGE(OFFSET($BH$3,0,0,'Données projet'!$E$11+1,1))-AVERAGE(OFFSET($H$3,0,0,'Données projet'!$E$11+1,1))</f>
        <v>293.14894570672351</v>
      </c>
      <c r="BJ36" s="59">
        <f t="shared" si="38"/>
        <v>252.47559879720762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22.703381037739593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22.703381037739593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24.6</v>
      </c>
      <c r="N37" s="13">
        <f>IF('Données projet'!$A$36&gt;35,N36+M37-V36,IF(A37&lt;'Données projet'!$A$36,$K$205^A37,IF(A37='Données projet'!$A$36,'Données projet'!$B$36,N36+M37-V36)))</f>
        <v>465.40000000000009</v>
      </c>
      <c r="O37" s="13">
        <f>N37*VLOOKUP('Données projet'!$B$9,Paramètres!$A$1:$I$89,3,0)*VLOOKUP('Données projet'!$B$9,Paramètres!$A$1:$I$89,5,0)</f>
        <v>260.15860000000009</v>
      </c>
      <c r="P37" s="13">
        <f t="shared" si="33"/>
        <v>62.756183867043902</v>
      </c>
      <c r="Q37" s="20">
        <f t="shared" si="53"/>
        <v>562.40991523510161</v>
      </c>
      <c r="R37" s="59">
        <f t="shared" si="0"/>
        <v>855.74324856843486</v>
      </c>
      <c r="S37" s="59">
        <f ca="1">AVERAGE(OFFSET($R$3,0,0,'Données projet'!$E$9+1,1))-AVERAGE(OFFSET($H$3,0,0,'Données projet'!$E$9+1,1))</f>
        <v>381.58561971183832</v>
      </c>
      <c r="T37" s="59">
        <f t="shared" si="34"/>
        <v>444.55874959426347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10.255662194825511</v>
      </c>
      <c r="AB37" s="21">
        <f>EXP(-LN(2)/2)*AB36+(1-EXP(-LN(2)/2))/(LN(2)/2)*V37*Y37*VLOOKUP('Données projet'!$B$9,Paramètres!$A$1:$I$89,3,0)*0.475*44/12</f>
        <v>0.30208984203721406</v>
      </c>
      <c r="AC37" s="22">
        <f t="shared" si="3"/>
        <v>10.557752036862725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27.8</v>
      </c>
      <c r="AI37" s="13">
        <f>IF('Données projet'!$A$62&gt;35,AI36+AH37-AQ36,IF(A37&lt;'Données projet'!$A$62,$AF$205^A37,IF(A37='Données projet'!$A$62,'Données projet'!$B$62,AI36+AH37-AQ36)))</f>
        <v>191.2</v>
      </c>
      <c r="AJ37" s="13">
        <f>AI37*VLOOKUP('Données projet'!$B$10,Paramètres!$A$1:$I$89,3,0)*VLOOKUP('Données projet'!$B$10,Paramètres!$A$1:$I$89,5,0)</f>
        <v>119.30880000000001</v>
      </c>
      <c r="AK37" s="13">
        <f t="shared" si="35"/>
        <v>31.51373408561815</v>
      </c>
      <c r="AL37" s="20">
        <f t="shared" si="4"/>
        <v>262.68258019911826</v>
      </c>
      <c r="AM37" s="59">
        <f t="shared" si="5"/>
        <v>556.01591353245158</v>
      </c>
      <c r="AN37" s="59">
        <f ca="1">AVERAGE(OFFSET($AM$3,0,0,'Données projet'!$E$10+1,1))-AVERAGE(OFFSET($H$3,0,0,'Données projet'!$E$10+1,1))</f>
        <v>282.98219518929034</v>
      </c>
      <c r="AO37" s="59">
        <f t="shared" si="36"/>
        <v>205.95652510682322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26.046174331382858</v>
      </c>
      <c r="AW37" s="21">
        <f>EXP(-LN(2)/2)*AW36+(1-EXP(-LN(2)/2))/(LN(2)/2)*AQ37*AT37*VLOOKUP('Données projet'!$B$10,Paramètres!$A$1:$I$89,3,0)*0.475*44/12</f>
        <v>2.5136406179310695</v>
      </c>
      <c r="AX37" s="21">
        <f t="shared" si="6"/>
        <v>28.559814949313928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26.8</v>
      </c>
      <c r="BD37" s="12">
        <f>IF('Données projet'!$A$88&gt;35,BD36+BC37-BL36,IF(A37&lt;'Données projet'!$A$88,$BA$205^A37,IF(A37='Données projet'!$A$88,'Données projet'!$B$88,BD36+BC37-BL36)))</f>
        <v>179.2</v>
      </c>
      <c r="BE37" s="13">
        <f>BD37*VLOOKUP('Données projet'!$B$11,Paramètres!$A$1:$I$89,3,0)*VLOOKUP('Données projet'!$B$11,Paramètres!$A$1:$I$89,5,0)</f>
        <v>145.36704</v>
      </c>
      <c r="BF37" s="13">
        <f t="shared" si="37"/>
        <v>37.523814117080832</v>
      </c>
      <c r="BG37" s="20">
        <f t="shared" si="7"/>
        <v>318.53490425391578</v>
      </c>
      <c r="BH37" s="59">
        <f t="shared" si="8"/>
        <v>611.86823758724904</v>
      </c>
      <c r="BI37" s="59">
        <f ca="1">AVERAGE(OFFSET($BH$3,0,0,'Données projet'!$E$11+1,1))-AVERAGE(OFFSET($H$3,0,0,'Données projet'!$E$11+1,1))</f>
        <v>293.14894570672351</v>
      </c>
      <c r="BJ37" s="59">
        <f t="shared" si="38"/>
        <v>252.47559879720762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22.258181583284607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22.258181583284607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490</v>
      </c>
      <c r="L38" s="12">
        <f>VLOOKUP(A38,'Données projet'!$A$35:$I$55,9,0)</f>
        <v>24.6</v>
      </c>
      <c r="M38" s="12">
        <f t="array" ref="M38">INDEX(L:L,MIN(IF(ISNUMBER(L38:L234),ROW(L38:L234),"")))</f>
        <v>24.6</v>
      </c>
      <c r="N38" s="13">
        <f>IF('Données projet'!$A$36&gt;35,N37+M38-V37,IF(A38&lt;'Données projet'!$A$36,$K$205^A38,IF(A38='Données projet'!$A$36,'Données projet'!$B$36,N37+M38-V37)))</f>
        <v>490.00000000000011</v>
      </c>
      <c r="O38" s="13">
        <f>N38*VLOOKUP('Données projet'!$B$9,Paramètres!$A$1:$I$89,3,0)*VLOOKUP('Données projet'!$B$9,Paramètres!$A$1:$I$89,5,0)</f>
        <v>273.91000000000008</v>
      </c>
      <c r="P38" s="13">
        <f t="shared" si="33"/>
        <v>65.678374335500322</v>
      </c>
      <c r="Q38" s="20">
        <f t="shared" si="53"/>
        <v>591.44975196766313</v>
      </c>
      <c r="R38" s="59">
        <f t="shared" si="0"/>
        <v>884.78308530099639</v>
      </c>
      <c r="S38" s="59">
        <f ca="1">AVERAGE(OFFSET($R$3,0,0,'Données projet'!$E$9+1,1))-AVERAGE(OFFSET($H$3,0,0,'Données projet'!$E$9+1,1))</f>
        <v>381.58561971183832</v>
      </c>
      <c r="T38" s="59">
        <f t="shared" si="34"/>
        <v>444.55874959426347</v>
      </c>
      <c r="U38" s="15">
        <f>IF(ISNA(VLOOKUP(A38,'Données projet'!$A$35:$I$55,3,0)),0,VLOOKUP(A38,'Données projet'!$A$35:$I$55,3,0))</f>
        <v>2</v>
      </c>
      <c r="V38" s="15">
        <f>IF(ISNA(VLOOKUP(A38,'Données projet'!$A$35:$I$55,4,0)),0,VLOOKUP(A38,'Données projet'!$A$35:$I$55,4,0))</f>
        <v>123</v>
      </c>
      <c r="W38" s="16">
        <f>IF(ISNA(VLOOKUP(A38,'Données projet'!$A$35:$I$55,5,0)),0%,VLOOKUP(A38,'Données projet'!$A$35:$I$55,5,0)*VLOOKUP('Données projet'!$B$9,Paramètres!$A$1:$I$89,7,0))</f>
        <v>0.44000000000000006</v>
      </c>
      <c r="X38" s="16">
        <f>IF(ISNA(VLOOKUP(A38,'Données projet'!$A$35:$I$55,6,0)),0%,VLOOKUP(A38,'Données projet'!$A$35:$I$55,6,0)*VLOOKUP('Données projet'!$B$9,Paramètres!$A$1:$I$89,7,0))</f>
        <v>0.11000000000000001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40.132660595568858</v>
      </c>
      <c r="AA38" s="21">
        <f>EXP(-LN(2)/25)*AA37+(1-EXP(-LN(2)/25))/(LN(2)/25)*Calculateur!V38*Calculateur!X38*VLOOKUP('Données projet'!$B$9,Paramètres!$A$1:$I$89,3,0)*0.475*44/12</f>
        <v>19.968881327551561</v>
      </c>
      <c r="AB38" s="21">
        <f>EXP(-LN(2)/2)*AB37+(1-EXP(-LN(2)/2))/(LN(2)/2)*V38*Y38*VLOOKUP('Données projet'!$B$9,Paramètres!$A$1:$I$89,3,0)*0.475*44/12</f>
        <v>0.21360977583208704</v>
      </c>
      <c r="AC38" s="22">
        <f t="shared" si="3"/>
        <v>60.315151698952512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219</v>
      </c>
      <c r="AG38" s="12">
        <f>VLOOKUP(A38,'Données projet'!$A$61:$I$81,9,0)</f>
        <v>27.8</v>
      </c>
      <c r="AH38" s="12">
        <f t="array" ref="AH38">INDEX(AG:AG,MIN(IF(ISNUMBER(AG38:AG234),ROW(AG38:AG234),"")))</f>
        <v>27.8</v>
      </c>
      <c r="AI38" s="13">
        <f>IF('Données projet'!$A$62&gt;35,AI37+AH38-AQ37,IF(A38&lt;'Données projet'!$A$62,$AF$205^A38,IF(A38='Données projet'!$A$62,'Données projet'!$B$62,AI37+AH38-AQ37)))</f>
        <v>219</v>
      </c>
      <c r="AJ38" s="13">
        <f>AI38*VLOOKUP('Données projet'!$B$10,Paramètres!$A$1:$I$89,3,0)*VLOOKUP('Données projet'!$B$10,Paramètres!$A$1:$I$89,5,0)</f>
        <v>136.65600000000001</v>
      </c>
      <c r="AK38" s="13">
        <f t="shared" si="35"/>
        <v>35.52986752364091</v>
      </c>
      <c r="AL38" s="20">
        <f t="shared" si="4"/>
        <v>299.89038593700792</v>
      </c>
      <c r="AM38" s="59">
        <f t="shared" si="5"/>
        <v>593.22371927034123</v>
      </c>
      <c r="AN38" s="59">
        <f ca="1">AVERAGE(OFFSET($AM$3,0,0,'Données projet'!$E$10+1,1))-AVERAGE(OFFSET($H$3,0,0,'Données projet'!$E$10+1,1))</f>
        <v>282.98219518929034</v>
      </c>
      <c r="AO38" s="59">
        <f t="shared" si="36"/>
        <v>205.95652510682322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25.333940324582414</v>
      </c>
      <c r="AW38" s="21">
        <f>EXP(-LN(2)/2)*AW37+(1-EXP(-LN(2)/2))/(LN(2)/2)*AQ38*AT38*VLOOKUP('Données projet'!$B$10,Paramètres!$A$1:$I$89,3,0)*0.475*44/12</f>
        <v>1.777412326405003</v>
      </c>
      <c r="AX38" s="21">
        <f t="shared" si="6"/>
        <v>27.111352650987417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26.8</v>
      </c>
      <c r="BC38" s="12">
        <f t="array" ref="BC38">INDEX(BB:BB,MIN(IF(ISNUMBER(BB38:BB234),ROW(BB38:BB234),"")))</f>
        <v>26.8</v>
      </c>
      <c r="BD38" s="12">
        <f>IF('Données projet'!$A$88&gt;35,BD37+BC38-BL37,IF(A38&lt;'Données projet'!$A$88,$BA$205^A38,IF(A38='Données projet'!$A$88,'Données projet'!$B$88,BD37+BC38-BL37)))</f>
        <v>206</v>
      </c>
      <c r="BE38" s="13">
        <f>BD38*VLOOKUP('Données projet'!$B$11,Paramètres!$A$1:$I$89,3,0)*VLOOKUP('Données projet'!$B$11,Paramètres!$A$1:$I$89,5,0)</f>
        <v>167.10720000000001</v>
      </c>
      <c r="BF38" s="13">
        <f t="shared" si="37"/>
        <v>42.44148687166966</v>
      </c>
      <c r="BG38" s="20">
        <f t="shared" si="7"/>
        <v>364.963962968158</v>
      </c>
      <c r="BH38" s="59">
        <f t="shared" si="8"/>
        <v>658.29729630149131</v>
      </c>
      <c r="BI38" s="59">
        <f ca="1">AVERAGE(OFFSET($BH$3,0,0,'Données projet'!$E$11+1,1))-AVERAGE(OFFSET($H$3,0,0,'Données projet'!$E$11+1,1))</f>
        <v>293.14894570672351</v>
      </c>
      <c r="BJ38" s="59">
        <f t="shared" si="38"/>
        <v>252.47559879720762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21.821712218586629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21.821712218586629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</v>
      </c>
      <c r="N39" s="13">
        <f>IF('Données projet'!$A$36&gt;35,N38+M39-V38,IF(A39&lt;'Données projet'!$A$36,$K$205^A39,IF(A39='Données projet'!$A$36,'Données projet'!$B$36,N38+M39-V38)))</f>
        <v>392.00000000000011</v>
      </c>
      <c r="O39" s="13">
        <f>N39*VLOOKUP('Données projet'!$B$9,Paramètres!$A$1:$I$89,3,0)*VLOOKUP('Données projet'!$B$9,Paramètres!$A$1:$I$89,5,0)</f>
        <v>219.12800000000007</v>
      </c>
      <c r="P39" s="13">
        <f t="shared" si="33"/>
        <v>53.925317044064478</v>
      </c>
      <c r="Q39" s="20">
        <f t="shared" si="53"/>
        <v>475.56786051841237</v>
      </c>
      <c r="R39" s="59">
        <f t="shared" si="0"/>
        <v>768.90119385174569</v>
      </c>
      <c r="S39" s="59">
        <f ca="1">AVERAGE(OFFSET($R$3,0,0,'Données projet'!$E$9+1,1))-AVERAGE(OFFSET($H$3,0,0,'Données projet'!$E$9+1,1))</f>
        <v>381.58561971183832</v>
      </c>
      <c r="T39" s="59">
        <f t="shared" si="34"/>
        <v>444.55874959426347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39.345683599795663</v>
      </c>
      <c r="AA39" s="21">
        <f>EXP(-LN(2)/25)*AA38+(1-EXP(-LN(2)/25))/(LN(2)/25)*Calculateur!V39*Calculateur!X39*VLOOKUP('Données projet'!$B$9,Paramètres!$A$1:$I$89,3,0)*0.475*44/12</f>
        <v>19.422831217531833</v>
      </c>
      <c r="AB39" s="21">
        <f>EXP(-LN(2)/2)*AB38+(1-EXP(-LN(2)/2))/(LN(2)/2)*V39*Y39*VLOOKUP('Données projet'!$B$9,Paramètres!$A$1:$I$89,3,0)*0.475*44/12</f>
        <v>0.15104492101860706</v>
      </c>
      <c r="AC39" s="22">
        <f t="shared" si="3"/>
        <v>58.919559738346109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-1.2</v>
      </c>
      <c r="AI39" s="13">
        <f>IF('Données projet'!$A$62&gt;35,AI38+AH39-AQ38,IF(A39&lt;'Données projet'!$A$62,$AF$205^A39,IF(A39='Données projet'!$A$62,'Données projet'!$B$62,AI38+AH39-AQ38)))</f>
        <v>217.8</v>
      </c>
      <c r="AJ39" s="13">
        <f>AI39*VLOOKUP('Données projet'!$B$10,Paramètres!$A$1:$I$89,3,0)*VLOOKUP('Données projet'!$B$10,Paramètres!$A$1:$I$89,5,0)</f>
        <v>135.90719999999999</v>
      </c>
      <c r="AK39" s="13">
        <f t="shared" si="35"/>
        <v>35.357789588547313</v>
      </c>
      <c r="AL39" s="20">
        <f t="shared" si="4"/>
        <v>298.28652353338651</v>
      </c>
      <c r="AM39" s="59">
        <f t="shared" si="5"/>
        <v>591.61985686671983</v>
      </c>
      <c r="AN39" s="59">
        <f ca="1">AVERAGE(OFFSET($AM$3,0,0,'Données projet'!$E$10+1,1))-AVERAGE(OFFSET($H$3,0,0,'Données projet'!$E$10+1,1))</f>
        <v>282.98219518929034</v>
      </c>
      <c r="AO39" s="59">
        <f t="shared" si="36"/>
        <v>205.95652510682322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24.64118239415269</v>
      </c>
      <c r="AW39" s="21">
        <f>EXP(-LN(2)/2)*AW38+(1-EXP(-LN(2)/2))/(LN(2)/2)*AQ39*AT39*VLOOKUP('Données projet'!$B$10,Paramètres!$A$1:$I$89,3,0)*0.475*44/12</f>
        <v>1.256820308965535</v>
      </c>
      <c r="AX39" s="21">
        <f t="shared" si="6"/>
        <v>25.898002703118223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-2.6</v>
      </c>
      <c r="BD39" s="12">
        <f>IF('Données projet'!$A$88&gt;35,BD38+BC39-BL38,IF(A39&lt;'Données projet'!$A$88,$BA$205^A39,IF(A39='Données projet'!$A$88,'Données projet'!$B$88,BD38+BC39-BL38)))</f>
        <v>203.4</v>
      </c>
      <c r="BE39" s="13">
        <f>BD39*VLOOKUP('Données projet'!$B$11,Paramètres!$A$1:$I$89,3,0)*VLOOKUP('Données projet'!$B$11,Paramètres!$A$1:$I$89,5,0)</f>
        <v>164.99808000000002</v>
      </c>
      <c r="BF39" s="13">
        <f t="shared" si="37"/>
        <v>41.967820195342682</v>
      </c>
      <c r="BG39" s="20">
        <f t="shared" si="7"/>
        <v>360.46560950688848</v>
      </c>
      <c r="BH39" s="59">
        <f t="shared" si="8"/>
        <v>653.7989428402218</v>
      </c>
      <c r="BI39" s="59">
        <f ca="1">AVERAGE(OFFSET($BH$3,0,0,'Données projet'!$E$11+1,1))-AVERAGE(OFFSET($H$3,0,0,'Données projet'!$E$11+1,1))</f>
        <v>293.14894570672351</v>
      </c>
      <c r="BJ39" s="59">
        <f t="shared" si="38"/>
        <v>252.47559879720762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21.393801751910352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21.393801751910352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</v>
      </c>
      <c r="N40" s="13">
        <f>IF('Données projet'!$A$36&gt;35,N39+M40-V39,IF(A40&lt;'Données projet'!$A$36,$K$205^A40,IF(A40='Données projet'!$A$36,'Données projet'!$B$36,N39+M40-V39)))</f>
        <v>417.00000000000011</v>
      </c>
      <c r="O40" s="13">
        <f>N40*VLOOKUP('Données projet'!$B$9,Paramètres!$A$1:$I$89,3,0)*VLOOKUP('Données projet'!$B$9,Paramètres!$A$1:$I$89,5,0)</f>
        <v>233.10300000000009</v>
      </c>
      <c r="P40" s="13">
        <f t="shared" si="33"/>
        <v>56.953098486593071</v>
      </c>
      <c r="Q40" s="20">
        <f t="shared" si="53"/>
        <v>505.18103819748308</v>
      </c>
      <c r="R40" s="59">
        <f t="shared" si="0"/>
        <v>798.51437153081633</v>
      </c>
      <c r="S40" s="59">
        <f ca="1">AVERAGE(OFFSET($R$3,0,0,'Données projet'!$E$9+1,1))-AVERAGE(OFFSET($H$3,0,0,'Données projet'!$E$9+1,1))</f>
        <v>381.58561971183832</v>
      </c>
      <c r="T40" s="59">
        <f t="shared" si="34"/>
        <v>444.55874959426347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38.574138742901013</v>
      </c>
      <c r="AA40" s="21">
        <f>EXP(-LN(2)/25)*AA39+(1-EXP(-LN(2)/25))/(LN(2)/25)*Calculateur!V40*Calculateur!X40*VLOOKUP('Données projet'!$B$9,Paramètres!$A$1:$I$89,3,0)*0.475*44/12</f>
        <v>18.891712876486121</v>
      </c>
      <c r="AB40" s="21">
        <f>EXP(-LN(2)/2)*AB39+(1-EXP(-LN(2)/2))/(LN(2)/2)*V40*Y40*VLOOKUP('Données projet'!$B$9,Paramètres!$A$1:$I$89,3,0)*0.475*44/12</f>
        <v>0.10680488791604355</v>
      </c>
      <c r="AC40" s="22">
        <f t="shared" si="3"/>
        <v>57.572656507303179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-1.2</v>
      </c>
      <c r="AI40" s="13">
        <f>IF('Données projet'!$A$62&gt;35,AI39+AH40-AQ39,IF(A40&lt;'Données projet'!$A$62,$AF$205^A40,IF(A40='Données projet'!$A$62,'Données projet'!$B$62,AI39+AH40-AQ39)))</f>
        <v>216.60000000000002</v>
      </c>
      <c r="AJ40" s="13">
        <f>AI40*VLOOKUP('Données projet'!$B$10,Paramètres!$A$1:$I$89,3,0)*VLOOKUP('Données projet'!$B$10,Paramètres!$A$1:$I$89,5,0)</f>
        <v>135.1584</v>
      </c>
      <c r="AK40" s="13">
        <f t="shared" si="35"/>
        <v>35.185601260048031</v>
      </c>
      <c r="AL40" s="20">
        <f t="shared" si="4"/>
        <v>296.6824688612503</v>
      </c>
      <c r="AM40" s="59">
        <f t="shared" si="5"/>
        <v>590.01580219458356</v>
      </c>
      <c r="AN40" s="59">
        <f ca="1">AVERAGE(OFFSET($AM$3,0,0,'Données projet'!$E$10+1,1))-AVERAGE(OFFSET($H$3,0,0,'Données projet'!$E$10+1,1))</f>
        <v>282.98219518929034</v>
      </c>
      <c r="AO40" s="59">
        <f t="shared" si="36"/>
        <v>205.95652510682322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23.96736796576112</v>
      </c>
      <c r="AW40" s="21">
        <f>EXP(-LN(2)/2)*AW39+(1-EXP(-LN(2)/2))/(LN(2)/2)*AQ40*AT40*VLOOKUP('Données projet'!$B$10,Paramètres!$A$1:$I$89,3,0)*0.475*44/12</f>
        <v>0.88870616320250162</v>
      </c>
      <c r="AX40" s="21">
        <f t="shared" si="6"/>
        <v>24.856074128963623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-2.6</v>
      </c>
      <c r="BD40" s="12">
        <f>IF('Données projet'!$A$88&gt;35,BD39+BC40-BL39,IF(A40&lt;'Données projet'!$A$88,$BA$205^A40,IF(A40='Données projet'!$A$88,'Données projet'!$B$88,BD39+BC40-BL39)))</f>
        <v>200.8</v>
      </c>
      <c r="BE40" s="13">
        <f>BD40*VLOOKUP('Données projet'!$B$11,Paramètres!$A$1:$I$89,3,0)*VLOOKUP('Données projet'!$B$11,Paramètres!$A$1:$I$89,5,0)</f>
        <v>162.88896000000003</v>
      </c>
      <c r="BF40" s="13">
        <f t="shared" si="37"/>
        <v>41.493448202794937</v>
      </c>
      <c r="BG40" s="20">
        <f t="shared" si="7"/>
        <v>355.96602761986787</v>
      </c>
      <c r="BH40" s="59">
        <f t="shared" si="8"/>
        <v>649.29936095320113</v>
      </c>
      <c r="BI40" s="59">
        <f ca="1">AVERAGE(OFFSET($BH$3,0,0,'Données projet'!$E$11+1,1))-AVERAGE(OFFSET($H$3,0,0,'Données projet'!$E$11+1,1))</f>
        <v>293.14894570672351</v>
      </c>
      <c r="BJ40" s="59">
        <f t="shared" si="38"/>
        <v>252.47559879720762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20.974282348485985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20.974282348485985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</v>
      </c>
      <c r="N41" s="13">
        <f>IF('Données projet'!$A$36&gt;35,N40+M41-V40,IF(A41&lt;'Données projet'!$A$36,$K$205^A41,IF(A41='Données projet'!$A$36,'Données projet'!$B$36,N40+M41-V40)))</f>
        <v>442.00000000000011</v>
      </c>
      <c r="O41" s="13">
        <f>N41*VLOOKUP('Données projet'!$B$9,Paramètres!$A$1:$I$89,3,0)*VLOOKUP('Données projet'!$B$9,Paramètres!$A$1:$I$89,5,0)</f>
        <v>247.07800000000009</v>
      </c>
      <c r="P41" s="13">
        <f t="shared" si="33"/>
        <v>59.959811038797326</v>
      </c>
      <c r="Q41" s="20">
        <f t="shared" si="53"/>
        <v>534.75752089257219</v>
      </c>
      <c r="R41" s="59">
        <f t="shared" si="0"/>
        <v>828.09085422590556</v>
      </c>
      <c r="S41" s="59">
        <f ca="1">AVERAGE(OFFSET($R$3,0,0,'Données projet'!$E$9+1,1))-AVERAGE(OFFSET($H$3,0,0,'Données projet'!$E$9+1,1))</f>
        <v>381.58561971183832</v>
      </c>
      <c r="T41" s="59">
        <f t="shared" si="34"/>
        <v>444.55874959426347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37.817723410054171</v>
      </c>
      <c r="AA41" s="21">
        <f>EXP(-LN(2)/25)*AA40+(1-EXP(-LN(2)/25))/(LN(2)/25)*Calculateur!V41*Calculateur!X41*VLOOKUP('Données projet'!$B$9,Paramètres!$A$1:$I$89,3,0)*0.475*44/12</f>
        <v>18.375117994406605</v>
      </c>
      <c r="AB41" s="21">
        <f>EXP(-LN(2)/2)*AB40+(1-EXP(-LN(2)/2))/(LN(2)/2)*V41*Y41*VLOOKUP('Données projet'!$B$9,Paramètres!$A$1:$I$89,3,0)*0.475*44/12</f>
        <v>7.5522460509303543E-2</v>
      </c>
      <c r="AC41" s="22">
        <f t="shared" si="3"/>
        <v>56.268363864970084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-1.2</v>
      </c>
      <c r="AI41" s="13">
        <f>IF('Données projet'!$A$62&gt;35,AI40+AH41-AQ40,IF(A41&lt;'Données projet'!$A$62,$AF$205^A41,IF(A41='Données projet'!$A$62,'Données projet'!$B$62,AI40+AH41-AQ40)))</f>
        <v>215.40000000000003</v>
      </c>
      <c r="AJ41" s="13">
        <f>AI41*VLOOKUP('Données projet'!$B$10,Paramètres!$A$1:$I$89,3,0)*VLOOKUP('Données projet'!$B$10,Paramètres!$A$1:$I$89,5,0)</f>
        <v>134.40960000000001</v>
      </c>
      <c r="AK41" s="13">
        <f t="shared" si="35"/>
        <v>35.013301855128105</v>
      </c>
      <c r="AL41" s="20">
        <f t="shared" si="4"/>
        <v>295.07822073101482</v>
      </c>
      <c r="AM41" s="59">
        <f t="shared" si="5"/>
        <v>588.41155406434814</v>
      </c>
      <c r="AN41" s="59">
        <f ca="1">AVERAGE(OFFSET($AM$3,0,0,'Données projet'!$E$10+1,1))-AVERAGE(OFFSET($H$3,0,0,'Données projet'!$E$10+1,1))</f>
        <v>282.98219518929034</v>
      </c>
      <c r="AO41" s="59">
        <f t="shared" si="36"/>
        <v>205.95652510682322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23.311979028348279</v>
      </c>
      <c r="AW41" s="21">
        <f>EXP(-LN(2)/2)*AW40+(1-EXP(-LN(2)/2))/(LN(2)/2)*AQ41*AT41*VLOOKUP('Données projet'!$B$10,Paramètres!$A$1:$I$89,3,0)*0.475*44/12</f>
        <v>0.6284101544827676</v>
      </c>
      <c r="AX41" s="21">
        <f t="shared" si="6"/>
        <v>23.940389182831048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-2.6</v>
      </c>
      <c r="BD41" s="12">
        <f>IF('Données projet'!$A$88&gt;35,BD40+BC41-BL40,IF(A41&lt;'Données projet'!$A$88,$BA$205^A41,IF(A41='Données projet'!$A$88,'Données projet'!$B$88,BD40+BC41-BL40)))</f>
        <v>198.20000000000002</v>
      </c>
      <c r="BE41" s="13">
        <f>BD41*VLOOKUP('Données projet'!$B$11,Paramètres!$A$1:$I$89,3,0)*VLOOKUP('Données projet'!$B$11,Paramètres!$A$1:$I$89,5,0)</f>
        <v>160.77984000000001</v>
      </c>
      <c r="BF41" s="13">
        <f t="shared" si="37"/>
        <v>41.018360690159206</v>
      </c>
      <c r="BG41" s="20">
        <f t="shared" si="7"/>
        <v>351.46519953536063</v>
      </c>
      <c r="BH41" s="59">
        <f t="shared" si="8"/>
        <v>644.79853286869388</v>
      </c>
      <c r="BI41" s="59">
        <f ca="1">AVERAGE(OFFSET($BH$3,0,0,'Données projet'!$E$11+1,1))-AVERAGE(OFFSET($H$3,0,0,'Données projet'!$E$11+1,1))</f>
        <v>293.14894570672351</v>
      </c>
      <c r="BJ41" s="59">
        <f t="shared" si="38"/>
        <v>252.47559879720762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20.562989464681198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20.562989464681198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</v>
      </c>
      <c r="N42" s="13">
        <f>IF('Données projet'!$A$36&gt;35,N41+M42-V41,IF(A42&lt;'Données projet'!$A$36,$K$205^A42,IF(A42='Données projet'!$A$36,'Données projet'!$B$36,N41+M42-V41)))</f>
        <v>467.00000000000011</v>
      </c>
      <c r="O42" s="13">
        <f>N42*VLOOKUP('Données projet'!$B$9,Paramètres!$A$1:$I$89,3,0)*VLOOKUP('Données projet'!$B$9,Paramètres!$A$1:$I$89,5,0)</f>
        <v>261.05300000000011</v>
      </c>
      <c r="P42" s="13">
        <f t="shared" si="33"/>
        <v>62.946782176265927</v>
      </c>
      <c r="Q42" s="20">
        <f t="shared" si="53"/>
        <v>564.29962062366326</v>
      </c>
      <c r="R42" s="59">
        <f t="shared" si="0"/>
        <v>857.63295395699652</v>
      </c>
      <c r="S42" s="59">
        <f ca="1">AVERAGE(OFFSET($R$3,0,0,'Données projet'!$E$9+1,1))-AVERAGE(OFFSET($H$3,0,0,'Données projet'!$E$9+1,1))</f>
        <v>381.58561971183832</v>
      </c>
      <c r="T42" s="59">
        <f t="shared" si="34"/>
        <v>444.55874959426347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37.076140920516657</v>
      </c>
      <c r="AA42" s="21">
        <f>EXP(-LN(2)/25)*AA41+(1-EXP(-LN(2)/25))/(LN(2)/25)*Calculateur!V42*Calculateur!X42*VLOOKUP('Données projet'!$B$9,Paramètres!$A$1:$I$89,3,0)*0.475*44/12</f>
        <v>17.872649426544097</v>
      </c>
      <c r="AB42" s="21">
        <f>EXP(-LN(2)/2)*AB41+(1-EXP(-LN(2)/2))/(LN(2)/2)*V42*Y42*VLOOKUP('Données projet'!$B$9,Paramètres!$A$1:$I$89,3,0)*0.475*44/12</f>
        <v>5.3402443958021781E-2</v>
      </c>
      <c r="AC42" s="22">
        <f t="shared" si="3"/>
        <v>55.002192791018771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-1.2</v>
      </c>
      <c r="AI42" s="13">
        <f>IF('Données projet'!$A$62&gt;35,AI41+AH42-AQ41,IF(A42&lt;'Données projet'!$A$62,$AF$205^A42,IF(A42='Données projet'!$A$62,'Données projet'!$B$62,AI41+AH42-AQ41)))</f>
        <v>214.20000000000005</v>
      </c>
      <c r="AJ42" s="13">
        <f>AI42*VLOOKUP('Données projet'!$B$10,Paramètres!$A$1:$I$89,3,0)*VLOOKUP('Données projet'!$B$10,Paramètres!$A$1:$I$89,5,0)</f>
        <v>133.66080000000002</v>
      </c>
      <c r="AK42" s="13">
        <f t="shared" si="35"/>
        <v>34.840890682716747</v>
      </c>
      <c r="AL42" s="20">
        <f t="shared" si="4"/>
        <v>293.47377793906503</v>
      </c>
      <c r="AM42" s="59">
        <f t="shared" si="5"/>
        <v>586.80711127239829</v>
      </c>
      <c r="AN42" s="59">
        <f ca="1">AVERAGE(OFFSET($AM$3,0,0,'Données projet'!$E$10+1,1))-AVERAGE(OFFSET($H$3,0,0,'Données projet'!$E$10+1,1))</f>
        <v>282.98219518929034</v>
      </c>
      <c r="AO42" s="59">
        <f t="shared" si="36"/>
        <v>205.95652510682322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22.674511735894399</v>
      </c>
      <c r="AW42" s="21">
        <f>EXP(-LN(2)/2)*AW41+(1-EXP(-LN(2)/2))/(LN(2)/2)*AQ42*AT42*VLOOKUP('Données projet'!$B$10,Paramètres!$A$1:$I$89,3,0)*0.475*44/12</f>
        <v>0.44435308160125092</v>
      </c>
      <c r="AX42" s="21">
        <f t="shared" si="6"/>
        <v>23.118864817495648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-2.6</v>
      </c>
      <c r="BD42" s="12">
        <f>IF('Données projet'!$A$88&gt;35,BD41+BC42-BL41,IF(A42&lt;'Données projet'!$A$88,$BA$205^A42,IF(A42='Données projet'!$A$88,'Données projet'!$B$88,BD41+BC42-BL41)))</f>
        <v>195.60000000000002</v>
      </c>
      <c r="BE42" s="13">
        <f>BD42*VLOOKUP('Données projet'!$B$11,Paramètres!$A$1:$I$89,3,0)*VLOOKUP('Données projet'!$B$11,Paramètres!$A$1:$I$89,5,0)</f>
        <v>158.67072000000005</v>
      </c>
      <c r="BF42" s="13">
        <f t="shared" si="37"/>
        <v>40.542547170037743</v>
      </c>
      <c r="BG42" s="20">
        <f t="shared" si="7"/>
        <v>346.96310698781582</v>
      </c>
      <c r="BH42" s="59">
        <f t="shared" si="8"/>
        <v>640.29644032114913</v>
      </c>
      <c r="BI42" s="59">
        <f ca="1">AVERAGE(OFFSET($BH$3,0,0,'Données projet'!$E$11+1,1))-AVERAGE(OFFSET($H$3,0,0,'Données projet'!$E$11+1,1))</f>
        <v>293.14894570672351</v>
      </c>
      <c r="BJ42" s="59">
        <f t="shared" si="38"/>
        <v>252.47559879720762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20.159761783463935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20.159761783463935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492</v>
      </c>
      <c r="L43" s="12">
        <f>VLOOKUP(A43,'Données projet'!$A$35:$I$55,9,0)</f>
        <v>25</v>
      </c>
      <c r="M43" s="12">
        <f t="array" ref="M43">INDEX(L:L,MIN(IF(ISNUMBER(L43:L239),ROW(L43:L239),"")))</f>
        <v>25</v>
      </c>
      <c r="N43" s="13">
        <f>IF('Données projet'!$A$36&gt;35,N42+M43-V42,IF(A43&lt;'Données projet'!$A$36,$K$205^A43,IF(A43='Données projet'!$A$36,'Données projet'!$B$36,N42+M43-V42)))</f>
        <v>492.00000000000011</v>
      </c>
      <c r="O43" s="13">
        <f>N43*VLOOKUP('Données projet'!$B$9,Paramètres!$A$1:$I$89,3,0)*VLOOKUP('Données projet'!$B$9,Paramètres!$A$1:$I$89,5,0)</f>
        <v>275.02800000000008</v>
      </c>
      <c r="P43" s="13">
        <f t="shared" si="33"/>
        <v>65.915189219423411</v>
      </c>
      <c r="Q43" s="20">
        <f t="shared" si="53"/>
        <v>593.80938789049594</v>
      </c>
      <c r="R43" s="59">
        <f t="shared" si="0"/>
        <v>887.14272122382931</v>
      </c>
      <c r="S43" s="59">
        <f ca="1">AVERAGE(OFFSET($R$3,0,0,'Données projet'!$E$9+1,1))-AVERAGE(OFFSET($H$3,0,0,'Données projet'!$E$9+1,1))</f>
        <v>381.58561971183832</v>
      </c>
      <c r="T43" s="59">
        <f t="shared" si="34"/>
        <v>444.55874959426347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36.349100411278322</v>
      </c>
      <c r="AA43" s="21">
        <f>EXP(-LN(2)/25)*AA42+(1-EXP(-LN(2)/25))/(LN(2)/25)*Calculateur!V43*Calculateur!X43*VLOOKUP('Données projet'!$B$9,Paramètres!$A$1:$I$89,3,0)*0.475*44/12</f>
        <v>17.383920888093463</v>
      </c>
      <c r="AB43" s="21">
        <f>EXP(-LN(2)/2)*AB42+(1-EXP(-LN(2)/2))/(LN(2)/2)*V43*Y43*VLOOKUP('Données projet'!$B$9,Paramètres!$A$1:$I$89,3,0)*0.475*44/12</f>
        <v>3.7761230254651779E-2</v>
      </c>
      <c r="AC43" s="22">
        <f t="shared" si="3"/>
        <v>53.770782529626437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213</v>
      </c>
      <c r="AG43" s="12">
        <f>VLOOKUP(A43,'Données projet'!$A$61:$I$81,9,0)</f>
        <v>-1.2</v>
      </c>
      <c r="AH43" s="12">
        <f t="array" ref="AH43">INDEX(AG:AG,MIN(IF(ISNUMBER(AG43:AG239),ROW(AG43:AG239),"")))</f>
        <v>-1.2</v>
      </c>
      <c r="AI43" s="13">
        <f>IF('Données projet'!$A$62&gt;35,AI42+AH43-AQ42,IF(A43&lt;'Données projet'!$A$62,$AF$205^A43,IF(A43='Données projet'!$A$62,'Données projet'!$B$62,AI42+AH43-AQ42)))</f>
        <v>213.00000000000006</v>
      </c>
      <c r="AJ43" s="13">
        <f>AI43*VLOOKUP('Données projet'!$B$10,Paramètres!$A$1:$I$89,3,0)*VLOOKUP('Données projet'!$B$10,Paramètres!$A$1:$I$89,5,0)</f>
        <v>132.91200000000003</v>
      </c>
      <c r="AK43" s="13">
        <f t="shared" si="35"/>
        <v>34.668367043546574</v>
      </c>
      <c r="AL43" s="20">
        <f t="shared" si="4"/>
        <v>291.86913926751032</v>
      </c>
      <c r="AM43" s="59">
        <f t="shared" si="5"/>
        <v>585.20247260084363</v>
      </c>
      <c r="AN43" s="59">
        <f ca="1">AVERAGE(OFFSET($AM$3,0,0,'Données projet'!$E$10+1,1))-AVERAGE(OFFSET($H$3,0,0,'Données projet'!$E$10+1,1))</f>
        <v>282.98219518929034</v>
      </c>
      <c r="AO43" s="59">
        <f t="shared" si="36"/>
        <v>205.95652510682322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0.48</v>
      </c>
      <c r="AS43" s="16">
        <f>IF(ISNA(VLOOKUP(A43,'Données projet'!$A$61:$I$81,6,0)),0%,VLOOKUP(A43,'Données projet'!$A$61:$I$81,6,0)*VLOOKUP('Données projet'!$B$10,Paramètres!$A$1:$I$89,7,0))</f>
        <v>0.12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27.813280998527574</v>
      </c>
      <c r="AV43" s="21">
        <f>EXP(-LN(2)/25)*AV42+(1-EXP(-LN(2)/25))/(LN(2)/25)*Calculateur!AQ43*Calculateur!AS43*VLOOKUP('Données projet'!$B$10,Paramètres!$A$1:$I$89,3,0)*0.475*44/12</f>
        <v>28.980418398461985</v>
      </c>
      <c r="AW43" s="21">
        <f>EXP(-LN(2)/2)*AW42+(1-EXP(-LN(2)/2))/(LN(2)/2)*AQ43*AT43*VLOOKUP('Données projet'!$B$10,Paramètres!$A$1:$I$89,3,0)*0.475*44/12</f>
        <v>0.31420507724138386</v>
      </c>
      <c r="AX43" s="21">
        <f t="shared" si="6"/>
        <v>57.107904474230942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193</v>
      </c>
      <c r="BB43" s="12">
        <f>VLOOKUP(A43,'Données projet'!$A$87:$I$107,9,0)</f>
        <v>-2.6</v>
      </c>
      <c r="BC43" s="12">
        <f t="array" ref="BC43">INDEX(BB:BB,MIN(IF(ISNUMBER(BB43:BB239),ROW(BB43:BB239),"")))</f>
        <v>-2.6</v>
      </c>
      <c r="BD43" s="12">
        <f>IF('Données projet'!$A$88&gt;35,BD42+BC43-BL42,IF(A43&lt;'Données projet'!$A$88,$BA$205^A43,IF(A43='Données projet'!$A$88,'Données projet'!$B$88,BD42+BC43-BL42)))</f>
        <v>193.00000000000003</v>
      </c>
      <c r="BE43" s="13">
        <f>BD43*VLOOKUP('Données projet'!$B$11,Paramètres!$A$1:$I$89,3,0)*VLOOKUP('Données projet'!$B$11,Paramètres!$A$1:$I$89,5,0)</f>
        <v>156.56160000000003</v>
      </c>
      <c r="BF43" s="13">
        <f t="shared" si="37"/>
        <v>40.065996859746477</v>
      </c>
      <c r="BG43" s="20">
        <f t="shared" si="7"/>
        <v>342.45973119739187</v>
      </c>
      <c r="BH43" s="59">
        <f t="shared" si="8"/>
        <v>635.79306453072513</v>
      </c>
      <c r="BI43" s="59">
        <f ca="1">AVERAGE(OFFSET($BH$3,0,0,'Données projet'!$E$11+1,1))-AVERAGE(OFFSET($H$3,0,0,'Données projet'!$E$11+1,1))</f>
        <v>293.14894570672351</v>
      </c>
      <c r="BJ43" s="59">
        <f t="shared" si="38"/>
        <v>252.47559879720762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0.34400000000000003</v>
      </c>
      <c r="BN43" s="16">
        <f>IF(ISNA(VLOOKUP(A43,'Données projet'!$A$87:$I$107,6,0)),0%,VLOOKUP(A43,'Données projet'!$A$87:$I$107,6,0)*VLOOKUP('Données projet'!$B$11,Paramètres!$A$1:$I$89,7,0))</f>
        <v>8.6000000000000007E-2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41.358363481932017</v>
      </c>
      <c r="BQ43" s="21">
        <f>EXP(-LN(2)/25)*BQ42+(1-EXP(-LN(2)/25))/(LN(2)/25)*Calculateur!BL43*Calculateur!BN43*VLOOKUP('Données projet'!$B$11,Paramètres!$A$1:$I$89,3,0)*0.475*44/12</f>
        <v>5.37722470766386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46.735588189595873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</v>
      </c>
      <c r="N44" s="13">
        <f>IF('Données projet'!$A$36&gt;35,N43+M44-V43,IF(A44&lt;'Données projet'!$A$36,$K$205^A44,IF(A44='Données projet'!$A$36,'Données projet'!$B$36,N43+M44-V43)))</f>
        <v>516.00000000000011</v>
      </c>
      <c r="O44" s="13">
        <f>N44*VLOOKUP('Données projet'!$B$9,Paramètres!$A$1:$I$89,3,0)*VLOOKUP('Données projet'!$B$9,Paramètres!$A$1:$I$89,5,0)</f>
        <v>288.44400000000007</v>
      </c>
      <c r="P44" s="13">
        <f t="shared" si="33"/>
        <v>68.748371428318322</v>
      </c>
      <c r="Q44" s="20">
        <f t="shared" si="53"/>
        <v>622.11004690432117</v>
      </c>
      <c r="R44" s="59">
        <f t="shared" si="0"/>
        <v>915.44338023765454</v>
      </c>
      <c r="S44" s="59">
        <f ca="1">AVERAGE(OFFSET($R$3,0,0,'Données projet'!$E$9+1,1))-AVERAGE(OFFSET($H$3,0,0,'Données projet'!$E$9+1,1))</f>
        <v>381.58561971183832</v>
      </c>
      <c r="T44" s="59">
        <f t="shared" si="34"/>
        <v>444.55874959426347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35.636316722975224</v>
      </c>
      <c r="AA44" s="21">
        <f>EXP(-LN(2)/25)*AA43+(1-EXP(-LN(2)/25))/(LN(2)/25)*Calculateur!V44*Calculateur!X44*VLOOKUP('Données projet'!$B$9,Paramètres!$A$1:$I$89,3,0)*0.475*44/12</f>
        <v>16.90855665722788</v>
      </c>
      <c r="AB44" s="21">
        <f>EXP(-LN(2)/2)*AB43+(1-EXP(-LN(2)/2))/(LN(2)/2)*V44*Y44*VLOOKUP('Données projet'!$B$9,Paramètres!$A$1:$I$89,3,0)*0.475*44/12</f>
        <v>2.6701221979010894E-2</v>
      </c>
      <c r="AC44" s="22">
        <f t="shared" si="3"/>
        <v>52.57157460218211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25.8</v>
      </c>
      <c r="AI44" s="13">
        <f>IF('Données projet'!$A$62&gt;35,AI43+AH44-AQ43,IF(A44&lt;'Données projet'!$A$62,$AF$205^A44,IF(A44='Données projet'!$A$62,'Données projet'!$B$62,AI43+AH44-AQ43)))</f>
        <v>168.80000000000007</v>
      </c>
      <c r="AJ44" s="13">
        <f>AI44*VLOOKUP('Données projet'!$B$10,Paramètres!$A$1:$I$89,3,0)*VLOOKUP('Données projet'!$B$10,Paramètres!$A$1:$I$89,5,0)</f>
        <v>105.33120000000004</v>
      </c>
      <c r="AK44" s="13">
        <f t="shared" si="35"/>
        <v>28.228217713304819</v>
      </c>
      <c r="AL44" s="20">
        <f t="shared" si="4"/>
        <v>232.61598585067262</v>
      </c>
      <c r="AM44" s="59">
        <f t="shared" si="5"/>
        <v>525.94931918400596</v>
      </c>
      <c r="AN44" s="59">
        <f ca="1">AVERAGE(OFFSET($AM$3,0,0,'Données projet'!$E$10+1,1))-AVERAGE(OFFSET($H$3,0,0,'Données projet'!$E$10+1,1))</f>
        <v>282.98219518929034</v>
      </c>
      <c r="AO44" s="59">
        <f t="shared" si="36"/>
        <v>205.95652510682322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27.267879522572759</v>
      </c>
      <c r="AV44" s="21">
        <f>EXP(-LN(2)/25)*AV43+(1-EXP(-LN(2)/25))/(LN(2)/25)*Calculateur!AQ44*Calculateur!AS44*VLOOKUP('Données projet'!$B$10,Paramètres!$A$1:$I$89,3,0)*0.475*44/12</f>
        <v>28.187947333342073</v>
      </c>
      <c r="AW44" s="21">
        <f>EXP(-LN(2)/2)*AW43+(1-EXP(-LN(2)/2))/(LN(2)/2)*AQ44*AT44*VLOOKUP('Données projet'!$B$10,Paramètres!$A$1:$I$89,3,0)*0.475*44/12</f>
        <v>0.22217654080062549</v>
      </c>
      <c r="AX44" s="21">
        <f t="shared" si="6"/>
        <v>55.678003396715461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23.8</v>
      </c>
      <c r="BD44" s="12">
        <f>IF('Données projet'!$A$88&gt;35,BD43+BC44-BL43,IF(A44&lt;'Données projet'!$A$88,$BA$205^A44,IF(A44='Données projet'!$A$88,'Données projet'!$B$88,BD43+BC44-BL43)))</f>
        <v>146.80000000000004</v>
      </c>
      <c r="BE44" s="13">
        <f>BD44*VLOOKUP('Données projet'!$B$11,Paramètres!$A$1:$I$89,3,0)*VLOOKUP('Données projet'!$B$11,Paramètres!$A$1:$I$89,5,0)</f>
        <v>119.08416000000004</v>
      </c>
      <c r="BF44" s="13">
        <f t="shared" si="37"/>
        <v>31.461299503939063</v>
      </c>
      <c r="BG44" s="20">
        <f t="shared" si="7"/>
        <v>262.20000863602723</v>
      </c>
      <c r="BH44" s="59">
        <f t="shared" si="8"/>
        <v>555.53334196936055</v>
      </c>
      <c r="BI44" s="59">
        <f ca="1">AVERAGE(OFFSET($BH$3,0,0,'Données projet'!$E$11+1,1))-AVERAGE(OFFSET($H$3,0,0,'Données projet'!$E$11+1,1))</f>
        <v>293.14894570672351</v>
      </c>
      <c r="BJ44" s="59">
        <f t="shared" si="38"/>
        <v>252.47559879720762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40.547351200162183</v>
      </c>
      <c r="BQ44" s="21">
        <f>EXP(-LN(2)/25)*BQ43+(1-EXP(-LN(2)/25))/(LN(2)/25)*Calculateur!BL44*Calculateur!BN44*VLOOKUP('Données projet'!$B$11,Paramètres!$A$1:$I$89,3,0)*0.475*44/12</f>
        <v>5.2301842152568341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45.777535415419017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</v>
      </c>
      <c r="N45" s="13">
        <f>IF('Données projet'!$A$36&gt;35,N44+M45-V44,IF(A45&lt;'Données projet'!$A$36,$K$205^A45,IF(A45='Données projet'!$A$36,'Données projet'!$B$36,N44+M45-V44)))</f>
        <v>540.00000000000011</v>
      </c>
      <c r="O45" s="13">
        <f>N45*VLOOKUP('Données projet'!$B$9,Paramètres!$A$1:$I$89,3,0)*VLOOKUP('Données projet'!$B$9,Paramètres!$A$1:$I$89,5,0)</f>
        <v>301.86000000000007</v>
      </c>
      <c r="P45" s="13">
        <f t="shared" si="33"/>
        <v>71.566250541227049</v>
      </c>
      <c r="Q45" s="20">
        <f t="shared" si="53"/>
        <v>650.3840530259705</v>
      </c>
      <c r="R45" s="59">
        <f t="shared" si="0"/>
        <v>943.71738635930387</v>
      </c>
      <c r="S45" s="59">
        <f ca="1">AVERAGE(OFFSET($R$3,0,0,'Données projet'!$E$9+1,1))-AVERAGE(OFFSET($H$3,0,0,'Données projet'!$E$9+1,1))</f>
        <v>381.58561971183832</v>
      </c>
      <c r="T45" s="59">
        <f t="shared" si="34"/>
        <v>444.55874959426347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34.937510288044628</v>
      </c>
      <c r="AA45" s="21">
        <f>EXP(-LN(2)/25)*AA44+(1-EXP(-LN(2)/25))/(LN(2)/25)*Calculateur!V45*Calculateur!X45*VLOOKUP('Données projet'!$B$9,Paramètres!$A$1:$I$89,3,0)*0.475*44/12</f>
        <v>16.446191286253633</v>
      </c>
      <c r="AB45" s="21">
        <f>EXP(-LN(2)/2)*AB44+(1-EXP(-LN(2)/2))/(LN(2)/2)*V45*Y45*VLOOKUP('Données projet'!$B$9,Paramètres!$A$1:$I$89,3,0)*0.475*44/12</f>
        <v>1.8880615127325889E-2</v>
      </c>
      <c r="AC45" s="22">
        <f t="shared" si="3"/>
        <v>51.40258218942558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25.8</v>
      </c>
      <c r="AI45" s="13">
        <f>IF('Données projet'!$A$62&gt;35,AI44+AH45-AQ44,IF(A45&lt;'Données projet'!$A$62,$AF$205^A45,IF(A45='Données projet'!$A$62,'Données projet'!$B$62,AI44+AH45-AQ44)))</f>
        <v>194.60000000000008</v>
      </c>
      <c r="AJ45" s="13">
        <f>AI45*VLOOKUP('Données projet'!$B$10,Paramètres!$A$1:$I$89,3,0)*VLOOKUP('Données projet'!$B$10,Paramètres!$A$1:$I$89,5,0)</f>
        <v>121.43040000000005</v>
      </c>
      <c r="AK45" s="13">
        <f t="shared" si="35"/>
        <v>32.008386179504484</v>
      </c>
      <c r="AL45" s="20">
        <f t="shared" si="4"/>
        <v>267.23921926263705</v>
      </c>
      <c r="AM45" s="59">
        <f t="shared" si="5"/>
        <v>560.57255259597036</v>
      </c>
      <c r="AN45" s="59">
        <f ca="1">AVERAGE(OFFSET($AM$3,0,0,'Données projet'!$E$10+1,1))-AVERAGE(OFFSET($H$3,0,0,'Données projet'!$E$10+1,1))</f>
        <v>282.98219518929034</v>
      </c>
      <c r="AO45" s="59">
        <f t="shared" si="36"/>
        <v>205.95652510682322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26.733173036899366</v>
      </c>
      <c r="AV45" s="21">
        <f>EXP(-LN(2)/25)*AV44+(1-EXP(-LN(2)/25))/(LN(2)/25)*Calculateur!AQ45*Calculateur!AS45*VLOOKUP('Données projet'!$B$10,Paramètres!$A$1:$I$89,3,0)*0.475*44/12</f>
        <v>27.41714643117211</v>
      </c>
      <c r="AW45" s="21">
        <f>EXP(-LN(2)/2)*AW44+(1-EXP(-LN(2)/2))/(LN(2)/2)*AQ45*AT45*VLOOKUP('Données projet'!$B$10,Paramètres!$A$1:$I$89,3,0)*0.475*44/12</f>
        <v>0.15710253862069196</v>
      </c>
      <c r="AX45" s="21">
        <f t="shared" si="6"/>
        <v>54.307422006692164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23.8</v>
      </c>
      <c r="BD45" s="12">
        <f>IF('Données projet'!$A$88&gt;35,BD44+BC45-BL44,IF(A45&lt;'Données projet'!$A$88,$BA$205^A45,IF(A45='Données projet'!$A$88,'Données projet'!$B$88,BD44+BC45-BL44)))</f>
        <v>170.60000000000005</v>
      </c>
      <c r="BE45" s="13">
        <f>BD45*VLOOKUP('Données projet'!$B$11,Paramètres!$A$1:$I$89,3,0)*VLOOKUP('Données projet'!$B$11,Paramètres!$A$1:$I$89,5,0)</f>
        <v>138.39072000000004</v>
      </c>
      <c r="BF45" s="13">
        <f t="shared" si="37"/>
        <v>35.928094347681537</v>
      </c>
      <c r="BG45" s="20">
        <f t="shared" si="7"/>
        <v>303.60526832221211</v>
      </c>
      <c r="BH45" s="59">
        <f t="shared" si="8"/>
        <v>596.93860165554543</v>
      </c>
      <c r="BI45" s="59">
        <f ca="1">AVERAGE(OFFSET($BH$3,0,0,'Données projet'!$E$11+1,1))-AVERAGE(OFFSET($H$3,0,0,'Données projet'!$E$11+1,1))</f>
        <v>293.14894570672351</v>
      </c>
      <c r="BJ45" s="59">
        <f t="shared" si="38"/>
        <v>252.47559879720762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39.752242374569207</v>
      </c>
      <c r="BQ45" s="21">
        <f>EXP(-LN(2)/25)*BQ44+(1-EXP(-LN(2)/25))/(LN(2)/25)*Calculateur!BL45*Calculateur!BN45*VLOOKUP('Données projet'!$B$11,Paramètres!$A$1:$I$89,3,0)*0.475*44/12</f>
        <v>5.0871645528472023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44.839406927416405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</v>
      </c>
      <c r="N46" s="13">
        <f>IF('Données projet'!$A$36&gt;35,N45+M46-V45,IF(A46&lt;'Données projet'!$A$36,$K$205^A46,IF(A46='Données projet'!$A$36,'Données projet'!$B$36,N45+M46-V45)))</f>
        <v>564.00000000000011</v>
      </c>
      <c r="O46" s="13">
        <f>N46*VLOOKUP('Données projet'!$B$9,Paramètres!$A$1:$I$89,3,0)*VLOOKUP('Données projet'!$B$9,Paramètres!$A$1:$I$89,5,0)</f>
        <v>315.27600000000007</v>
      </c>
      <c r="P46" s="13">
        <f t="shared" si="33"/>
        <v>74.36958441265493</v>
      </c>
      <c r="Q46" s="20">
        <f t="shared" si="53"/>
        <v>678.63272618537405</v>
      </c>
      <c r="R46" s="59">
        <f t="shared" si="0"/>
        <v>971.96605951870743</v>
      </c>
      <c r="S46" s="59">
        <f ca="1">AVERAGE(OFFSET($R$3,0,0,'Données projet'!$E$9+1,1))-AVERAGE(OFFSET($H$3,0,0,'Données projet'!$E$9+1,1))</f>
        <v>381.58561971183832</v>
      </c>
      <c r="T46" s="59">
        <f t="shared" si="34"/>
        <v>444.55874959426347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34.252407021073182</v>
      </c>
      <c r="AA46" s="21">
        <f>EXP(-LN(2)/25)*AA45+(1-EXP(-LN(2)/25))/(LN(2)/25)*Calculateur!V46*Calculateur!X46*VLOOKUP('Données projet'!$B$9,Paramètres!$A$1:$I$89,3,0)*0.475*44/12</f>
        <v>15.996469320663415</v>
      </c>
      <c r="AB46" s="21">
        <f>EXP(-LN(2)/2)*AB45+(1-EXP(-LN(2)/2))/(LN(2)/2)*V46*Y46*VLOOKUP('Données projet'!$B$9,Paramètres!$A$1:$I$89,3,0)*0.475*44/12</f>
        <v>1.3350610989505447E-2</v>
      </c>
      <c r="AC46" s="22">
        <f t="shared" si="3"/>
        <v>50.262226952726103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25.8</v>
      </c>
      <c r="AI46" s="13">
        <f>IF('Données projet'!$A$62&gt;35,AI45+AH46-AQ45,IF(A46&lt;'Données projet'!$A$62,$AF$205^A46,IF(A46='Données projet'!$A$62,'Données projet'!$B$62,AI45+AH46-AQ45)))</f>
        <v>220.40000000000009</v>
      </c>
      <c r="AJ46" s="13">
        <f>AI46*VLOOKUP('Données projet'!$B$10,Paramètres!$A$1:$I$89,3,0)*VLOOKUP('Données projet'!$B$10,Paramètres!$A$1:$I$89,5,0)</f>
        <v>137.52960000000007</v>
      </c>
      <c r="AK46" s="13">
        <f t="shared" si="35"/>
        <v>35.730486489800548</v>
      </c>
      <c r="AL46" s="20">
        <f t="shared" si="4"/>
        <v>301.7613173030694</v>
      </c>
      <c r="AM46" s="59">
        <f t="shared" si="5"/>
        <v>595.09465063640278</v>
      </c>
      <c r="AN46" s="59">
        <f ca="1">AVERAGE(OFFSET($AM$3,0,0,'Données projet'!$E$10+1,1))-AVERAGE(OFFSET($H$3,0,0,'Données projet'!$E$10+1,1))</f>
        <v>282.98219518929034</v>
      </c>
      <c r="AO46" s="59">
        <f t="shared" si="36"/>
        <v>205.95652510682322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26.208951819271274</v>
      </c>
      <c r="AV46" s="21">
        <f>EXP(-LN(2)/25)*AV45+(1-EXP(-LN(2)/25))/(LN(2)/25)*Calculateur!AQ46*Calculateur!AS46*VLOOKUP('Données projet'!$B$10,Paramètres!$A$1:$I$89,3,0)*0.475*44/12</f>
        <v>26.667423120206642</v>
      </c>
      <c r="AW46" s="21">
        <f>EXP(-LN(2)/2)*AW45+(1-EXP(-LN(2)/2))/(LN(2)/2)*AQ46*AT46*VLOOKUP('Données projet'!$B$10,Paramètres!$A$1:$I$89,3,0)*0.475*44/12</f>
        <v>0.11108827040031277</v>
      </c>
      <c r="AX46" s="21">
        <f t="shared" si="6"/>
        <v>52.987463209878229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23.8</v>
      </c>
      <c r="BD46" s="12">
        <f>IF('Données projet'!$A$88&gt;35,BD45+BC46-BL45,IF(A46&lt;'Données projet'!$A$88,$BA$205^A46,IF(A46='Données projet'!$A$88,'Données projet'!$B$88,BD45+BC46-BL45)))</f>
        <v>194.40000000000006</v>
      </c>
      <c r="BE46" s="13">
        <f>BD46*VLOOKUP('Données projet'!$B$11,Paramètres!$A$1:$I$89,3,0)*VLOOKUP('Données projet'!$B$11,Paramètres!$A$1:$I$89,5,0)</f>
        <v>157.69728000000006</v>
      </c>
      <c r="BF46" s="13">
        <f t="shared" si="37"/>
        <v>40.322693090856717</v>
      </c>
      <c r="BG46" s="20">
        <f t="shared" si="7"/>
        <v>344.88478646657558</v>
      </c>
      <c r="BH46" s="59">
        <f t="shared" si="8"/>
        <v>638.21811979990889</v>
      </c>
      <c r="BI46" s="59">
        <f ca="1">AVERAGE(OFFSET($BH$3,0,0,'Données projet'!$E$11+1,1))-AVERAGE(OFFSET($H$3,0,0,'Données projet'!$E$11+1,1))</f>
        <v>293.14894570672351</v>
      </c>
      <c r="BJ46" s="59">
        <f t="shared" si="38"/>
        <v>252.47559879720762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38.972725148077615</v>
      </c>
      <c r="BQ46" s="21">
        <f>EXP(-LN(2)/25)*BQ45+(1-EXP(-LN(2)/25))/(LN(2)/25)*Calculateur!BL46*Calculateur!BN46*VLOOKUP('Données projet'!$B$11,Paramètres!$A$1:$I$89,3,0)*0.475*44/12</f>
        <v>4.9480557706272386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43.92078091870485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</v>
      </c>
      <c r="N47" s="13">
        <f>IF('Données projet'!$A$36&gt;35,N46+M47-V46,IF(A47&lt;'Données projet'!$A$36,$K$205^A47,IF(A47='Données projet'!$A$36,'Données projet'!$B$36,N46+M47-V46)))</f>
        <v>588.00000000000011</v>
      </c>
      <c r="O47" s="13">
        <f>N47*VLOOKUP('Données projet'!$B$9,Paramètres!$A$1:$I$89,3,0)*VLOOKUP('Données projet'!$B$9,Paramètres!$A$1:$I$89,5,0)</f>
        <v>328.69200000000006</v>
      </c>
      <c r="P47" s="13">
        <f t="shared" si="33"/>
        <v>77.159062750651316</v>
      </c>
      <c r="Q47" s="20">
        <f t="shared" si="53"/>
        <v>706.85726762405113</v>
      </c>
      <c r="R47" s="59">
        <f t="shared" si="0"/>
        <v>1000.1906009573845</v>
      </c>
      <c r="S47" s="59">
        <f ca="1">AVERAGE(OFFSET($R$3,0,0,'Données projet'!$E$9+1,1))-AVERAGE(OFFSET($H$3,0,0,'Données projet'!$E$9+1,1))</f>
        <v>381.58561971183832</v>
      </c>
      <c r="T47" s="59">
        <f t="shared" si="34"/>
        <v>444.55874959426347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33.580738211295312</v>
      </c>
      <c r="AA47" s="21">
        <f>EXP(-LN(2)/25)*AA46+(1-EXP(-LN(2)/25))/(LN(2)/25)*Calculateur!V47*Calculateur!X47*VLOOKUP('Données projet'!$B$9,Paramètres!$A$1:$I$89,3,0)*0.475*44/12</f>
        <v>15.559045025872113</v>
      </c>
      <c r="AB47" s="21">
        <f>EXP(-LN(2)/2)*AB46+(1-EXP(-LN(2)/2))/(LN(2)/2)*V47*Y47*VLOOKUP('Données projet'!$B$9,Paramètres!$A$1:$I$89,3,0)*0.475*44/12</f>
        <v>9.4403075636629447E-3</v>
      </c>
      <c r="AC47" s="22">
        <f t="shared" si="3"/>
        <v>49.149223544731086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25.8</v>
      </c>
      <c r="AI47" s="13">
        <f>IF('Données projet'!$A$62&gt;35,AI46+AH47-AQ46,IF(A47&lt;'Données projet'!$A$62,$AF$205^A47,IF(A47='Données projet'!$A$62,'Données projet'!$B$62,AI46+AH47-AQ46)))</f>
        <v>246.2000000000001</v>
      </c>
      <c r="AJ47" s="13">
        <f>AI47*VLOOKUP('Données projet'!$B$10,Paramètres!$A$1:$I$89,3,0)*VLOOKUP('Données projet'!$B$10,Paramètres!$A$1:$I$89,5,0)</f>
        <v>153.62880000000007</v>
      </c>
      <c r="AK47" s="13">
        <f t="shared" si="35"/>
        <v>39.402092666344551</v>
      </c>
      <c r="AL47" s="20">
        <f t="shared" si="4"/>
        <v>336.19547139388357</v>
      </c>
      <c r="AM47" s="59">
        <f t="shared" si="5"/>
        <v>629.52880472721688</v>
      </c>
      <c r="AN47" s="59">
        <f ca="1">AVERAGE(OFFSET($AM$3,0,0,'Données projet'!$E$10+1,1))-AVERAGE(OFFSET($H$3,0,0,'Données projet'!$E$10+1,1))</f>
        <v>282.98219518929034</v>
      </c>
      <c r="AO47" s="59">
        <f t="shared" si="36"/>
        <v>205.95652510682322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25.695010259977501</v>
      </c>
      <c r="AV47" s="21">
        <f>EXP(-LN(2)/25)*AV46+(1-EXP(-LN(2)/25))/(LN(2)/25)*Calculateur!AQ47*Calculateur!AS47*VLOOKUP('Données projet'!$B$10,Paramètres!$A$1:$I$89,3,0)*0.475*44/12</f>
        <v>25.938201032605757</v>
      </c>
      <c r="AW47" s="21">
        <f>EXP(-LN(2)/2)*AW46+(1-EXP(-LN(2)/2))/(LN(2)/2)*AQ47*AT47*VLOOKUP('Données projet'!$B$10,Paramètres!$A$1:$I$89,3,0)*0.475*44/12</f>
        <v>7.8551269310345992E-2</v>
      </c>
      <c r="AX47" s="21">
        <f t="shared" si="6"/>
        <v>51.7117625618936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23.8</v>
      </c>
      <c r="BD47" s="12">
        <f>IF('Données projet'!$A$88&gt;35,BD46+BC47-BL46,IF(A47&lt;'Données projet'!$A$88,$BA$205^A47,IF(A47='Données projet'!$A$88,'Données projet'!$B$88,BD46+BC47-BL46)))</f>
        <v>218.20000000000007</v>
      </c>
      <c r="BE47" s="13">
        <f>BD47*VLOOKUP('Données projet'!$B$11,Paramètres!$A$1:$I$89,3,0)*VLOOKUP('Données projet'!$B$11,Paramètres!$A$1:$I$89,5,0)</f>
        <v>177.00384000000008</v>
      </c>
      <c r="BF47" s="13">
        <f t="shared" si="37"/>
        <v>44.654945966838149</v>
      </c>
      <c r="BG47" s="20">
        <f t="shared" si="7"/>
        <v>386.05571889224319</v>
      </c>
      <c r="BH47" s="59">
        <f t="shared" si="8"/>
        <v>679.38905222557651</v>
      </c>
      <c r="BI47" s="59">
        <f ca="1">AVERAGE(OFFSET($BH$3,0,0,'Données projet'!$E$11+1,1))-AVERAGE(OFFSET($H$3,0,0,'Données projet'!$E$11+1,1))</f>
        <v>293.14894570672351</v>
      </c>
      <c r="BJ47" s="59">
        <f t="shared" si="38"/>
        <v>252.47559879720762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38.208493778938958</v>
      </c>
      <c r="BQ47" s="21">
        <f>EXP(-LN(2)/25)*BQ46+(1-EXP(-LN(2)/25))/(LN(2)/25)*Calculateur!BL47*Calculateur!BN47*VLOOKUP('Données projet'!$B$11,Paramètres!$A$1:$I$89,3,0)*0.475*44/12</f>
        <v>4.8127509253724927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43.021244704311449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612</v>
      </c>
      <c r="L48" s="12">
        <f>VLOOKUP(A48,'Données projet'!$A$35:$I$55,9,0)</f>
        <v>24</v>
      </c>
      <c r="M48" s="12">
        <f t="array" ref="M48">INDEX(L:L,MIN(IF(ISNUMBER(L48:L244),ROW(L48:L244),"")))</f>
        <v>24</v>
      </c>
      <c r="N48" s="13">
        <f>IF('Données projet'!$A$36&gt;35,N47+M48-V47,IF(A48&lt;'Données projet'!$A$36,$K$205^A48,IF(A48='Données projet'!$A$36,'Données projet'!$B$36,N47+M48-V47)))</f>
        <v>612.00000000000011</v>
      </c>
      <c r="O48" s="13">
        <f>N48*VLOOKUP('Données projet'!$B$9,Paramètres!$A$1:$I$89,3,0)*VLOOKUP('Données projet'!$B$9,Paramètres!$A$1:$I$89,5,0)</f>
        <v>342.10800000000006</v>
      </c>
      <c r="P48" s="13">
        <f t="shared" si="33"/>
        <v>79.935315774430151</v>
      </c>
      <c r="Q48" s="20">
        <f t="shared" si="53"/>
        <v>735.05877497379925</v>
      </c>
      <c r="R48" s="59">
        <f t="shared" si="0"/>
        <v>1028.3921083071325</v>
      </c>
      <c r="S48" s="59">
        <f ca="1">AVERAGE(OFFSET($R$3,0,0,'Données projet'!$E$9+1,1))-AVERAGE(OFFSET($H$3,0,0,'Données projet'!$E$9+1,1))</f>
        <v>381.58561971183832</v>
      </c>
      <c r="T48" s="59">
        <f t="shared" si="34"/>
        <v>444.55874959426347</v>
      </c>
      <c r="U48" s="15">
        <f>IF(ISNA(VLOOKUP(A48,'Données projet'!$A$35:$I$55,3,0)),0,VLOOKUP(A48,'Données projet'!$A$35:$I$55,3,0))</f>
        <v>3</v>
      </c>
      <c r="V48" s="15">
        <f>IF(ISNA(VLOOKUP(A48,'Données projet'!$A$35:$I$55,4,0)),0,VLOOKUP(A48,'Données projet'!$A$35:$I$55,4,0))</f>
        <v>138</v>
      </c>
      <c r="W48" s="16">
        <f>IF(ISNA(VLOOKUP(A48,'Données projet'!$A$35:$I$55,5,0)),0%,VLOOKUP(A48,'Données projet'!$A$35:$I$55,5,0)*VLOOKUP('Données projet'!$B$9,Paramètres!$A$1:$I$89,7,0))</f>
        <v>0.44000000000000006</v>
      </c>
      <c r="X48" s="16">
        <f>IF(ISNA(VLOOKUP(A48,'Données projet'!$A$35:$I$55,6,0)),0%,VLOOKUP(A48,'Données projet'!$A$35:$I$55,6,0)*VLOOKUP('Données projet'!$B$9,Paramètres!$A$1:$I$89,7,0))</f>
        <v>0.11000000000000001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77.949127914667159</v>
      </c>
      <c r="AA48" s="21">
        <f>EXP(-LN(2)/25)*AA47+(1-EXP(-LN(2)/25))/(LN(2)/25)*Calculateur!V48*Calculateur!X48*VLOOKUP('Données projet'!$B$9,Paramètres!$A$1:$I$89,3,0)*0.475*44/12</f>
        <v>26.345981992625212</v>
      </c>
      <c r="AB48" s="21">
        <f>EXP(-LN(2)/2)*AB47+(1-EXP(-LN(2)/2))/(LN(2)/2)*V48*Y48*VLOOKUP('Données projet'!$B$9,Paramètres!$A$1:$I$89,3,0)*0.475*44/12</f>
        <v>6.6753054947527235E-3</v>
      </c>
      <c r="AC48" s="22">
        <f t="shared" si="3"/>
        <v>104.30178521278712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272</v>
      </c>
      <c r="AG48" s="12">
        <f>VLOOKUP(A48,'Données projet'!$A$61:$I$81,9,0)</f>
        <v>25.8</v>
      </c>
      <c r="AH48" s="12">
        <f t="array" ref="AH48">INDEX(AG:AG,MIN(IF(ISNUMBER(AG48:AG244),ROW(AG48:AG244),"")))</f>
        <v>25.8</v>
      </c>
      <c r="AI48" s="13">
        <f>IF('Données projet'!$A$62&gt;35,AI47+AH48-AQ47,IF(A48&lt;'Données projet'!$A$62,$AF$205^A48,IF(A48='Données projet'!$A$62,'Données projet'!$B$62,AI47+AH48-AQ47)))</f>
        <v>272.00000000000011</v>
      </c>
      <c r="AJ48" s="13">
        <f>AI48*VLOOKUP('Données projet'!$B$10,Paramètres!$A$1:$I$89,3,0)*VLOOKUP('Données projet'!$B$10,Paramètres!$A$1:$I$89,5,0)</f>
        <v>169.72800000000009</v>
      </c>
      <c r="AK48" s="13">
        <f t="shared" si="35"/>
        <v>43.029098957414881</v>
      </c>
      <c r="AL48" s="20">
        <f t="shared" si="4"/>
        <v>370.55194735083109</v>
      </c>
      <c r="AM48" s="59">
        <f t="shared" si="5"/>
        <v>663.8852806841644</v>
      </c>
      <c r="AN48" s="59">
        <f ca="1">AVERAGE(OFFSET($AM$3,0,0,'Données projet'!$E$10+1,1))-AVERAGE(OFFSET($H$3,0,0,'Données projet'!$E$10+1,1))</f>
        <v>282.98219518929034</v>
      </c>
      <c r="AO48" s="59">
        <f t="shared" si="36"/>
        <v>205.95652510682322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25.191146781188078</v>
      </c>
      <c r="AV48" s="21">
        <f>EXP(-LN(2)/25)*AV47+(1-EXP(-LN(2)/25))/(LN(2)/25)*Calculateur!AQ48*Calculateur!AS48*VLOOKUP('Données projet'!$B$10,Paramètres!$A$1:$I$89,3,0)*0.475*44/12</f>
        <v>25.228919561338444</v>
      </c>
      <c r="AW48" s="21">
        <f>EXP(-LN(2)/2)*AW47+(1-EXP(-LN(2)/2))/(LN(2)/2)*AQ48*AT48*VLOOKUP('Données projet'!$B$10,Paramètres!$A$1:$I$89,3,0)*0.475*44/12</f>
        <v>5.5544135200156393E-2</v>
      </c>
      <c r="AX48" s="21">
        <f t="shared" si="6"/>
        <v>50.475610477726683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23.8</v>
      </c>
      <c r="BC48" s="12">
        <f t="array" ref="BC48">INDEX(BB:BB,MIN(IF(ISNUMBER(BB48:BB244),ROW(BB48:BB244),"")))</f>
        <v>23.8</v>
      </c>
      <c r="BD48" s="12">
        <f>IF('Données projet'!$A$88&gt;35,BD47+BC48-BL47,IF(A48&lt;'Données projet'!$A$88,$BA$205^A48,IF(A48='Données projet'!$A$88,'Données projet'!$B$88,BD47+BC48-BL47)))</f>
        <v>242.00000000000009</v>
      </c>
      <c r="BE48" s="13">
        <f>BD48*VLOOKUP('Données projet'!$B$11,Paramètres!$A$1:$I$89,3,0)*VLOOKUP('Données projet'!$B$11,Paramètres!$A$1:$I$89,5,0)</f>
        <v>196.31040000000007</v>
      </c>
      <c r="BF48" s="13">
        <f t="shared" si="37"/>
        <v>48.932428681108973</v>
      </c>
      <c r="BG48" s="20">
        <f t="shared" si="7"/>
        <v>427.13125995293154</v>
      </c>
      <c r="BH48" s="59">
        <f t="shared" si="8"/>
        <v>720.46459328626486</v>
      </c>
      <c r="BI48" s="59">
        <f ca="1">AVERAGE(OFFSET($BH$3,0,0,'Données projet'!$E$11+1,1))-AVERAGE(OFFSET($H$3,0,0,'Données projet'!$E$11+1,1))</f>
        <v>293.14894570672351</v>
      </c>
      <c r="BJ48" s="59">
        <f t="shared" si="38"/>
        <v>252.47559879720762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37.459248520814008</v>
      </c>
      <c r="BQ48" s="21">
        <f>EXP(-LN(2)/25)*BQ47+(1-EXP(-LN(2)/25))/(LN(2)/25)*Calculateur!BL48*Calculateur!BN48*VLOOKUP('Données projet'!$B$11,Paramètres!$A$1:$I$89,3,0)*0.475*44/12</f>
        <v>4.6811459982266106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42.140394519040619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21.4</v>
      </c>
      <c r="N49" s="13">
        <f>IF('Données projet'!$A$36&gt;35,N48+M49-V48,IF(A49&lt;'Données projet'!$A$36,$K$205^A49,IF(A49='Données projet'!$A$36,'Données projet'!$B$36,N48+M49-V48)))</f>
        <v>495.40000000000009</v>
      </c>
      <c r="O49" s="13">
        <f>N49*VLOOKUP('Données projet'!$B$9,Paramètres!$A$1:$I$89,3,0)*VLOOKUP('Données projet'!$B$9,Paramètres!$A$1:$I$89,5,0)</f>
        <v>276.92860000000007</v>
      </c>
      <c r="P49" s="13">
        <f t="shared" si="33"/>
        <v>66.317517689799587</v>
      </c>
      <c r="Q49" s="20">
        <f t="shared" si="53"/>
        <v>597.8203216430677</v>
      </c>
      <c r="R49" s="59">
        <f t="shared" si="0"/>
        <v>891.15365497640096</v>
      </c>
      <c r="S49" s="59">
        <f ca="1">AVERAGE(OFFSET($R$3,0,0,'Données projet'!$E$9+1,1))-AVERAGE(OFFSET($H$3,0,0,'Données projet'!$E$9+1,1))</f>
        <v>381.58561971183832</v>
      </c>
      <c r="T49" s="59">
        <f t="shared" si="34"/>
        <v>444.55874959426347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76.42059306053396</v>
      </c>
      <c r="AA49" s="21">
        <f>EXP(-LN(2)/25)*AA48+(1-EXP(-LN(2)/25))/(LN(2)/25)*Calculateur!V49*Calculateur!X49*VLOOKUP('Données projet'!$B$9,Paramètres!$A$1:$I$89,3,0)*0.475*44/12</f>
        <v>25.625549729561897</v>
      </c>
      <c r="AB49" s="21">
        <f>EXP(-LN(2)/2)*AB48+(1-EXP(-LN(2)/2))/(LN(2)/2)*V49*Y49*VLOOKUP('Données projet'!$B$9,Paramètres!$A$1:$I$89,3,0)*0.475*44/12</f>
        <v>4.7201537818314723E-3</v>
      </c>
      <c r="AC49" s="22">
        <f t="shared" si="3"/>
        <v>102.05086294387769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-1.8</v>
      </c>
      <c r="AI49" s="13">
        <f>IF('Données projet'!$A$62&gt;35,AI48+AH49-AQ48,IF(A49&lt;'Données projet'!$A$62,$AF$205^A49,IF(A49='Données projet'!$A$62,'Données projet'!$B$62,AI48+AH49-AQ48)))</f>
        <v>270.2000000000001</v>
      </c>
      <c r="AJ49" s="13">
        <f>AI49*VLOOKUP('Données projet'!$B$10,Paramètres!$A$1:$I$89,3,0)*VLOOKUP('Données projet'!$B$10,Paramètres!$A$1:$I$89,5,0)</f>
        <v>168.60480000000007</v>
      </c>
      <c r="AK49" s="13">
        <f t="shared" si="35"/>
        <v>42.7773954841498</v>
      </c>
      <c r="AL49" s="20">
        <f t="shared" si="4"/>
        <v>368.15732380156101</v>
      </c>
      <c r="AM49" s="59">
        <f t="shared" si="5"/>
        <v>661.49065713489426</v>
      </c>
      <c r="AN49" s="59">
        <f ca="1">AVERAGE(OFFSET($AM$3,0,0,'Données projet'!$E$10+1,1))-AVERAGE(OFFSET($H$3,0,0,'Données projet'!$E$10+1,1))</f>
        <v>282.98219518929034</v>
      </c>
      <c r="AO49" s="59">
        <f t="shared" si="36"/>
        <v>205.95652510682322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24.697163757891339</v>
      </c>
      <c r="AV49" s="21">
        <f>EXP(-LN(2)/25)*AV48+(1-EXP(-LN(2)/25))/(LN(2)/25)*Calculateur!AQ49*Calculateur!AS49*VLOOKUP('Données projet'!$B$10,Paramètres!$A$1:$I$89,3,0)*0.475*44/12</f>
        <v>24.539033429202426</v>
      </c>
      <c r="AW49" s="21">
        <f>EXP(-LN(2)/2)*AW48+(1-EXP(-LN(2)/2))/(LN(2)/2)*AQ49*AT49*VLOOKUP('Données projet'!$B$10,Paramètres!$A$1:$I$89,3,0)*0.475*44/12</f>
        <v>3.9275634655173003E-2</v>
      </c>
      <c r="AX49" s="21">
        <f t="shared" si="6"/>
        <v>49.275472821748941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242.00000000000009</v>
      </c>
      <c r="BE49" s="13">
        <f>BD49*VLOOKUP('Données projet'!$B$11,Paramètres!$A$1:$I$89,3,0)*VLOOKUP('Données projet'!$B$11,Paramètres!$A$1:$I$89,5,0)</f>
        <v>196.31040000000007</v>
      </c>
      <c r="BF49" s="13">
        <f t="shared" si="37"/>
        <v>48.932428681108973</v>
      </c>
      <c r="BG49" s="20">
        <f t="shared" si="7"/>
        <v>427.13125995293154</v>
      </c>
      <c r="BH49" s="59">
        <f t="shared" si="8"/>
        <v>720.46459328626486</v>
      </c>
      <c r="BI49" s="59">
        <f ca="1">AVERAGE(OFFSET($BH$3,0,0,'Données projet'!$E$11+1,1))-AVERAGE(OFFSET($H$3,0,0,'Données projet'!$E$11+1,1))</f>
        <v>293.14894570672351</v>
      </c>
      <c r="BJ49" s="59">
        <f t="shared" si="38"/>
        <v>252.47559879720762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36.724695505206398</v>
      </c>
      <c r="BQ49" s="21">
        <f>EXP(-LN(2)/25)*BQ48+(1-EXP(-LN(2)/25))/(LN(2)/25)*Calculateur!BL49*Calculateur!BN49*VLOOKUP('Données projet'!$B$11,Paramètres!$A$1:$I$89,3,0)*0.475*44/12</f>
        <v>4.5531398147343349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41.277835319940735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21.4</v>
      </c>
      <c r="N50" s="13">
        <f>IF('Données projet'!$A$36&gt;35,N49+M50-V49,IF(A50&lt;'Données projet'!$A$36,$K$205^A50,IF(A50='Données projet'!$A$36,'Données projet'!$B$36,N49+M50-V49)))</f>
        <v>516.80000000000007</v>
      </c>
      <c r="O50" s="13">
        <f>N50*VLOOKUP('Données projet'!$B$9,Paramètres!$A$1:$I$89,3,0)*VLOOKUP('Données projet'!$B$9,Paramètres!$A$1:$I$89,5,0)</f>
        <v>288.89120000000003</v>
      </c>
      <c r="P50" s="13">
        <f t="shared" si="33"/>
        <v>68.842542874646128</v>
      </c>
      <c r="Q50" s="20">
        <f t="shared" si="53"/>
        <v>623.05293550667534</v>
      </c>
      <c r="R50" s="59">
        <f t="shared" si="0"/>
        <v>916.3862688400086</v>
      </c>
      <c r="S50" s="59">
        <f ca="1">AVERAGE(OFFSET($R$3,0,0,'Données projet'!$E$9+1,1))-AVERAGE(OFFSET($H$3,0,0,'Données projet'!$E$9+1,1))</f>
        <v>381.58561971183832</v>
      </c>
      <c r="T50" s="59">
        <f t="shared" si="34"/>
        <v>444.55874959426347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74.922031842576104</v>
      </c>
      <c r="AA50" s="21">
        <f>EXP(-LN(2)/25)*AA49+(1-EXP(-LN(2)/25))/(LN(2)/25)*Calculateur!V50*Calculateur!X50*VLOOKUP('Données projet'!$B$9,Paramètres!$A$1:$I$89,3,0)*0.475*44/12</f>
        <v>24.924817724617935</v>
      </c>
      <c r="AB50" s="21">
        <f>EXP(-LN(2)/2)*AB49+(1-EXP(-LN(2)/2))/(LN(2)/2)*V50*Y50*VLOOKUP('Données projet'!$B$9,Paramètres!$A$1:$I$89,3,0)*0.475*44/12</f>
        <v>3.3376527473763617E-3</v>
      </c>
      <c r="AC50" s="22">
        <f t="shared" si="3"/>
        <v>99.850187219941418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-1.8</v>
      </c>
      <c r="AI50" s="13">
        <f>IF('Données projet'!$A$62&gt;35,AI49+AH50-AQ49,IF(A50&lt;'Données projet'!$A$62,$AF$205^A50,IF(A50='Données projet'!$A$62,'Données projet'!$B$62,AI49+AH50-AQ49)))</f>
        <v>268.40000000000009</v>
      </c>
      <c r="AJ50" s="13">
        <f>AI50*VLOOKUP('Données projet'!$B$10,Paramètres!$A$1:$I$89,3,0)*VLOOKUP('Données projet'!$B$10,Paramètres!$A$1:$I$89,5,0)</f>
        <v>167.48160000000007</v>
      </c>
      <c r="AK50" s="13">
        <f t="shared" si="35"/>
        <v>42.525496756344076</v>
      </c>
      <c r="AL50" s="20">
        <f t="shared" si="4"/>
        <v>365.762360183966</v>
      </c>
      <c r="AM50" s="59">
        <f t="shared" si="5"/>
        <v>659.09569351729931</v>
      </c>
      <c r="AN50" s="59">
        <f ca="1">AVERAGE(OFFSET($AM$3,0,0,'Données projet'!$E$10+1,1))-AVERAGE(OFFSET($H$3,0,0,'Données projet'!$E$10+1,1))</f>
        <v>282.98219518929034</v>
      </c>
      <c r="AO50" s="59">
        <f t="shared" si="36"/>
        <v>205.95652510682322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24.212867440381558</v>
      </c>
      <c r="AV50" s="21">
        <f>EXP(-LN(2)/25)*AV49+(1-EXP(-LN(2)/25))/(LN(2)/25)*Calculateur!AQ50*Calculateur!AS50*VLOOKUP('Données projet'!$B$10,Paramètres!$A$1:$I$89,3,0)*0.475*44/12</f>
        <v>23.868012269629201</v>
      </c>
      <c r="AW50" s="21">
        <f>EXP(-LN(2)/2)*AW49+(1-EXP(-LN(2)/2))/(LN(2)/2)*AQ50*AT50*VLOOKUP('Données projet'!$B$10,Paramètres!$A$1:$I$89,3,0)*0.475*44/12</f>
        <v>2.77720676000782E-2</v>
      </c>
      <c r="AX50" s="21">
        <f t="shared" si="6"/>
        <v>48.108651777610838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242.00000000000009</v>
      </c>
      <c r="BE50" s="13">
        <f>BD50*VLOOKUP('Données projet'!$B$11,Paramètres!$A$1:$I$89,3,0)*VLOOKUP('Données projet'!$B$11,Paramètres!$A$1:$I$89,5,0)</f>
        <v>196.31040000000007</v>
      </c>
      <c r="BF50" s="13">
        <f t="shared" si="37"/>
        <v>48.932428681108973</v>
      </c>
      <c r="BG50" s="20">
        <f t="shared" si="7"/>
        <v>427.13125995293154</v>
      </c>
      <c r="BH50" s="59">
        <f t="shared" si="8"/>
        <v>720.46459328626486</v>
      </c>
      <c r="BI50" s="59">
        <f ca="1">AVERAGE(OFFSET($BH$3,0,0,'Données projet'!$E$11+1,1))-AVERAGE(OFFSET($H$3,0,0,'Données projet'!$E$11+1,1))</f>
        <v>293.14894570672351</v>
      </c>
      <c r="BJ50" s="59">
        <f t="shared" si="38"/>
        <v>252.47559879720762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36.004546626201758</v>
      </c>
      <c r="BQ50" s="21">
        <f>EXP(-LN(2)/25)*BQ49+(1-EXP(-LN(2)/25))/(LN(2)/25)*Calculateur!BL50*Calculateur!BN50*VLOOKUP('Données projet'!$B$11,Paramètres!$A$1:$I$89,3,0)*0.475*44/12</f>
        <v>4.4286339670612076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40.433180593262968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21.4</v>
      </c>
      <c r="N51" s="13">
        <f>IF('Données projet'!$A$36&gt;35,N50+M51-V50,IF(A51&lt;'Données projet'!$A$36,$K$205^A51,IF(A51='Données projet'!$A$36,'Données projet'!$B$36,N50+M51-V50)))</f>
        <v>538.20000000000005</v>
      </c>
      <c r="O51" s="13">
        <f>N51*VLOOKUP('Données projet'!$B$9,Paramètres!$A$1:$I$89,3,0)*VLOOKUP('Données projet'!$B$9,Paramètres!$A$1:$I$89,5,0)</f>
        <v>300.85380000000004</v>
      </c>
      <c r="P51" s="13">
        <f t="shared" si="33"/>
        <v>71.355423134577762</v>
      </c>
      <c r="Q51" s="20">
        <f t="shared" si="53"/>
        <v>648.26439695938961</v>
      </c>
      <c r="R51" s="59">
        <f t="shared" si="0"/>
        <v>941.59773029272287</v>
      </c>
      <c r="S51" s="59">
        <f ca="1">AVERAGE(OFFSET($R$3,0,0,'Données projet'!$E$9+1,1))-AVERAGE(OFFSET($H$3,0,0,'Données projet'!$E$9+1,1))</f>
        <v>381.58561971183832</v>
      </c>
      <c r="T51" s="59">
        <f t="shared" si="34"/>
        <v>444.55874959426347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73.452856496070311</v>
      </c>
      <c r="AA51" s="21">
        <f>EXP(-LN(2)/25)*AA50+(1-EXP(-LN(2)/25))/(LN(2)/25)*Calculateur!V51*Calculateur!X51*VLOOKUP('Données projet'!$B$9,Paramètres!$A$1:$I$89,3,0)*0.475*44/12</f>
        <v>24.24324727319906</v>
      </c>
      <c r="AB51" s="21">
        <f>EXP(-LN(2)/2)*AB50+(1-EXP(-LN(2)/2))/(LN(2)/2)*V51*Y51*VLOOKUP('Données projet'!$B$9,Paramètres!$A$1:$I$89,3,0)*0.475*44/12</f>
        <v>2.3600768909157362E-3</v>
      </c>
      <c r="AC51" s="22">
        <f t="shared" si="3"/>
        <v>97.69846384616028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-1.8</v>
      </c>
      <c r="AI51" s="13">
        <f>IF('Données projet'!$A$62&gt;35,AI50+AH51-AQ50,IF(A51&lt;'Données projet'!$A$62,$AF$205^A51,IF(A51='Données projet'!$A$62,'Données projet'!$B$62,AI50+AH51-AQ50)))</f>
        <v>266.60000000000008</v>
      </c>
      <c r="AJ51" s="13">
        <f>AI51*VLOOKUP('Données projet'!$B$10,Paramètres!$A$1:$I$89,3,0)*VLOOKUP('Données projet'!$B$10,Paramètres!$A$1:$I$89,5,0)</f>
        <v>166.35840000000005</v>
      </c>
      <c r="AK51" s="13">
        <f t="shared" si="35"/>
        <v>42.27340131152765</v>
      </c>
      <c r="AL51" s="20">
        <f t="shared" si="4"/>
        <v>363.3670539509107</v>
      </c>
      <c r="AM51" s="59">
        <f t="shared" si="5"/>
        <v>656.70038728424402</v>
      </c>
      <c r="AN51" s="59">
        <f ca="1">AVERAGE(OFFSET($AM$3,0,0,'Données projet'!$E$10+1,1))-AVERAGE(OFFSET($H$3,0,0,'Données projet'!$E$10+1,1))</f>
        <v>282.98219518929034</v>
      </c>
      <c r="AO51" s="59">
        <f t="shared" si="36"/>
        <v>205.95652510682322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23.738067878266556</v>
      </c>
      <c r="AV51" s="21">
        <f>EXP(-LN(2)/25)*AV50+(1-EXP(-LN(2)/25))/(LN(2)/25)*Calculateur!AQ51*Calculateur!AS51*VLOOKUP('Données projet'!$B$10,Paramètres!$A$1:$I$89,3,0)*0.475*44/12</f>
        <v>23.215340218951976</v>
      </c>
      <c r="AW51" s="21">
        <f>EXP(-LN(2)/2)*AW50+(1-EXP(-LN(2)/2))/(LN(2)/2)*AQ51*AT51*VLOOKUP('Données projet'!$B$10,Paramètres!$A$1:$I$89,3,0)*0.475*44/12</f>
        <v>1.9637817327586501E-2</v>
      </c>
      <c r="AX51" s="21">
        <f t="shared" si="6"/>
        <v>46.973045914546113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242.00000000000009</v>
      </c>
      <c r="BE51" s="13">
        <f>BD51*VLOOKUP('Données projet'!$B$11,Paramètres!$A$1:$I$89,3,0)*VLOOKUP('Données projet'!$B$11,Paramètres!$A$1:$I$89,5,0)</f>
        <v>196.31040000000007</v>
      </c>
      <c r="BF51" s="13">
        <f t="shared" si="37"/>
        <v>48.932428681108973</v>
      </c>
      <c r="BG51" s="20">
        <f t="shared" si="7"/>
        <v>427.13125995293154</v>
      </c>
      <c r="BH51" s="59">
        <f t="shared" si="8"/>
        <v>720.46459328626486</v>
      </c>
      <c r="BI51" s="59">
        <f ca="1">AVERAGE(OFFSET($BH$3,0,0,'Données projet'!$E$11+1,1))-AVERAGE(OFFSET($H$3,0,0,'Données projet'!$E$11+1,1))</f>
        <v>293.14894570672351</v>
      </c>
      <c r="BJ51" s="59">
        <f t="shared" si="38"/>
        <v>252.47559879720762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35.298519427466957</v>
      </c>
      <c r="BQ51" s="21">
        <f>EXP(-LN(2)/25)*BQ50+(1-EXP(-LN(2)/25))/(LN(2)/25)*Calculateur!BL51*Calculateur!BN51*VLOOKUP('Données projet'!$B$11,Paramètres!$A$1:$I$89,3,0)*0.475*44/12</f>
        <v>4.3075327383401802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39.606052165807135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21.4</v>
      </c>
      <c r="N52" s="13">
        <f>IF('Données projet'!$A$36&gt;35,N51+M52-V51,IF(A52&lt;'Données projet'!$A$36,$K$205^A52,IF(A52='Données projet'!$A$36,'Données projet'!$B$36,N51+M52-V51)))</f>
        <v>559.6</v>
      </c>
      <c r="O52" s="13">
        <f>N52*VLOOKUP('Données projet'!$B$9,Paramètres!$A$1:$I$89,3,0)*VLOOKUP('Données projet'!$B$9,Paramètres!$A$1:$I$89,5,0)</f>
        <v>312.81640000000004</v>
      </c>
      <c r="P52" s="13">
        <f t="shared" si="33"/>
        <v>73.856696631989365</v>
      </c>
      <c r="Q52" s="20">
        <f t="shared" si="53"/>
        <v>673.45564330071488</v>
      </c>
      <c r="R52" s="59">
        <f t="shared" si="0"/>
        <v>966.78897663404814</v>
      </c>
      <c r="S52" s="59">
        <f ca="1">AVERAGE(OFFSET($R$3,0,0,'Données projet'!$E$9+1,1))-AVERAGE(OFFSET($H$3,0,0,'Données projet'!$E$9+1,1))</f>
        <v>381.58561971183832</v>
      </c>
      <c r="T52" s="59">
        <f t="shared" si="34"/>
        <v>444.55874959426347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72.012490782001024</v>
      </c>
      <c r="AA52" s="21">
        <f>EXP(-LN(2)/25)*AA51+(1-EXP(-LN(2)/25))/(LN(2)/25)*Calculateur!V52*Calculateur!X52*VLOOKUP('Données projet'!$B$9,Paramètres!$A$1:$I$89,3,0)*0.475*44/12</f>
        <v>23.580314401616466</v>
      </c>
      <c r="AB52" s="21">
        <f>EXP(-LN(2)/2)*AB51+(1-EXP(-LN(2)/2))/(LN(2)/2)*V52*Y52*VLOOKUP('Données projet'!$B$9,Paramètres!$A$1:$I$89,3,0)*0.475*44/12</f>
        <v>1.6688263736881809E-3</v>
      </c>
      <c r="AC52" s="22">
        <f t="shared" si="3"/>
        <v>95.594474009991174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-1.8</v>
      </c>
      <c r="AI52" s="13">
        <f>IF('Données projet'!$A$62&gt;35,AI51+AH52-AQ51,IF(A52&lt;'Données projet'!$A$62,$AF$205^A52,IF(A52='Données projet'!$A$62,'Données projet'!$B$62,AI51+AH52-AQ51)))</f>
        <v>264.80000000000007</v>
      </c>
      <c r="AJ52" s="13">
        <f>AI52*VLOOKUP('Données projet'!$B$10,Paramètres!$A$1:$I$89,3,0)*VLOOKUP('Données projet'!$B$10,Paramètres!$A$1:$I$89,5,0)</f>
        <v>165.23520000000005</v>
      </c>
      <c r="AK52" s="13">
        <f t="shared" si="35"/>
        <v>42.021107666324291</v>
      </c>
      <c r="AL52" s="20">
        <f t="shared" si="4"/>
        <v>360.97140251884821</v>
      </c>
      <c r="AM52" s="59">
        <f t="shared" si="5"/>
        <v>654.30473585218147</v>
      </c>
      <c r="AN52" s="59">
        <f ca="1">AVERAGE(OFFSET($AM$3,0,0,'Données projet'!$E$10+1,1))-AVERAGE(OFFSET($H$3,0,0,'Données projet'!$E$10+1,1))</f>
        <v>282.98219518929034</v>
      </c>
      <c r="AO52" s="59">
        <f t="shared" si="36"/>
        <v>205.95652510682322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23.272578845965491</v>
      </c>
      <c r="AV52" s="21">
        <f>EXP(-LN(2)/25)*AV51+(1-EXP(-LN(2)/25))/(LN(2)/25)*Calculateur!AQ52*Calculateur!AS52*VLOOKUP('Données projet'!$B$10,Paramètres!$A$1:$I$89,3,0)*0.475*44/12</f>
        <v>22.580515519823052</v>
      </c>
      <c r="AW52" s="21">
        <f>EXP(-LN(2)/2)*AW51+(1-EXP(-LN(2)/2))/(LN(2)/2)*AQ52*AT52*VLOOKUP('Données projet'!$B$10,Paramètres!$A$1:$I$89,3,0)*0.475*44/12</f>
        <v>1.38860338000391E-2</v>
      </c>
      <c r="AX52" s="21">
        <f t="shared" si="6"/>
        <v>45.866980399588584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242.00000000000009</v>
      </c>
      <c r="BE52" s="13">
        <f>BD52*VLOOKUP('Données projet'!$B$11,Paramètres!$A$1:$I$89,3,0)*VLOOKUP('Données projet'!$B$11,Paramètres!$A$1:$I$89,5,0)</f>
        <v>196.31040000000007</v>
      </c>
      <c r="BF52" s="13">
        <f t="shared" si="37"/>
        <v>48.932428681108973</v>
      </c>
      <c r="BG52" s="20">
        <f t="shared" si="7"/>
        <v>427.13125995293154</v>
      </c>
      <c r="BH52" s="59">
        <f t="shared" si="8"/>
        <v>720.46459328626486</v>
      </c>
      <c r="BI52" s="59">
        <f ca="1">AVERAGE(OFFSET($BH$3,0,0,'Données projet'!$E$11+1,1))-AVERAGE(OFFSET($H$3,0,0,'Données projet'!$E$11+1,1))</f>
        <v>293.14894570672351</v>
      </c>
      <c r="BJ52" s="59">
        <f t="shared" si="38"/>
        <v>252.47559879720762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34.60633699146527</v>
      </c>
      <c r="BQ52" s="21">
        <f>EXP(-LN(2)/25)*BQ51+(1-EXP(-LN(2)/25))/(LN(2)/25)*Calculateur!BL52*Calculateur!BN52*VLOOKUP('Données projet'!$B$11,Paramètres!$A$1:$I$89,3,0)*0.475*44/12</f>
        <v>4.1897430290869666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38.796080020552239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581</v>
      </c>
      <c r="L53" s="12">
        <f>VLOOKUP(A53,'Données projet'!$A$35:$I$55,9,0)</f>
        <v>21.4</v>
      </c>
      <c r="M53" s="12">
        <f t="array" ref="M53">INDEX(L:L,MIN(IF(ISNUMBER(L53:L249),ROW(L53:L249),"")))</f>
        <v>21.4</v>
      </c>
      <c r="N53" s="13">
        <f>IF('Données projet'!$A$36&gt;35,N52+M53-V52,IF(A53&lt;'Données projet'!$A$36,$K$205^A53,IF(A53='Données projet'!$A$36,'Données projet'!$B$36,N52+M53-V52)))</f>
        <v>581</v>
      </c>
      <c r="O53" s="13">
        <f>N53*VLOOKUP('Données projet'!$B$9,Paramètres!$A$1:$I$89,3,0)*VLOOKUP('Données projet'!$B$9,Paramètres!$A$1:$I$89,5,0)</f>
        <v>324.779</v>
      </c>
      <c r="P53" s="13">
        <f t="shared" si="33"/>
        <v>76.346858037753407</v>
      </c>
      <c r="Q53" s="20">
        <f t="shared" si="53"/>
        <v>698.62753608242053</v>
      </c>
      <c r="R53" s="59">
        <f t="shared" si="0"/>
        <v>991.9608694157539</v>
      </c>
      <c r="S53" s="59">
        <f ca="1">AVERAGE(OFFSET($R$3,0,0,'Données projet'!$E$9+1,1))-AVERAGE(OFFSET($H$3,0,0,'Données projet'!$E$9+1,1))</f>
        <v>381.58561971183832</v>
      </c>
      <c r="T53" s="59">
        <f t="shared" si="34"/>
        <v>444.55874959426347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70.600369761048299</v>
      </c>
      <c r="AA53" s="21">
        <f>EXP(-LN(2)/25)*AA52+(1-EXP(-LN(2)/25))/(LN(2)/25)*Calculateur!V53*Calculateur!X53*VLOOKUP('Données projet'!$B$9,Paramètres!$A$1:$I$89,3,0)*0.475*44/12</f>
        <v>22.935509464269423</v>
      </c>
      <c r="AB53" s="21">
        <f>EXP(-LN(2)/2)*AB52+(1-EXP(-LN(2)/2))/(LN(2)/2)*V53*Y53*VLOOKUP('Données projet'!$B$9,Paramètres!$A$1:$I$89,3,0)*0.475*44/12</f>
        <v>1.1800384454578681E-3</v>
      </c>
      <c r="AC53" s="22">
        <f t="shared" si="3"/>
        <v>93.537059263763183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263</v>
      </c>
      <c r="AG53" s="12">
        <f>VLOOKUP(A53,'Données projet'!$A$61:$I$81,9,0)</f>
        <v>-1.8</v>
      </c>
      <c r="AH53" s="12">
        <f t="array" ref="AH53">INDEX(AG:AG,MIN(IF(ISNUMBER(AG53:AG249),ROW(AG53:AG249),"")))</f>
        <v>-1.8</v>
      </c>
      <c r="AI53" s="13">
        <f>IF('Données projet'!$A$62&gt;35,AI52+AH53-AQ52,IF(A53&lt;'Données projet'!$A$62,$AF$205^A53,IF(A53='Données projet'!$A$62,'Données projet'!$B$62,AI52+AH53-AQ52)))</f>
        <v>263.00000000000006</v>
      </c>
      <c r="AJ53" s="13">
        <f>AI53*VLOOKUP('Données projet'!$B$10,Paramètres!$A$1:$I$89,3,0)*VLOOKUP('Données projet'!$B$10,Paramètres!$A$1:$I$89,5,0)</f>
        <v>164.11200000000002</v>
      </c>
      <c r="AK53" s="13">
        <f t="shared" si="35"/>
        <v>41.768614316008147</v>
      </c>
      <c r="AL53" s="20">
        <f t="shared" si="4"/>
        <v>358.57540326704753</v>
      </c>
      <c r="AM53" s="59">
        <f t="shared" si="5"/>
        <v>651.90873660038085</v>
      </c>
      <c r="AN53" s="59">
        <f ca="1">AVERAGE(OFFSET($AM$3,0,0,'Données projet'!$E$10+1,1))-AVERAGE(OFFSET($H$3,0,0,'Données projet'!$E$10+1,1))</f>
        <v>282.98219518929034</v>
      </c>
      <c r="AO53" s="59">
        <f t="shared" si="36"/>
        <v>205.95652510682322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60</v>
      </c>
      <c r="AR53" s="16">
        <f>IF(ISNA(VLOOKUP(A53,'Données projet'!$A$61:$I$81,5,0)),0%,VLOOKUP(A53,'Données projet'!$A$61:$I$81,5,0)*VLOOKUP('Données projet'!$B$10,Paramètres!$A$1:$I$89,7,0))</f>
        <v>0.48</v>
      </c>
      <c r="AS53" s="16">
        <f>IF(ISNA(VLOOKUP(A53,'Données projet'!$A$61:$I$81,6,0)),0%,VLOOKUP(A53,'Données projet'!$A$61:$I$81,6,0)*VLOOKUP('Données projet'!$B$10,Paramètres!$A$1:$I$89,7,0))</f>
        <v>0.12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46.656172911262644</v>
      </c>
      <c r="AV53" s="21">
        <f>EXP(-LN(2)/25)*AV52+(1-EXP(-LN(2)/25))/(LN(2)/25)*Calculateur!AQ53*Calculateur!AS53*VLOOKUP('Données projet'!$B$10,Paramètres!$A$1:$I$89,3,0)*0.475*44/12</f>
        <v>27.899572174092675</v>
      </c>
      <c r="AW53" s="21">
        <f>EXP(-LN(2)/2)*AW52+(1-EXP(-LN(2)/2))/(LN(2)/2)*AQ53*AT53*VLOOKUP('Données projet'!$B$10,Paramètres!$A$1:$I$89,3,0)*0.475*44/12</f>
        <v>9.8189086637932507E-3</v>
      </c>
      <c r="AX53" s="21">
        <f t="shared" si="6"/>
        <v>74.565563994019101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242</v>
      </c>
      <c r="BB53" s="12">
        <f>VLOOKUP(A53,'Données projet'!$A$87:$I$107,9,0)</f>
        <v>0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242.00000000000009</v>
      </c>
      <c r="BE53" s="13">
        <f>BD53*VLOOKUP('Données projet'!$B$11,Paramètres!$A$1:$I$89,3,0)*VLOOKUP('Données projet'!$B$11,Paramètres!$A$1:$I$89,5,0)</f>
        <v>196.31040000000007</v>
      </c>
      <c r="BF53" s="13">
        <f t="shared" si="37"/>
        <v>48.932428681108973</v>
      </c>
      <c r="BG53" s="20">
        <f t="shared" si="7"/>
        <v>427.13125995293154</v>
      </c>
      <c r="BH53" s="59">
        <f t="shared" si="8"/>
        <v>720.46459328626486</v>
      </c>
      <c r="BI53" s="59">
        <f ca="1">AVERAGE(OFFSET($BH$3,0,0,'Données projet'!$E$11+1,1))-AVERAGE(OFFSET($H$3,0,0,'Données projet'!$E$11+1,1))</f>
        <v>293.14894570672351</v>
      </c>
      <c r="BJ53" s="59">
        <f t="shared" si="38"/>
        <v>252.47559879720762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43</v>
      </c>
      <c r="BM53" s="16">
        <f>IF(ISNA(VLOOKUP(A53,'Données projet'!$A$87:$I$107,5,0)),0%,VLOOKUP(A53,'Données projet'!$A$87:$I$107,5,0)*VLOOKUP('Données projet'!$B$11,Paramètres!$A$1:$I$89,7,0))</f>
        <v>0.34400000000000003</v>
      </c>
      <c r="BN53" s="16">
        <f>IF(ISNA(VLOOKUP(A53,'Données projet'!$A$87:$I$107,6,0)),0%,VLOOKUP(A53,'Données projet'!$A$87:$I$107,6,0)*VLOOKUP('Données projet'!$B$11,Paramètres!$A$1:$I$89,7,0))</f>
        <v>8.6000000000000007E-2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47.19256583405047</v>
      </c>
      <c r="BQ53" s="21">
        <f>EXP(-LN(2)/25)*BQ52+(1-EXP(-LN(2)/25))/(LN(2)/25)*Calculateur!BL53*Calculateur!BN53*VLOOKUP('Données projet'!$B$11,Paramètres!$A$1:$I$89,3,0)*0.475*44/12</f>
        <v>7.3783266060496597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54.570892440100131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16.399999999999999</v>
      </c>
      <c r="N54" s="13">
        <f>IF('Données projet'!$A$36&gt;35,N53+M54-V53,IF(A54&lt;'Données projet'!$A$36,$K$205^A54,IF(A54='Données projet'!$A$36,'Données projet'!$B$36,N53+M54-V53)))</f>
        <v>597.4</v>
      </c>
      <c r="O54" s="13">
        <f>N54*VLOOKUP('Données projet'!$B$9,Paramètres!$A$1:$I$89,3,0)*VLOOKUP('Données projet'!$B$9,Paramètres!$A$1:$I$89,5,0)</f>
        <v>333.94660000000005</v>
      </c>
      <c r="P54" s="13">
        <f t="shared" si="33"/>
        <v>78.247971042926139</v>
      </c>
      <c r="Q54" s="20">
        <f t="shared" si="53"/>
        <v>717.90554456642974</v>
      </c>
      <c r="R54" s="59">
        <f t="shared" si="0"/>
        <v>1011.2388778997631</v>
      </c>
      <c r="S54" s="59">
        <f ca="1">AVERAGE(OFFSET($R$3,0,0,'Données projet'!$E$9+1,1))-AVERAGE(OFFSET($H$3,0,0,'Données projet'!$E$9+1,1))</f>
        <v>381.58561971183832</v>
      </c>
      <c r="T54" s="59">
        <f t="shared" si="34"/>
        <v>444.55874959426347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69.215939572007684</v>
      </c>
      <c r="AA54" s="21">
        <f>EXP(-LN(2)/25)*AA53+(1-EXP(-LN(2)/25))/(LN(2)/25)*Calculateur!V54*Calculateur!X54*VLOOKUP('Données projet'!$B$9,Paramètres!$A$1:$I$89,3,0)*0.475*44/12</f>
        <v>22.308336751842951</v>
      </c>
      <c r="AB54" s="21">
        <f>EXP(-LN(2)/2)*AB53+(1-EXP(-LN(2)/2))/(LN(2)/2)*V54*Y54*VLOOKUP('Données projet'!$B$9,Paramètres!$A$1:$I$89,3,0)*0.475*44/12</f>
        <v>8.3441318684409043E-4</v>
      </c>
      <c r="AC54" s="22">
        <f t="shared" si="3"/>
        <v>91.525110737037494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21.4</v>
      </c>
      <c r="AI54" s="13">
        <f>IF('Données projet'!$A$62&gt;35,AI53+AH54-AQ53,IF(A54&lt;'Données projet'!$A$62,$AF$205^A54,IF(A54='Données projet'!$A$62,'Données projet'!$B$62,AI53+AH54-AQ53)))</f>
        <v>224.40000000000003</v>
      </c>
      <c r="AJ54" s="13">
        <f>AI54*VLOOKUP('Données projet'!$B$10,Paramètres!$A$1:$I$89,3,0)*VLOOKUP('Données projet'!$B$10,Paramètres!$A$1:$I$89,5,0)</f>
        <v>140.02560000000003</v>
      </c>
      <c r="AK54" s="13">
        <f t="shared" si="35"/>
        <v>36.302870033112463</v>
      </c>
      <c r="AL54" s="20">
        <f t="shared" si="4"/>
        <v>307.10541864100423</v>
      </c>
      <c r="AM54" s="59">
        <f t="shared" si="5"/>
        <v>600.43875197433749</v>
      </c>
      <c r="AN54" s="59">
        <f ca="1">AVERAGE(OFFSET($AM$3,0,0,'Données projet'!$E$10+1,1))-AVERAGE(OFFSET($H$3,0,0,'Données projet'!$E$10+1,1))</f>
        <v>282.98219518929034</v>
      </c>
      <c r="AO54" s="59">
        <f t="shared" si="36"/>
        <v>205.95652510682322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45.741273817928317</v>
      </c>
      <c r="AV54" s="21">
        <f>EXP(-LN(2)/25)*AV53+(1-EXP(-LN(2)/25))/(LN(2)/25)*Calculateur!AQ54*Calculateur!AS54*VLOOKUP('Données projet'!$B$10,Paramètres!$A$1:$I$89,3,0)*0.475*44/12</f>
        <v>27.136656905817375</v>
      </c>
      <c r="AW54" s="21">
        <f>EXP(-LN(2)/2)*AW53+(1-EXP(-LN(2)/2))/(LN(2)/2)*AQ54*AT54*VLOOKUP('Données projet'!$B$10,Paramètres!$A$1:$I$89,3,0)*0.475*44/12</f>
        <v>6.94301690001955E-3</v>
      </c>
      <c r="AX54" s="21">
        <f t="shared" si="6"/>
        <v>72.884873740645716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16</v>
      </c>
      <c r="BD54" s="12">
        <f>IF('Données projet'!$A$88&gt;35,BD53+BC54-BL53,IF(A54&lt;'Données projet'!$A$88,$BA$205^A54,IF(A54='Données projet'!$A$88,'Données projet'!$B$88,BD53+BC54-BL53)))</f>
        <v>215.00000000000011</v>
      </c>
      <c r="BE54" s="13">
        <f>BD54*VLOOKUP('Données projet'!$B$11,Paramètres!$A$1:$I$89,3,0)*VLOOKUP('Données projet'!$B$11,Paramètres!$A$1:$I$89,5,0)</f>
        <v>174.4080000000001</v>
      </c>
      <c r="BF54" s="13">
        <f t="shared" si="37"/>
        <v>44.075793288194824</v>
      </c>
      <c r="BG54" s="20">
        <f t="shared" si="7"/>
        <v>380.52593997693947</v>
      </c>
      <c r="BH54" s="59">
        <f t="shared" si="8"/>
        <v>673.85927331027278</v>
      </c>
      <c r="BI54" s="59">
        <f ca="1">AVERAGE(OFFSET($BH$3,0,0,'Données projet'!$E$11+1,1))-AVERAGE(OFFSET($H$3,0,0,'Données projet'!$E$11+1,1))</f>
        <v>293.14894570672351</v>
      </c>
      <c r="BJ54" s="59">
        <f t="shared" si="38"/>
        <v>252.47559879720762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46.267148402667651</v>
      </c>
      <c r="BQ54" s="21">
        <f>EXP(-LN(2)/25)*BQ53+(1-EXP(-LN(2)/25))/(LN(2)/25)*Calculateur!BL54*Calculateur!BN54*VLOOKUP('Données projet'!$B$11,Paramètres!$A$1:$I$89,3,0)*0.475*44/12</f>
        <v>7.1765658769978993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53.443714279665549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16.399999999999999</v>
      </c>
      <c r="N55" s="13">
        <f>IF('Données projet'!$A$36&gt;35,N54+M55-V54,IF(A55&lt;'Données projet'!$A$36,$K$205^A55,IF(A55='Données projet'!$A$36,'Données projet'!$B$36,N54+M55-V54)))</f>
        <v>613.79999999999995</v>
      </c>
      <c r="O55" s="13">
        <f>N55*VLOOKUP('Données projet'!$B$9,Paramètres!$A$1:$I$89,3,0)*VLOOKUP('Données projet'!$B$9,Paramètres!$A$1:$I$89,5,0)</f>
        <v>343.11419999999998</v>
      </c>
      <c r="P55" s="13">
        <f t="shared" si="33"/>
        <v>80.143018032935856</v>
      </c>
      <c r="Q55" s="20">
        <f t="shared" si="53"/>
        <v>737.17298807402994</v>
      </c>
      <c r="R55" s="59">
        <f t="shared" si="0"/>
        <v>1030.5063214073632</v>
      </c>
      <c r="S55" s="59">
        <f ca="1">AVERAGE(OFFSET($R$3,0,0,'Données projet'!$E$9+1,1))-AVERAGE(OFFSET($H$3,0,0,'Données projet'!$E$9+1,1))</f>
        <v>381.58561971183832</v>
      </c>
      <c r="T55" s="59">
        <f t="shared" si="34"/>
        <v>444.55874959426347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67.858657214555109</v>
      </c>
      <c r="AA55" s="21">
        <f>EXP(-LN(2)/25)*AA54+(1-EXP(-LN(2)/25))/(LN(2)/25)*Calculateur!V55*Calculateur!X55*VLOOKUP('Données projet'!$B$9,Paramètres!$A$1:$I$89,3,0)*0.475*44/12</f>
        <v>21.698314110219361</v>
      </c>
      <c r="AB55" s="21">
        <f>EXP(-LN(2)/2)*AB54+(1-EXP(-LN(2)/2))/(LN(2)/2)*V55*Y55*VLOOKUP('Données projet'!$B$9,Paramètres!$A$1:$I$89,3,0)*0.475*44/12</f>
        <v>5.9001922272893404E-4</v>
      </c>
      <c r="AC55" s="22">
        <f t="shared" si="3"/>
        <v>89.557561343997193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21.4</v>
      </c>
      <c r="AI55" s="13">
        <f>IF('Données projet'!$A$62&gt;35,AI54+AH55-AQ54,IF(A55&lt;'Données projet'!$A$62,$AF$205^A55,IF(A55='Données projet'!$A$62,'Données projet'!$B$62,AI54+AH55-AQ54)))</f>
        <v>245.80000000000004</v>
      </c>
      <c r="AJ55" s="13">
        <f>AI55*VLOOKUP('Données projet'!$B$10,Paramètres!$A$1:$I$89,3,0)*VLOOKUP('Données projet'!$B$10,Paramètres!$A$1:$I$89,5,0)</f>
        <v>153.37920000000003</v>
      </c>
      <c r="AK55" s="13">
        <f t="shared" si="35"/>
        <v>39.345522425648163</v>
      </c>
      <c r="AL55" s="20">
        <f t="shared" si="4"/>
        <v>335.66222489133725</v>
      </c>
      <c r="AM55" s="59">
        <f t="shared" si="5"/>
        <v>628.9955582246705</v>
      </c>
      <c r="AN55" s="59">
        <f ca="1">AVERAGE(OFFSET($AM$3,0,0,'Données projet'!$E$10+1,1))-AVERAGE(OFFSET($H$3,0,0,'Données projet'!$E$10+1,1))</f>
        <v>282.98219518929034</v>
      </c>
      <c r="AO55" s="59">
        <f t="shared" si="36"/>
        <v>205.95652510682322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44.844315337780934</v>
      </c>
      <c r="AV55" s="21">
        <f>EXP(-LN(2)/25)*AV54+(1-EXP(-LN(2)/25))/(LN(2)/25)*Calculateur!AQ55*Calculateur!AS55*VLOOKUP('Données projet'!$B$10,Paramètres!$A$1:$I$89,3,0)*0.475*44/12</f>
        <v>26.394603595673033</v>
      </c>
      <c r="AW55" s="21">
        <f>EXP(-LN(2)/2)*AW54+(1-EXP(-LN(2)/2))/(LN(2)/2)*AQ55*AT55*VLOOKUP('Données projet'!$B$10,Paramètres!$A$1:$I$89,3,0)*0.475*44/12</f>
        <v>4.9094543318966254E-3</v>
      </c>
      <c r="AX55" s="21">
        <f t="shared" si="6"/>
        <v>71.243828387785854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16</v>
      </c>
      <c r="BD55" s="12">
        <f>IF('Données projet'!$A$88&gt;35,BD54+BC55-BL54,IF(A55&lt;'Données projet'!$A$88,$BA$205^A55,IF(A55='Données projet'!$A$88,'Données projet'!$B$88,BD54+BC55-BL54)))</f>
        <v>231.00000000000011</v>
      </c>
      <c r="BE55" s="13">
        <f>BD55*VLOOKUP('Données projet'!$B$11,Paramètres!$A$1:$I$89,3,0)*VLOOKUP('Données projet'!$B$11,Paramètres!$A$1:$I$89,5,0)</f>
        <v>187.38720000000009</v>
      </c>
      <c r="BF55" s="13">
        <f t="shared" si="37"/>
        <v>46.961835165190195</v>
      </c>
      <c r="BG55" s="20">
        <f t="shared" si="7"/>
        <v>408.15790291270633</v>
      </c>
      <c r="BH55" s="59">
        <f t="shared" si="8"/>
        <v>701.49123624603965</v>
      </c>
      <c r="BI55" s="59">
        <f ca="1">AVERAGE(OFFSET($BH$3,0,0,'Données projet'!$E$11+1,1))-AVERAGE(OFFSET($H$3,0,0,'Données projet'!$E$11+1,1))</f>
        <v>293.14894570672351</v>
      </c>
      <c r="BJ55" s="59">
        <f t="shared" si="38"/>
        <v>252.47559879720762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45.359877842665355</v>
      </c>
      <c r="BQ55" s="21">
        <f>EXP(-LN(2)/25)*BQ54+(1-EXP(-LN(2)/25))/(LN(2)/25)*Calculateur!BL55*Calculateur!BN55*VLOOKUP('Données projet'!$B$11,Paramètres!$A$1:$I$89,3,0)*0.475*44/12</f>
        <v>6.9803223056921944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52.340200148357553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16.399999999999999</v>
      </c>
      <c r="N56" s="13">
        <f>IF('Données projet'!$A$36&gt;35,N55+M56-V55,IF(A56&lt;'Données projet'!$A$36,$K$205^A56,IF(A56='Données projet'!$A$36,'Données projet'!$B$36,N55+M56-V55)))</f>
        <v>630.19999999999993</v>
      </c>
      <c r="O56" s="13">
        <f>N56*VLOOKUP('Données projet'!$B$9,Paramètres!$A$1:$I$89,3,0)*VLOOKUP('Données projet'!$B$9,Paramètres!$A$1:$I$89,5,0)</f>
        <v>352.28179999999998</v>
      </c>
      <c r="P56" s="13">
        <f t="shared" si="33"/>
        <v>82.032179712608198</v>
      </c>
      <c r="Q56" s="20">
        <f t="shared" si="53"/>
        <v>756.43018133279247</v>
      </c>
      <c r="R56" s="59">
        <f t="shared" si="0"/>
        <v>1049.7635146661257</v>
      </c>
      <c r="S56" s="59">
        <f ca="1">AVERAGE(OFFSET($R$3,0,0,'Données projet'!$E$9+1,1))-AVERAGE(OFFSET($H$3,0,0,'Données projet'!$E$9+1,1))</f>
        <v>381.58561971183832</v>
      </c>
      <c r="T56" s="59">
        <f t="shared" si="34"/>
        <v>444.55874959426347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66.527990336271685</v>
      </c>
      <c r="AA56" s="21">
        <f>EXP(-LN(2)/25)*AA55+(1-EXP(-LN(2)/25))/(LN(2)/25)*Calculateur!V56*Calculateur!X56*VLOOKUP('Données projet'!$B$9,Paramètres!$A$1:$I$89,3,0)*0.475*44/12</f>
        <v>21.104972569810666</v>
      </c>
      <c r="AB56" s="21">
        <f>EXP(-LN(2)/2)*AB55+(1-EXP(-LN(2)/2))/(LN(2)/2)*V56*Y56*VLOOKUP('Données projet'!$B$9,Paramètres!$A$1:$I$89,3,0)*0.475*44/12</f>
        <v>4.1720659342204522E-4</v>
      </c>
      <c r="AC56" s="22">
        <f t="shared" si="3"/>
        <v>87.633380112675781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21.4</v>
      </c>
      <c r="AI56" s="13">
        <f>IF('Données projet'!$A$62&gt;35,AI55+AH56-AQ55,IF(A56&lt;'Données projet'!$A$62,$AF$205^A56,IF(A56='Données projet'!$A$62,'Données projet'!$B$62,AI55+AH56-AQ55)))</f>
        <v>267.20000000000005</v>
      </c>
      <c r="AJ56" s="13">
        <f>AI56*VLOOKUP('Données projet'!$B$10,Paramètres!$A$1:$I$89,3,0)*VLOOKUP('Données projet'!$B$10,Paramètres!$A$1:$I$89,5,0)</f>
        <v>166.73280000000005</v>
      </c>
      <c r="AK56" s="13">
        <f t="shared" si="35"/>
        <v>42.357455075043553</v>
      </c>
      <c r="AL56" s="20">
        <f t="shared" si="4"/>
        <v>364.1655275890343</v>
      </c>
      <c r="AM56" s="59">
        <f t="shared" si="5"/>
        <v>657.49886092236761</v>
      </c>
      <c r="AN56" s="59">
        <f ca="1">AVERAGE(OFFSET($AM$3,0,0,'Données projet'!$E$10+1,1))-AVERAGE(OFFSET($H$3,0,0,'Données projet'!$E$10+1,1))</f>
        <v>282.98219518929034</v>
      </c>
      <c r="AO56" s="59">
        <f t="shared" si="36"/>
        <v>205.95652510682322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43.964945666338586</v>
      </c>
      <c r="AV56" s="21">
        <f>EXP(-LN(2)/25)*AV55+(1-EXP(-LN(2)/25))/(LN(2)/25)*Calculateur!AQ56*Calculateur!AS56*VLOOKUP('Données projet'!$B$10,Paramètres!$A$1:$I$89,3,0)*0.475*44/12</f>
        <v>25.672841772317476</v>
      </c>
      <c r="AW56" s="21">
        <f>EXP(-LN(2)/2)*AW55+(1-EXP(-LN(2)/2))/(LN(2)/2)*AQ56*AT56*VLOOKUP('Données projet'!$B$10,Paramètres!$A$1:$I$89,3,0)*0.475*44/12</f>
        <v>3.471508450009775E-3</v>
      </c>
      <c r="AX56" s="21">
        <f t="shared" si="6"/>
        <v>69.641258947106067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16</v>
      </c>
      <c r="BD56" s="12">
        <f>IF('Données projet'!$A$88&gt;35,BD55+BC56-BL55,IF(A56&lt;'Données projet'!$A$88,$BA$205^A56,IF(A56='Données projet'!$A$88,'Données projet'!$B$88,BD55+BC56-BL55)))</f>
        <v>247.00000000000011</v>
      </c>
      <c r="BE56" s="13">
        <f>BD56*VLOOKUP('Données projet'!$B$11,Paramètres!$A$1:$I$89,3,0)*VLOOKUP('Données projet'!$B$11,Paramètres!$A$1:$I$89,5,0)</f>
        <v>200.36640000000008</v>
      </c>
      <c r="BF56" s="13">
        <f t="shared" si="37"/>
        <v>49.824682775783181</v>
      </c>
      <c r="BG56" s="20">
        <f t="shared" si="7"/>
        <v>435.7494691678225</v>
      </c>
      <c r="BH56" s="59">
        <f t="shared" si="8"/>
        <v>729.08280250115581</v>
      </c>
      <c r="BI56" s="59">
        <f ca="1">AVERAGE(OFFSET($BH$3,0,0,'Données projet'!$E$11+1,1))-AVERAGE(OFFSET($H$3,0,0,'Données projet'!$E$11+1,1))</f>
        <v>293.14894570672351</v>
      </c>
      <c r="BJ56" s="59">
        <f t="shared" si="38"/>
        <v>252.47559879720762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44.470398304964306</v>
      </c>
      <c r="BQ56" s="21">
        <f>EXP(-LN(2)/25)*BQ55+(1-EXP(-LN(2)/25))/(LN(2)/25)*Calculateur!BL56*Calculateur!BN56*VLOOKUP('Données projet'!$B$11,Paramètres!$A$1:$I$89,3,0)*0.475*44/12</f>
        <v>6.789445025163845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51.259843330128149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16.399999999999999</v>
      </c>
      <c r="N57" s="13">
        <f>IF('Données projet'!$A$36&gt;35,N56+M57-V56,IF(A57&lt;'Données projet'!$A$36,$K$205^A57,IF(A57='Données projet'!$A$36,'Données projet'!$B$36,N56+M57-V56)))</f>
        <v>646.59999999999991</v>
      </c>
      <c r="O57" s="13">
        <f>N57*VLOOKUP('Données projet'!$B$9,Paramètres!$A$1:$I$89,3,0)*VLOOKUP('Données projet'!$B$9,Paramètres!$A$1:$I$89,5,0)</f>
        <v>361.44939999999997</v>
      </c>
      <c r="P57" s="13">
        <f t="shared" si="33"/>
        <v>83.915626845923427</v>
      </c>
      <c r="Q57" s="20">
        <f t="shared" si="53"/>
        <v>775.67742175664989</v>
      </c>
      <c r="R57" s="59">
        <f t="shared" si="0"/>
        <v>1069.0107550899831</v>
      </c>
      <c r="S57" s="59">
        <f ca="1">AVERAGE(OFFSET($R$3,0,0,'Données projet'!$E$9+1,1))-AVERAGE(OFFSET($H$3,0,0,'Données projet'!$E$9+1,1))</f>
        <v>381.58561971183832</v>
      </c>
      <c r="T57" s="59">
        <f t="shared" si="34"/>
        <v>444.55874959426347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65.223417023844746</v>
      </c>
      <c r="AA57" s="21">
        <f>EXP(-LN(2)/25)*AA56+(1-EXP(-LN(2)/25))/(LN(2)/25)*Calculateur!V57*Calculateur!X57*VLOOKUP('Données projet'!$B$9,Paramètres!$A$1:$I$89,3,0)*0.475*44/12</f>
        <v>20.527855985026921</v>
      </c>
      <c r="AB57" s="21">
        <f>EXP(-LN(2)/2)*AB56+(1-EXP(-LN(2)/2))/(LN(2)/2)*V57*Y57*VLOOKUP('Données projet'!$B$9,Paramètres!$A$1:$I$89,3,0)*0.475*44/12</f>
        <v>2.9500961136446702E-4</v>
      </c>
      <c r="AC57" s="22">
        <f t="shared" si="3"/>
        <v>85.751568018483027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21.4</v>
      </c>
      <c r="AI57" s="13">
        <f>IF('Données projet'!$A$62&gt;35,AI56+AH57-AQ56,IF(A57&lt;'Données projet'!$A$62,$AF$205^A57,IF(A57='Données projet'!$A$62,'Données projet'!$B$62,AI56+AH57-AQ56)))</f>
        <v>288.60000000000002</v>
      </c>
      <c r="AJ57" s="13">
        <f>AI57*VLOOKUP('Données projet'!$B$10,Paramètres!$A$1:$I$89,3,0)*VLOOKUP('Données projet'!$B$10,Paramètres!$A$1:$I$89,5,0)</f>
        <v>180.0864</v>
      </c>
      <c r="AK57" s="13">
        <f t="shared" si="35"/>
        <v>45.341408037837176</v>
      </c>
      <c r="AL57" s="20">
        <f t="shared" si="4"/>
        <v>392.62009899923305</v>
      </c>
      <c r="AM57" s="59">
        <f t="shared" si="5"/>
        <v>685.95343233256631</v>
      </c>
      <c r="AN57" s="59">
        <f ca="1">AVERAGE(OFFSET($AM$3,0,0,'Données projet'!$E$10+1,1))-AVERAGE(OFFSET($H$3,0,0,'Données projet'!$E$10+1,1))</f>
        <v>282.98219518929034</v>
      </c>
      <c r="AO57" s="59">
        <f t="shared" si="36"/>
        <v>205.95652510682322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43.102819897790688</v>
      </c>
      <c r="AV57" s="21">
        <f>EXP(-LN(2)/25)*AV56+(1-EXP(-LN(2)/25))/(LN(2)/25)*Calculateur!AQ57*Calculateur!AS57*VLOOKUP('Données projet'!$B$10,Paramètres!$A$1:$I$89,3,0)*0.475*44/12</f>
        <v>24.970816563977383</v>
      </c>
      <c r="AW57" s="21">
        <f>EXP(-LN(2)/2)*AW56+(1-EXP(-LN(2)/2))/(LN(2)/2)*AQ57*AT57*VLOOKUP('Données projet'!$B$10,Paramètres!$A$1:$I$89,3,0)*0.475*44/12</f>
        <v>2.4547271659483127E-3</v>
      </c>
      <c r="AX57" s="21">
        <f t="shared" si="6"/>
        <v>68.076091188934029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16</v>
      </c>
      <c r="BD57" s="12">
        <f>IF('Données projet'!$A$88&gt;35,BD56+BC57-BL56,IF(A57&lt;'Données projet'!$A$88,$BA$205^A57,IF(A57='Données projet'!$A$88,'Données projet'!$B$88,BD56+BC57-BL56)))</f>
        <v>263.00000000000011</v>
      </c>
      <c r="BE57" s="13">
        <f>BD57*VLOOKUP('Données projet'!$B$11,Paramètres!$A$1:$I$89,3,0)*VLOOKUP('Données projet'!$B$11,Paramètres!$A$1:$I$89,5,0)</f>
        <v>213.34560000000013</v>
      </c>
      <c r="BF57" s="13">
        <f t="shared" si="37"/>
        <v>52.666009577179487</v>
      </c>
      <c r="BG57" s="20">
        <f t="shared" si="7"/>
        <v>463.30355334692121</v>
      </c>
      <c r="BH57" s="59">
        <f t="shared" si="8"/>
        <v>756.63688668025452</v>
      </c>
      <c r="BI57" s="59">
        <f ca="1">AVERAGE(OFFSET($BH$3,0,0,'Données projet'!$E$11+1,1))-AVERAGE(OFFSET($H$3,0,0,'Données projet'!$E$11+1,1))</f>
        <v>293.14894570672351</v>
      </c>
      <c r="BJ57" s="59">
        <f t="shared" si="38"/>
        <v>252.47559879720762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43.598360918468622</v>
      </c>
      <c r="BQ57" s="21">
        <f>EXP(-LN(2)/25)*BQ56+(1-EXP(-LN(2)/25))/(LN(2)/25)*Calculateur!BL57*Calculateur!BN57*VLOOKUP('Données projet'!$B$11,Paramètres!$A$1:$I$89,3,0)*0.475*44/12</f>
        <v>6.6037872939093436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50.202148212377963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663</v>
      </c>
      <c r="L58" s="12">
        <f>VLOOKUP(A58,'Données projet'!$A$35:$I$55,9,0)</f>
        <v>16.399999999999999</v>
      </c>
      <c r="M58" s="12">
        <f t="array" ref="M58">INDEX(L:L,MIN(IF(ISNUMBER(L58:L254),ROW(L58:L254),"")))</f>
        <v>16.399999999999999</v>
      </c>
      <c r="N58" s="13">
        <f>IF('Données projet'!$A$36&gt;35,N57+M58-V57,IF(A58&lt;'Données projet'!$A$36,$K$205^A58,IF(A58='Données projet'!$A$36,'Données projet'!$B$36,N57+M58-V57)))</f>
        <v>662.99999999999989</v>
      </c>
      <c r="O58" s="13">
        <f>N58*VLOOKUP('Données projet'!$B$9,Paramètres!$A$1:$I$89,3,0)*VLOOKUP('Données projet'!$B$9,Paramètres!$A$1:$I$89,5,0)</f>
        <v>370.61699999999996</v>
      </c>
      <c r="P58" s="13">
        <f t="shared" si="33"/>
        <v>85.793521040948463</v>
      </c>
      <c r="Q58" s="20">
        <f t="shared" si="53"/>
        <v>794.91499081298514</v>
      </c>
      <c r="R58" s="59">
        <f t="shared" si="0"/>
        <v>1088.2483241463185</v>
      </c>
      <c r="S58" s="59">
        <f ca="1">AVERAGE(OFFSET($R$3,0,0,'Données projet'!$E$9+1,1))-AVERAGE(OFFSET($H$3,0,0,'Données projet'!$E$9+1,1))</f>
        <v>381.58561971183832</v>
      </c>
      <c r="T58" s="59">
        <f t="shared" si="34"/>
        <v>444.55874959426347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83</v>
      </c>
      <c r="W58" s="16">
        <f>IF(ISNA(VLOOKUP(A58,'Données projet'!$A$35:$I$55,5,0)),0%,VLOOKUP(A58,'Données projet'!$A$35:$I$55,5,0)*VLOOKUP('Données projet'!$B$9,Paramètres!$A$1:$I$89,7,0))</f>
        <v>0.44000000000000006</v>
      </c>
      <c r="X58" s="16">
        <f>IF(ISNA(VLOOKUP(A58,'Données projet'!$A$35:$I$55,6,0)),0%,VLOOKUP(A58,'Données projet'!$A$35:$I$55,6,0)*VLOOKUP('Données projet'!$B$9,Paramètres!$A$1:$I$89,7,0))</f>
        <v>0.11000000000000001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91.025814455535837</v>
      </c>
      <c r="AA58" s="21">
        <f>EXP(-LN(2)/25)*AA57+(1-EXP(-LN(2)/25))/(LN(2)/25)*Calculateur!V58*Calculateur!X58*VLOOKUP('Données projet'!$B$9,Paramètres!$A$1:$I$89,3,0)*0.475*44/12</f>
        <v>26.710210461209243</v>
      </c>
      <c r="AB58" s="21">
        <f>EXP(-LN(2)/2)*AB57+(1-EXP(-LN(2)/2))/(LN(2)/2)*V58*Y58*VLOOKUP('Données projet'!$B$9,Paramètres!$A$1:$I$89,3,0)*0.475*44/12</f>
        <v>2.0860329671102261E-4</v>
      </c>
      <c r="AC58" s="22">
        <f t="shared" si="3"/>
        <v>117.73623352004179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310</v>
      </c>
      <c r="AG58" s="12">
        <f>VLOOKUP(A58,'Données projet'!$A$61:$I$81,9,0)</f>
        <v>21.4</v>
      </c>
      <c r="AH58" s="12">
        <f t="array" ref="AH58">INDEX(AG:AG,MIN(IF(ISNUMBER(AG58:AG254),ROW(AG58:AG254),"")))</f>
        <v>21.4</v>
      </c>
      <c r="AI58" s="13">
        <f>IF('Données projet'!$A$62&gt;35,AI57+AH58-AQ57,IF(A58&lt;'Données projet'!$A$62,$AF$205^A58,IF(A58='Données projet'!$A$62,'Données projet'!$B$62,AI57+AH58-AQ57)))</f>
        <v>310</v>
      </c>
      <c r="AJ58" s="13">
        <f>AI58*VLOOKUP('Données projet'!$B$10,Paramètres!$A$1:$I$89,3,0)*VLOOKUP('Données projet'!$B$10,Paramètres!$A$1:$I$89,5,0)</f>
        <v>193.44</v>
      </c>
      <c r="AK58" s="13">
        <f t="shared" si="35"/>
        <v>48.299691961776745</v>
      </c>
      <c r="AL58" s="20">
        <f t="shared" si="4"/>
        <v>421.02996350009448</v>
      </c>
      <c r="AM58" s="59">
        <f t="shared" si="5"/>
        <v>714.36329683342774</v>
      </c>
      <c r="AN58" s="59">
        <f ca="1">AVERAGE(OFFSET($AM$3,0,0,'Données projet'!$E$10+1,1))-AVERAGE(OFFSET($H$3,0,0,'Données projet'!$E$10+1,1))</f>
        <v>282.98219518929034</v>
      </c>
      <c r="AO58" s="59">
        <f t="shared" si="36"/>
        <v>205.95652510682322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42.257599889719216</v>
      </c>
      <c r="AV58" s="21">
        <f>EXP(-LN(2)/25)*AV57+(1-EXP(-LN(2)/25))/(LN(2)/25)*Calculateur!AQ58*Calculateur!AS58*VLOOKUP('Données projet'!$B$10,Paramètres!$A$1:$I$89,3,0)*0.475*44/12</f>
        <v>24.28798827187725</v>
      </c>
      <c r="AW58" s="21">
        <f>EXP(-LN(2)/2)*AW57+(1-EXP(-LN(2)/2))/(LN(2)/2)*AQ58*AT58*VLOOKUP('Données projet'!$B$10,Paramètres!$A$1:$I$89,3,0)*0.475*44/12</f>
        <v>1.7357542250048875E-3</v>
      </c>
      <c r="AX58" s="21">
        <f t="shared" si="6"/>
        <v>66.54732391582148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16</v>
      </c>
      <c r="BC58" s="12">
        <f t="array" ref="BC58">INDEX(BB:BB,MIN(IF(ISNUMBER(BB58:BB254),ROW(BB58:BB254),"")))</f>
        <v>16</v>
      </c>
      <c r="BD58" s="12">
        <f>IF('Données projet'!$A$88&gt;35,BD57+BC58-BL57,IF(A58&lt;'Données projet'!$A$88,$BA$205^A58,IF(A58='Données projet'!$A$88,'Données projet'!$B$88,BD57+BC58-BL57)))</f>
        <v>279.00000000000011</v>
      </c>
      <c r="BE58" s="13">
        <f>BD58*VLOOKUP('Données projet'!$B$11,Paramètres!$A$1:$I$89,3,0)*VLOOKUP('Données projet'!$B$11,Paramètres!$A$1:$I$89,5,0)</f>
        <v>226.32480000000012</v>
      </c>
      <c r="BF58" s="13">
        <f t="shared" si="37"/>
        <v>55.48727390683672</v>
      </c>
      <c r="BG58" s="20">
        <f t="shared" si="7"/>
        <v>490.82269538774079</v>
      </c>
      <c r="BH58" s="59">
        <f t="shared" si="8"/>
        <v>784.15602872107411</v>
      </c>
      <c r="BI58" s="59">
        <f ca="1">AVERAGE(OFFSET($BH$3,0,0,'Données projet'!$E$11+1,1))-AVERAGE(OFFSET($H$3,0,0,'Données projet'!$E$11+1,1))</f>
        <v>293.14894570672351</v>
      </c>
      <c r="BJ58" s="59">
        <f t="shared" si="38"/>
        <v>252.47559879720762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42.743423653231837</v>
      </c>
      <c r="BQ58" s="21">
        <f>EXP(-LN(2)/25)*BQ57+(1-EXP(-LN(2)/25))/(LN(2)/25)*Calculateur!BL58*Calculateur!BN58*VLOOKUP('Données projet'!$B$11,Paramètres!$A$1:$I$89,3,0)*0.475*44/12</f>
        <v>6.4232063830793118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49.166630036311147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11.4</v>
      </c>
      <c r="N59" s="13">
        <f>IF('Données projet'!$A$36&gt;35,N58+M59-V58,IF(A59&lt;'Données projet'!$A$36,$K$205^A59,IF(A59='Données projet'!$A$36,'Données projet'!$B$36,N58+M59-V58)))</f>
        <v>591.39999999999986</v>
      </c>
      <c r="O59" s="13">
        <f>N59*VLOOKUP('Données projet'!$B$9,Paramètres!$A$1:$I$89,3,0)*VLOOKUP('Données projet'!$B$9,Paramètres!$A$1:$I$89,5,0)</f>
        <v>330.59259999999995</v>
      </c>
      <c r="P59" s="13">
        <f t="shared" si="33"/>
        <v>77.553155439033247</v>
      </c>
      <c r="Q59" s="20">
        <f t="shared" si="53"/>
        <v>710.85385738964942</v>
      </c>
      <c r="R59" s="59">
        <f t="shared" si="0"/>
        <v>1004.1871907229827</v>
      </c>
      <c r="S59" s="59">
        <f ca="1">AVERAGE(OFFSET($R$3,0,0,'Données projet'!$E$9+1,1))-AVERAGE(OFFSET($H$3,0,0,'Données projet'!$E$9+1,1))</f>
        <v>381.58561971183832</v>
      </c>
      <c r="T59" s="59">
        <f t="shared" si="34"/>
        <v>444.55874959426347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89.240853754327432</v>
      </c>
      <c r="AA59" s="21">
        <f>EXP(-LN(2)/25)*AA58+(1-EXP(-LN(2)/25))/(LN(2)/25)*Calculateur!V59*Calculateur!X59*VLOOKUP('Données projet'!$B$9,Paramètres!$A$1:$I$89,3,0)*0.475*44/12</f>
        <v>25.979818351518556</v>
      </c>
      <c r="AB59" s="21">
        <f>EXP(-LN(2)/2)*AB58+(1-EXP(-LN(2)/2))/(LN(2)/2)*V59*Y59*VLOOKUP('Données projet'!$B$9,Paramètres!$A$1:$I$89,3,0)*0.475*44/12</f>
        <v>1.4750480568223351E-4</v>
      </c>
      <c r="AC59" s="22">
        <f t="shared" si="3"/>
        <v>115.22081961065167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-1.2</v>
      </c>
      <c r="AI59" s="13">
        <f>IF('Données projet'!$A$62&gt;35,AI58+AH59-AQ58,IF(A59&lt;'Données projet'!$A$62,$AF$205^A59,IF(A59='Données projet'!$A$62,'Données projet'!$B$62,AI58+AH59-AQ58)))</f>
        <v>308.8</v>
      </c>
      <c r="AJ59" s="13">
        <f>AI59*VLOOKUP('Données projet'!$B$10,Paramètres!$A$1:$I$89,3,0)*VLOOKUP('Données projet'!$B$10,Paramètres!$A$1:$I$89,5,0)</f>
        <v>192.69119999999998</v>
      </c>
      <c r="AK59" s="13">
        <f t="shared" si="35"/>
        <v>48.134451046106101</v>
      </c>
      <c r="AL59" s="20">
        <f t="shared" si="4"/>
        <v>419.43800890530139</v>
      </c>
      <c r="AM59" s="59">
        <f t="shared" si="5"/>
        <v>712.7713422386347</v>
      </c>
      <c r="AN59" s="59">
        <f ca="1">AVERAGE(OFFSET($AM$3,0,0,'Données projet'!$E$10+1,1))-AVERAGE(OFFSET($H$3,0,0,'Données projet'!$E$10+1,1))</f>
        <v>282.98219518929034</v>
      </c>
      <c r="AO59" s="59">
        <f t="shared" si="36"/>
        <v>205.95652510682322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41.428954130472725</v>
      </c>
      <c r="AV59" s="21">
        <f>EXP(-LN(2)/25)*AV58+(1-EXP(-LN(2)/25))/(LN(2)/25)*Calculateur!AQ59*Calculateur!AS59*VLOOKUP('Données projet'!$B$10,Paramètres!$A$1:$I$89,3,0)*0.475*44/12</f>
        <v>23.623831955332975</v>
      </c>
      <c r="AW59" s="21">
        <f>EXP(-LN(2)/2)*AW58+(1-EXP(-LN(2)/2))/(LN(2)/2)*AQ59*AT59*VLOOKUP('Données projet'!$B$10,Paramètres!$A$1:$I$89,3,0)*0.475*44/12</f>
        <v>1.2273635829741563E-3</v>
      </c>
      <c r="AX59" s="21">
        <f t="shared" si="6"/>
        <v>65.054013449388677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0.2</v>
      </c>
      <c r="BD59" s="12">
        <f>IF('Données projet'!$A$88&gt;35,BD58+BC59-BL58,IF(A59&lt;'Données projet'!$A$88,$BA$205^A59,IF(A59='Données projet'!$A$88,'Données projet'!$B$88,BD58+BC59-BL58)))</f>
        <v>279.2000000000001</v>
      </c>
      <c r="BE59" s="13">
        <f>BD59*VLOOKUP('Données projet'!$B$11,Paramètres!$A$1:$I$89,3,0)*VLOOKUP('Données projet'!$B$11,Paramètres!$A$1:$I$89,5,0)</f>
        <v>226.48704000000009</v>
      </c>
      <c r="BF59" s="13">
        <f t="shared" si="37"/>
        <v>55.52241835864826</v>
      </c>
      <c r="BG59" s="20">
        <f t="shared" si="7"/>
        <v>491.16647330797923</v>
      </c>
      <c r="BH59" s="59">
        <f t="shared" si="8"/>
        <v>784.49980664131249</v>
      </c>
      <c r="BI59" s="59">
        <f ca="1">AVERAGE(OFFSET($BH$3,0,0,'Données projet'!$E$11+1,1))-AVERAGE(OFFSET($H$3,0,0,'Données projet'!$E$11+1,1))</f>
        <v>293.14894570672351</v>
      </c>
      <c r="BJ59" s="59">
        <f t="shared" si="38"/>
        <v>252.47559879720762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41.905251186306103</v>
      </c>
      <c r="BQ59" s="21">
        <f>EXP(-LN(2)/25)*BQ58+(1-EXP(-LN(2)/25))/(LN(2)/25)*Calculateur!BL59*Calculateur!BN59*VLOOKUP('Données projet'!$B$11,Paramètres!$A$1:$I$89,3,0)*0.475*44/12</f>
        <v>6.2475634667522648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48.152814653058371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11.4</v>
      </c>
      <c r="N60" s="13">
        <f>IF('Données projet'!$A$36&gt;35,N59+M60-V59,IF(A60&lt;'Données projet'!$A$36,$K$205^A60,IF(A60='Données projet'!$A$36,'Données projet'!$B$36,N59+M60-V59)))</f>
        <v>602.79999999999984</v>
      </c>
      <c r="O60" s="13">
        <f>N60*VLOOKUP('Données projet'!$B$9,Paramètres!$A$1:$I$89,3,0)*VLOOKUP('Données projet'!$B$9,Paramètres!$A$1:$I$89,5,0)</f>
        <v>336.96519999999992</v>
      </c>
      <c r="P60" s="13">
        <f t="shared" si="33"/>
        <v>78.872610717792639</v>
      </c>
      <c r="Q60" s="20">
        <f t="shared" si="53"/>
        <v>724.25085366682197</v>
      </c>
      <c r="R60" s="59">
        <f t="shared" si="0"/>
        <v>1017.5841870001552</v>
      </c>
      <c r="S60" s="59">
        <f ca="1">AVERAGE(OFFSET($R$3,0,0,'Données projet'!$E$9+1,1))-AVERAGE(OFFSET($H$3,0,0,'Données projet'!$E$9+1,1))</f>
        <v>381.58561971183832</v>
      </c>
      <c r="T60" s="59">
        <f t="shared" si="34"/>
        <v>444.55874959426347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87.490895043751195</v>
      </c>
      <c r="AA60" s="21">
        <f>EXP(-LN(2)/25)*AA59+(1-EXP(-LN(2)/25))/(LN(2)/25)*Calculateur!V60*Calculateur!X60*VLOOKUP('Données projet'!$B$9,Paramètres!$A$1:$I$89,3,0)*0.475*44/12</f>
        <v>25.269398852477011</v>
      </c>
      <c r="AB60" s="21">
        <f>EXP(-LN(2)/2)*AB59+(1-EXP(-LN(2)/2))/(LN(2)/2)*V60*Y60*VLOOKUP('Données projet'!$B$9,Paramètres!$A$1:$I$89,3,0)*0.475*44/12</f>
        <v>1.043016483555113E-4</v>
      </c>
      <c r="AC60" s="22">
        <f t="shared" si="3"/>
        <v>112.76039819787655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-1.2</v>
      </c>
      <c r="AI60" s="13">
        <f>IF('Données projet'!$A$62&gt;35,AI59+AH60-AQ59,IF(A60&lt;'Données projet'!$A$62,$AF$205^A60,IF(A60='Données projet'!$A$62,'Données projet'!$B$62,AI59+AH60-AQ59)))</f>
        <v>307.60000000000002</v>
      </c>
      <c r="AJ60" s="13">
        <f>AI60*VLOOKUP('Données projet'!$B$10,Paramètres!$A$1:$I$89,3,0)*VLOOKUP('Données projet'!$B$10,Paramètres!$A$1:$I$89,5,0)</f>
        <v>191.94239999999999</v>
      </c>
      <c r="AK60" s="13">
        <f t="shared" si="35"/>
        <v>47.96913536964054</v>
      </c>
      <c r="AL60" s="20">
        <f t="shared" si="4"/>
        <v>417.84592410212394</v>
      </c>
      <c r="AM60" s="59">
        <f t="shared" si="5"/>
        <v>711.1792574354572</v>
      </c>
      <c r="AN60" s="59">
        <f ca="1">AVERAGE(OFFSET($AM$3,0,0,'Données projet'!$E$10+1,1))-AVERAGE(OFFSET($H$3,0,0,'Données projet'!$E$10+1,1))</f>
        <v>282.98219518929034</v>
      </c>
      <c r="AO60" s="59">
        <f t="shared" si="36"/>
        <v>205.95652510682322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40.616557609141054</v>
      </c>
      <c r="AV60" s="21">
        <f>EXP(-LN(2)/25)*AV59+(1-EXP(-LN(2)/25))/(LN(2)/25)*Calculateur!AQ60*Calculateur!AS60*VLOOKUP('Données projet'!$B$10,Paramètres!$A$1:$I$89,3,0)*0.475*44/12</f>
        <v>22.977837028191065</v>
      </c>
      <c r="AW60" s="21">
        <f>EXP(-LN(2)/2)*AW59+(1-EXP(-LN(2)/2))/(LN(2)/2)*AQ60*AT60*VLOOKUP('Données projet'!$B$10,Paramètres!$A$1:$I$89,3,0)*0.475*44/12</f>
        <v>8.6787711250244375E-4</v>
      </c>
      <c r="AX60" s="21">
        <f t="shared" si="6"/>
        <v>63.59526251444462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0.2</v>
      </c>
      <c r="BD60" s="12">
        <f>IF('Données projet'!$A$88&gt;35,BD59+BC60-BL59,IF(A60&lt;'Données projet'!$A$88,$BA$205^A60,IF(A60='Données projet'!$A$88,'Données projet'!$B$88,BD59+BC60-BL59)))</f>
        <v>279.40000000000009</v>
      </c>
      <c r="BE60" s="13">
        <f>BD60*VLOOKUP('Données projet'!$B$11,Paramètres!$A$1:$I$89,3,0)*VLOOKUP('Données projet'!$B$11,Paramètres!$A$1:$I$89,5,0)</f>
        <v>226.64928000000006</v>
      </c>
      <c r="BF60" s="13">
        <f t="shared" si="37"/>
        <v>55.557559880199101</v>
      </c>
      <c r="BG60" s="20">
        <f t="shared" si="7"/>
        <v>491.51024612468018</v>
      </c>
      <c r="BH60" s="59">
        <f t="shared" si="8"/>
        <v>784.84357945801344</v>
      </c>
      <c r="BI60" s="59">
        <f ca="1">AVERAGE(OFFSET($BH$3,0,0,'Données projet'!$E$11+1,1))-AVERAGE(OFFSET($H$3,0,0,'Données projet'!$E$11+1,1))</f>
        <v>293.14894570672351</v>
      </c>
      <c r="BJ60" s="59">
        <f t="shared" si="38"/>
        <v>252.47559879720762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41.083514770222052</v>
      </c>
      <c r="BQ60" s="21">
        <f>EXP(-LN(2)/25)*BQ59+(1-EXP(-LN(2)/25))/(LN(2)/25)*Calculateur!BL60*Calculateur!BN60*VLOOKUP('Données projet'!$B$11,Paramètres!$A$1:$I$89,3,0)*0.475*44/12</f>
        <v>6.0767235152088404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47.160238285430893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11.4</v>
      </c>
      <c r="N61" s="13">
        <f>IF('Données projet'!$A$36&gt;35,N60+M61-V60,IF(A61&lt;'Données projet'!$A$36,$K$205^A61,IF(A61='Données projet'!$A$36,'Données projet'!$B$36,N60+M61-V60)))</f>
        <v>614.19999999999982</v>
      </c>
      <c r="O61" s="13">
        <f>N61*VLOOKUP('Données projet'!$B$9,Paramètres!$A$1:$I$89,3,0)*VLOOKUP('Données projet'!$B$9,Paramètres!$A$1:$I$89,5,0)</f>
        <v>343.33779999999996</v>
      </c>
      <c r="P61" s="13">
        <f t="shared" si="33"/>
        <v>80.189164455589108</v>
      </c>
      <c r="Q61" s="20">
        <f t="shared" si="53"/>
        <v>737.64279642681743</v>
      </c>
      <c r="R61" s="59">
        <f t="shared" si="0"/>
        <v>1030.9761297601508</v>
      </c>
      <c r="S61" s="59">
        <f ca="1">AVERAGE(OFFSET($R$3,0,0,'Données projet'!$E$9+1,1))-AVERAGE(OFFSET($H$3,0,0,'Données projet'!$E$9+1,1))</f>
        <v>381.58561971183832</v>
      </c>
      <c r="T61" s="59">
        <f t="shared" si="34"/>
        <v>444.55874959426347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85.775251956119931</v>
      </c>
      <c r="AA61" s="21">
        <f>EXP(-LN(2)/25)*AA60+(1-EXP(-LN(2)/25))/(LN(2)/25)*Calculateur!V61*Calculateur!X61*VLOOKUP('Données projet'!$B$9,Paramètres!$A$1:$I$89,3,0)*0.475*44/12</f>
        <v>24.578405811996095</v>
      </c>
      <c r="AB61" s="21">
        <f>EXP(-LN(2)/2)*AB60+(1-EXP(-LN(2)/2))/(LN(2)/2)*V61*Y61*VLOOKUP('Données projet'!$B$9,Paramètres!$A$1:$I$89,3,0)*0.475*44/12</f>
        <v>7.3752402841116755E-5</v>
      </c>
      <c r="AC61" s="22">
        <f t="shared" si="3"/>
        <v>110.35373152051886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-1.2</v>
      </c>
      <c r="AI61" s="13">
        <f>IF('Données projet'!$A$62&gt;35,AI60+AH61-AQ60,IF(A61&lt;'Données projet'!$A$62,$AF$205^A61,IF(A61='Données projet'!$A$62,'Données projet'!$B$62,AI60+AH61-AQ60)))</f>
        <v>306.40000000000003</v>
      </c>
      <c r="AJ61" s="13">
        <f>AI61*VLOOKUP('Données projet'!$B$10,Paramètres!$A$1:$I$89,3,0)*VLOOKUP('Données projet'!$B$10,Paramètres!$A$1:$I$89,5,0)</f>
        <v>191.1936</v>
      </c>
      <c r="AK61" s="13">
        <f t="shared" si="35"/>
        <v>47.803744606701216</v>
      </c>
      <c r="AL61" s="20">
        <f t="shared" si="4"/>
        <v>416.25370852333799</v>
      </c>
      <c r="AM61" s="59">
        <f t="shared" si="5"/>
        <v>709.58704185667125</v>
      </c>
      <c r="AN61" s="59">
        <f ca="1">AVERAGE(OFFSET($AM$3,0,0,'Données projet'!$E$10+1,1))-AVERAGE(OFFSET($H$3,0,0,'Données projet'!$E$10+1,1))</f>
        <v>282.98219518929034</v>
      </c>
      <c r="AO61" s="59">
        <f t="shared" si="36"/>
        <v>205.95652510682322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39.820091688079742</v>
      </c>
      <c r="AV61" s="21">
        <f>EXP(-LN(2)/25)*AV60+(1-EXP(-LN(2)/25))/(LN(2)/25)*Calculateur!AQ61*Calculateur!AS61*VLOOKUP('Données projet'!$B$10,Paramètres!$A$1:$I$89,3,0)*0.475*44/12</f>
        <v>22.349506866303248</v>
      </c>
      <c r="AW61" s="21">
        <f>EXP(-LN(2)/2)*AW60+(1-EXP(-LN(2)/2))/(LN(2)/2)*AQ61*AT61*VLOOKUP('Données projet'!$B$10,Paramètres!$A$1:$I$89,3,0)*0.475*44/12</f>
        <v>6.1368179148707817E-4</v>
      </c>
      <c r="AX61" s="21">
        <f t="shared" si="6"/>
        <v>62.170212236174471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0.2</v>
      </c>
      <c r="BD61" s="12">
        <f>IF('Données projet'!$A$88&gt;35,BD60+BC61-BL60,IF(A61&lt;'Données projet'!$A$88,$BA$205^A61,IF(A61='Données projet'!$A$88,'Données projet'!$B$88,BD60+BC61-BL60)))</f>
        <v>279.60000000000008</v>
      </c>
      <c r="BE61" s="13">
        <f>BD61*VLOOKUP('Données projet'!$B$11,Paramètres!$A$1:$I$89,3,0)*VLOOKUP('Données projet'!$B$11,Paramètres!$A$1:$I$89,5,0)</f>
        <v>226.81152000000009</v>
      </c>
      <c r="BF61" s="13">
        <f t="shared" si="37"/>
        <v>55.592698473830737</v>
      </c>
      <c r="BG61" s="20">
        <f t="shared" si="7"/>
        <v>491.85401384192204</v>
      </c>
      <c r="BH61" s="59">
        <f t="shared" si="8"/>
        <v>785.18734717525535</v>
      </c>
      <c r="BI61" s="59">
        <f ca="1">AVERAGE(OFFSET($BH$3,0,0,'Données projet'!$E$11+1,1))-AVERAGE(OFFSET($H$3,0,0,'Données projet'!$E$11+1,1))</f>
        <v>293.14894570672351</v>
      </c>
      <c r="BJ61" s="59">
        <f t="shared" si="38"/>
        <v>252.47559879720762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40.277892104047687</v>
      </c>
      <c r="BQ61" s="21">
        <f>EXP(-LN(2)/25)*BQ60+(1-EXP(-LN(2)/25))/(LN(2)/25)*Calculateur!BL61*Calculateur!BN61*VLOOKUP('Données projet'!$B$11,Paramètres!$A$1:$I$89,3,0)*0.475*44/12</f>
        <v>5.9105551911244536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46.188447295172139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11.4</v>
      </c>
      <c r="N62" s="13">
        <f>IF('Données projet'!$A$36&gt;35,N61+M62-V61,IF(A62&lt;'Données projet'!$A$36,$K$205^A62,IF(A62='Données projet'!$A$36,'Données projet'!$B$36,N61+M62-V61)))</f>
        <v>625.5999999999998</v>
      </c>
      <c r="O62" s="13">
        <f>N62*VLOOKUP('Données projet'!$B$9,Paramètres!$A$1:$I$89,3,0)*VLOOKUP('Données projet'!$B$9,Paramètres!$A$1:$I$89,5,0)</f>
        <v>349.71039999999994</v>
      </c>
      <c r="P62" s="13">
        <f t="shared" si="33"/>
        <v>81.502876717883353</v>
      </c>
      <c r="Q62" s="20">
        <f t="shared" si="53"/>
        <v>751.02979028364678</v>
      </c>
      <c r="R62" s="59">
        <f t="shared" si="0"/>
        <v>1044.3631236169801</v>
      </c>
      <c r="S62" s="59">
        <f ca="1">AVERAGE(OFFSET($R$3,0,0,'Données projet'!$E$9+1,1))-AVERAGE(OFFSET($H$3,0,0,'Données projet'!$E$9+1,1))</f>
        <v>381.58561971183832</v>
      </c>
      <c r="T62" s="59">
        <f t="shared" si="34"/>
        <v>444.55874959426347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84.093251582998164</v>
      </c>
      <c r="AA62" s="21">
        <f>EXP(-LN(2)/25)*AA61+(1-EXP(-LN(2)/25))/(LN(2)/25)*Calculateur!V62*Calculateur!X62*VLOOKUP('Données projet'!$B$9,Paramètres!$A$1:$I$89,3,0)*0.475*44/12</f>
        <v>23.906308012544876</v>
      </c>
      <c r="AB62" s="21">
        <f>EXP(-LN(2)/2)*AB61+(1-EXP(-LN(2)/2))/(LN(2)/2)*V62*Y62*VLOOKUP('Données projet'!$B$9,Paramètres!$A$1:$I$89,3,0)*0.475*44/12</f>
        <v>5.2150824177755652E-5</v>
      </c>
      <c r="AC62" s="22">
        <f t="shared" si="3"/>
        <v>107.99961174636722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-1.2</v>
      </c>
      <c r="AI62" s="13">
        <f>IF('Données projet'!$A$62&gt;35,AI61+AH62-AQ61,IF(A62&lt;'Données projet'!$A$62,$AF$205^A62,IF(A62='Données projet'!$A$62,'Données projet'!$B$62,AI61+AH62-AQ61)))</f>
        <v>305.20000000000005</v>
      </c>
      <c r="AJ62" s="13">
        <f>AI62*VLOOKUP('Données projet'!$B$10,Paramètres!$A$1:$I$89,3,0)*VLOOKUP('Données projet'!$B$10,Paramètres!$A$1:$I$89,5,0)</f>
        <v>190.44480000000001</v>
      </c>
      <c r="AK62" s="13">
        <f t="shared" si="35"/>
        <v>47.638278428909231</v>
      </c>
      <c r="AL62" s="20">
        <f t="shared" si="4"/>
        <v>414.66136159701688</v>
      </c>
      <c r="AM62" s="59">
        <f t="shared" si="5"/>
        <v>707.99469493035019</v>
      </c>
      <c r="AN62" s="59">
        <f ca="1">AVERAGE(OFFSET($AM$3,0,0,'Données projet'!$E$10+1,1))-AVERAGE(OFFSET($H$3,0,0,'Données projet'!$E$10+1,1))</f>
        <v>282.98219518929034</v>
      </c>
      <c r="AO62" s="59">
        <f t="shared" si="36"/>
        <v>205.95652510682322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39.039243977934198</v>
      </c>
      <c r="AV62" s="21">
        <f>EXP(-LN(2)/25)*AV61+(1-EXP(-LN(2)/25))/(LN(2)/25)*Calculateur!AQ62*Calculateur!AS62*VLOOKUP('Données projet'!$B$10,Paramètres!$A$1:$I$89,3,0)*0.475*44/12</f>
        <v>21.738358425734699</v>
      </c>
      <c r="AW62" s="21">
        <f>EXP(-LN(2)/2)*AW61+(1-EXP(-LN(2)/2))/(LN(2)/2)*AQ62*AT62*VLOOKUP('Données projet'!$B$10,Paramètres!$A$1:$I$89,3,0)*0.475*44/12</f>
        <v>4.3393855625122187E-4</v>
      </c>
      <c r="AX62" s="21">
        <f t="shared" si="6"/>
        <v>60.778036342225143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0.2</v>
      </c>
      <c r="BD62" s="12">
        <f>IF('Données projet'!$A$88&gt;35,BD61+BC62-BL61,IF(A62&lt;'Données projet'!$A$88,$BA$205^A62,IF(A62='Données projet'!$A$88,'Données projet'!$B$88,BD61+BC62-BL61)))</f>
        <v>279.80000000000007</v>
      </c>
      <c r="BE62" s="13">
        <f>BD62*VLOOKUP('Données projet'!$B$11,Paramètres!$A$1:$I$89,3,0)*VLOOKUP('Données projet'!$B$11,Paramètres!$A$1:$I$89,5,0)</f>
        <v>226.97376000000006</v>
      </c>
      <c r="BF62" s="13">
        <f t="shared" si="37"/>
        <v>55.627834141881223</v>
      </c>
      <c r="BG62" s="20">
        <f t="shared" si="7"/>
        <v>492.19777646377651</v>
      </c>
      <c r="BH62" s="59">
        <f t="shared" si="8"/>
        <v>785.53110979710982</v>
      </c>
      <c r="BI62" s="59">
        <f ca="1">AVERAGE(OFFSET($BH$3,0,0,'Données projet'!$E$11+1,1))-AVERAGE(OFFSET($H$3,0,0,'Données projet'!$E$11+1,1))</f>
        <v>293.14894570672351</v>
      </c>
      <c r="BJ62" s="59">
        <f t="shared" si="38"/>
        <v>252.47559879720762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39.4880672069757</v>
      </c>
      <c r="BQ62" s="21">
        <f>EXP(-LN(2)/25)*BQ61+(1-EXP(-LN(2)/25))/(LN(2)/25)*Calculateur!BL62*Calculateur!BN62*VLOOKUP('Données projet'!$B$11,Paramètres!$A$1:$I$89,3,0)*0.475*44/12</f>
        <v>5.748930748600567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45.236997955576264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637</v>
      </c>
      <c r="L63" s="12">
        <f>VLOOKUP(A63,'Données projet'!$A$35:$I$55,9,0)</f>
        <v>11.4</v>
      </c>
      <c r="M63" s="12">
        <f t="array" ref="M63">INDEX(L:L,MIN(IF(ISNUMBER(L63:L259),ROW(L63:L259),"")))</f>
        <v>11.4</v>
      </c>
      <c r="N63" s="13">
        <f>IF('Données projet'!$A$36&gt;35,N62+M63-V62,IF(A63&lt;'Données projet'!$A$36,$K$205^A63,IF(A63='Données projet'!$A$36,'Données projet'!$B$36,N62+M63-V62)))</f>
        <v>636.99999999999977</v>
      </c>
      <c r="O63" s="13">
        <f>N63*VLOOKUP('Données projet'!$B$9,Paramètres!$A$1:$I$89,3,0)*VLOOKUP('Données projet'!$B$9,Paramètres!$A$1:$I$89,5,0)</f>
        <v>356.08299999999991</v>
      </c>
      <c r="P63" s="13">
        <f t="shared" si="33"/>
        <v>82.813805255716545</v>
      </c>
      <c r="Q63" s="20">
        <f t="shared" si="53"/>
        <v>764.41193582037283</v>
      </c>
      <c r="R63" s="59">
        <f t="shared" si="0"/>
        <v>1057.7452691537062</v>
      </c>
      <c r="S63" s="59">
        <f ca="1">AVERAGE(OFFSET($R$3,0,0,'Données projet'!$E$9+1,1))-AVERAGE(OFFSET($H$3,0,0,'Données projet'!$E$9+1,1))</f>
        <v>381.58561971183832</v>
      </c>
      <c r="T63" s="59">
        <f t="shared" si="34"/>
        <v>444.55874959426347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29</v>
      </c>
      <c r="W63" s="16">
        <f>IF(ISNA(VLOOKUP(A63,'Données projet'!$A$35:$I$55,5,0)),0%,VLOOKUP(A63,'Données projet'!$A$35:$I$55,5,0)*VLOOKUP('Données projet'!$B$9,Paramètres!$A$1:$I$89,7,0))</f>
        <v>0.44000000000000006</v>
      </c>
      <c r="X63" s="16">
        <f>IF(ISNA(VLOOKUP(A63,'Données projet'!$A$35:$I$55,6,0)),0%,VLOOKUP(A63,'Données projet'!$A$35:$I$55,6,0)*VLOOKUP('Données projet'!$B$9,Paramètres!$A$1:$I$89,7,0))</f>
        <v>0.11000000000000001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91.906406221611761</v>
      </c>
      <c r="AA63" s="21">
        <f>EXP(-LN(2)/25)*AA62+(1-EXP(-LN(2)/25))/(LN(2)/25)*Calculateur!V63*Calculateur!X63*VLOOKUP('Données projet'!$B$9,Paramètres!$A$1:$I$89,3,0)*0.475*44/12</f>
        <v>25.608817721204357</v>
      </c>
      <c r="AB63" s="21">
        <f>EXP(-LN(2)/2)*AB62+(1-EXP(-LN(2)/2))/(LN(2)/2)*V63*Y63*VLOOKUP('Données projet'!$B$9,Paramètres!$A$1:$I$89,3,0)*0.475*44/12</f>
        <v>3.6876201420558378E-5</v>
      </c>
      <c r="AC63" s="22">
        <f t="shared" si="3"/>
        <v>117.51526081901754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-1.2</v>
      </c>
      <c r="AH63" s="12">
        <f t="array" ref="AH63">INDEX(AG:AG,MIN(IF(ISNUMBER(AG63:AG259),ROW(AG63:AG259),"")))</f>
        <v>-1.2</v>
      </c>
      <c r="AI63" s="13">
        <f>IF('Données projet'!$A$62&gt;35,AI62+AH63-AQ62,IF(A63&lt;'Données projet'!$A$62,$AF$205^A63,IF(A63='Données projet'!$A$62,'Données projet'!$B$62,AI62+AH63-AQ62)))</f>
        <v>304.00000000000006</v>
      </c>
      <c r="AJ63" s="13">
        <f>AI63*VLOOKUP('Données projet'!$B$10,Paramètres!$A$1:$I$89,3,0)*VLOOKUP('Données projet'!$B$10,Paramètres!$A$1:$I$89,5,0)</f>
        <v>189.69600000000003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282.98219518929034</v>
      </c>
      <c r="AO63" s="59">
        <f t="shared" si="36"/>
        <v>205.95652510682322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47</v>
      </c>
      <c r="AR63" s="16">
        <f>IF(ISNA(VLOOKUP(A63,'Données projet'!$A$61:$I$81,5,0)),0%,VLOOKUP(A63,'Données projet'!$A$61:$I$81,5,0)*VLOOKUP('Données projet'!$B$10,Paramètres!$A$1:$I$89,7,0))</f>
        <v>0.48</v>
      </c>
      <c r="AS63" s="16">
        <f>IF(ISNA(VLOOKUP(A63,'Données projet'!$A$61:$I$81,6,0)),0%,VLOOKUP(A63,'Données projet'!$A$61:$I$81,6,0)*VLOOKUP('Données projet'!$B$10,Paramètres!$A$1:$I$89,7,0))</f>
        <v>0.12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56.948339742697343</v>
      </c>
      <c r="AV63" s="21">
        <f>EXP(-LN(2)/25)*AV62+(1-EXP(-LN(2)/25))/(LN(2)/25)*Calculateur!AQ63*Calculateur!AS63*VLOOKUP('Données projet'!$B$10,Paramètres!$A$1:$I$89,3,0)*0.475*44/12</f>
        <v>25.79419746832896</v>
      </c>
      <c r="AW63" s="21">
        <f>EXP(-LN(2)/2)*AW62+(1-EXP(-LN(2)/2))/(LN(2)/2)*AQ63*AT63*VLOOKUP('Données projet'!$B$10,Paramètres!$A$1:$I$89,3,0)*0.475*44/12</f>
        <v>3.0684089574353909E-4</v>
      </c>
      <c r="AX63" s="21">
        <f t="shared" si="6"/>
        <v>82.742844051922049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280</v>
      </c>
      <c r="BB63" s="12">
        <f>VLOOKUP(A63,'Données projet'!$A$87:$I$107,9,0)</f>
        <v>0.2</v>
      </c>
      <c r="BC63" s="12">
        <f t="array" ref="BC63">INDEX(BB:BB,MIN(IF(ISNUMBER(BB63:BB259),ROW(BB63:BB259),"")))</f>
        <v>0.2</v>
      </c>
      <c r="BD63" s="12">
        <f>IF('Données projet'!$A$88&gt;35,BD62+BC63-BL62,IF(A63&lt;'Données projet'!$A$88,$BA$205^A63,IF(A63='Données projet'!$A$88,'Données projet'!$B$88,BD62+BC63-BL62)))</f>
        <v>280.00000000000006</v>
      </c>
      <c r="BE63" s="13">
        <f>BD63*VLOOKUP('Données projet'!$B$11,Paramètres!$A$1:$I$89,3,0)*VLOOKUP('Données projet'!$B$11,Paramètres!$A$1:$I$89,5,0)</f>
        <v>227.13600000000005</v>
      </c>
      <c r="BF63" s="13">
        <f t="shared" si="37"/>
        <v>55.662966886685133</v>
      </c>
      <c r="BG63" s="20">
        <f t="shared" si="7"/>
        <v>492.54153399430999</v>
      </c>
      <c r="BH63" s="59">
        <f t="shared" si="8"/>
        <v>785.8748673276433</v>
      </c>
      <c r="BI63" s="59">
        <f ca="1">AVERAGE(OFFSET($BH$3,0,0,'Données projet'!$E$11+1,1))-AVERAGE(OFFSET($H$3,0,0,'Données projet'!$E$11+1,1))</f>
        <v>293.14894570672351</v>
      </c>
      <c r="BJ63" s="59">
        <f t="shared" si="38"/>
        <v>252.47559879720762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0.34400000000000003</v>
      </c>
      <c r="BN63" s="16">
        <f>IF(ISNA(VLOOKUP(A63,'Données projet'!$A$87:$I$107,6,0)),0%,VLOOKUP(A63,'Données projet'!$A$87:$I$107,6,0)*VLOOKUP('Données projet'!$B$11,Paramètres!$A$1:$I$89,7,0))</f>
        <v>8.6000000000000007E-2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47.968268436161644</v>
      </c>
      <c r="BQ63" s="21">
        <f>EXP(-LN(2)/25)*BQ62+(1-EXP(-LN(2)/25))/(LN(2)/25)*Calculateur!BL63*Calculateur!BN63*VLOOKUP('Données projet'!$B$11,Paramètres!$A$1:$I$89,3,0)*0.475*44/12</f>
        <v>7.8962508096700388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55.86451924583168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607.99999999999977</v>
      </c>
      <c r="O64" s="13">
        <f>N64*VLOOKUP('Données projet'!$B$9,Paramètres!$A$1:$I$89,3,0)*VLOOKUP('Données projet'!$B$9,Paramètres!$A$1:$I$89,5,0)</f>
        <v>339.87199999999984</v>
      </c>
      <c r="P64" s="13">
        <f t="shared" si="33"/>
        <v>79.473500231862786</v>
      </c>
      <c r="Q64" s="20">
        <f t="shared" si="53"/>
        <v>730.36007957049412</v>
      </c>
      <c r="R64" s="59">
        <f t="shared" si="0"/>
        <v>1023.6934129038275</v>
      </c>
      <c r="S64" s="59">
        <f ca="1">AVERAGE(OFFSET($R$3,0,0,'Données projet'!$E$9+1,1))-AVERAGE(OFFSET($H$3,0,0,'Données projet'!$E$9+1,1))</f>
        <v>381.58561971183832</v>
      </c>
      <c r="T64" s="59">
        <f t="shared" si="34"/>
        <v>444.55874959426347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90.104177652978549</v>
      </c>
      <c r="AA64" s="21">
        <f>EXP(-LN(2)/25)*AA63+(1-EXP(-LN(2)/25))/(LN(2)/25)*Calculateur!V64*Calculateur!X64*VLOOKUP('Données projet'!$B$9,Paramètres!$A$1:$I$89,3,0)*0.475*44/12</f>
        <v>24.908543253908828</v>
      </c>
      <c r="AB64" s="21">
        <f>EXP(-LN(2)/2)*AB63+(1-EXP(-LN(2)/2))/(LN(2)/2)*V64*Y64*VLOOKUP('Données projet'!$B$9,Paramètres!$A$1:$I$89,3,0)*0.475*44/12</f>
        <v>2.6075412088877826E-5</v>
      </c>
      <c r="AC64" s="22">
        <f t="shared" si="3"/>
        <v>115.01274698229948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16.8</v>
      </c>
      <c r="AI64" s="13">
        <f>IF('Données projet'!$A$62&gt;35,AI63+AH64-AQ63,IF(A64&lt;'Données projet'!$A$62,$AF$205^A64,IF(A64='Données projet'!$A$62,'Données projet'!$B$62,AI63+AH64-AQ63)))</f>
        <v>273.80000000000007</v>
      </c>
      <c r="AJ64" s="13">
        <f>AI64*VLOOKUP('Données projet'!$B$10,Paramètres!$A$1:$I$89,3,0)*VLOOKUP('Données projet'!$B$10,Paramètres!$A$1:$I$89,5,0)</f>
        <v>170.85120000000006</v>
      </c>
      <c r="AK64" s="13">
        <f t="shared" si="35"/>
        <v>43.280608618134067</v>
      </c>
      <c r="AL64" s="20">
        <f t="shared" si="4"/>
        <v>372.94623334325024</v>
      </c>
      <c r="AM64" s="59">
        <f t="shared" si="5"/>
        <v>666.2795666765835</v>
      </c>
      <c r="AN64" s="59">
        <f ca="1">AVERAGE(OFFSET($AM$3,0,0,'Données projet'!$E$10+1,1))-AVERAGE(OFFSET($H$3,0,0,'Données projet'!$E$10+1,1))</f>
        <v>282.98219518929034</v>
      </c>
      <c r="AO64" s="59">
        <f t="shared" si="36"/>
        <v>205.95652510682322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55.83161753540049</v>
      </c>
      <c r="AV64" s="21">
        <f>EXP(-LN(2)/25)*AV63+(1-EXP(-LN(2)/25))/(LN(2)/25)*Calculateur!AQ64*Calculateur!AS64*VLOOKUP('Données projet'!$B$10,Paramètres!$A$1:$I$89,3,0)*0.475*44/12</f>
        <v>25.088853782099612</v>
      </c>
      <c r="AW64" s="21">
        <f>EXP(-LN(2)/2)*AW63+(1-EXP(-LN(2)/2))/(LN(2)/2)*AQ64*AT64*VLOOKUP('Données projet'!$B$10,Paramètres!$A$1:$I$89,3,0)*0.475*44/12</f>
        <v>2.1696927812561094E-4</v>
      </c>
      <c r="AX64" s="21">
        <f t="shared" si="6"/>
        <v>80.92068828677823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11.2</v>
      </c>
      <c r="BD64" s="12">
        <f>IF('Données projet'!$A$88&gt;35,BD63+BC64-BL63,IF(A64&lt;'Données projet'!$A$88,$BA$205^A64,IF(A64='Données projet'!$A$88,'Données projet'!$B$88,BD63+BC64-BL63)))</f>
        <v>261.20000000000005</v>
      </c>
      <c r="BE64" s="13">
        <f>BD64*VLOOKUP('Données projet'!$B$11,Paramètres!$A$1:$I$89,3,0)*VLOOKUP('Données projet'!$B$11,Paramètres!$A$1:$I$89,5,0)</f>
        <v>211.88544000000007</v>
      </c>
      <c r="BF64" s="13">
        <f t="shared" si="37"/>
        <v>52.347387197875868</v>
      </c>
      <c r="BG64" s="20">
        <f t="shared" si="7"/>
        <v>460.20550736963395</v>
      </c>
      <c r="BH64" s="59">
        <f t="shared" si="8"/>
        <v>753.53884070296726</v>
      </c>
      <c r="BI64" s="59">
        <f ca="1">AVERAGE(OFFSET($BH$3,0,0,'Données projet'!$E$11+1,1))-AVERAGE(OFFSET($H$3,0,0,'Données projet'!$E$11+1,1))</f>
        <v>293.14894570672351</v>
      </c>
      <c r="BJ64" s="59">
        <f t="shared" si="38"/>
        <v>252.47559879720762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47.027639949883294</v>
      </c>
      <c r="BQ64" s="21">
        <f>EXP(-LN(2)/25)*BQ63+(1-EXP(-LN(2)/25))/(LN(2)/25)*Calculateur!BL64*Calculateur!BN64*VLOOKUP('Données projet'!$B$11,Paramètres!$A$1:$I$89,3,0)*0.475*44/12</f>
        <v>7.6803274160338288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54.707967365917121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607.99999999999977</v>
      </c>
      <c r="O65" s="13">
        <f>N65*VLOOKUP('Données projet'!$B$9,Paramètres!$A$1:$I$89,3,0)*VLOOKUP('Données projet'!$B$9,Paramètres!$A$1:$I$89,5,0)</f>
        <v>339.87199999999984</v>
      </c>
      <c r="P65" s="13">
        <f t="shared" si="33"/>
        <v>79.473500231862786</v>
      </c>
      <c r="Q65" s="20">
        <f t="shared" si="53"/>
        <v>730.36007957049412</v>
      </c>
      <c r="R65" s="59">
        <f t="shared" si="0"/>
        <v>1023.6934129038275</v>
      </c>
      <c r="S65" s="59">
        <f ca="1">AVERAGE(OFFSET($R$3,0,0,'Données projet'!$E$9+1,1))-AVERAGE(OFFSET($H$3,0,0,'Données projet'!$E$9+1,1))</f>
        <v>381.58561971183832</v>
      </c>
      <c r="T65" s="59">
        <f t="shared" si="34"/>
        <v>444.55874959426347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88.337289687325338</v>
      </c>
      <c r="AA65" s="21">
        <f>EXP(-LN(2)/25)*AA64+(1-EXP(-LN(2)/25))/(LN(2)/25)*Calculateur!V65*Calculateur!X65*VLOOKUP('Données projet'!$B$9,Paramètres!$A$1:$I$89,3,0)*0.475*44/12</f>
        <v>24.227417828747331</v>
      </c>
      <c r="AB65" s="21">
        <f>EXP(-LN(2)/2)*AB64+(1-EXP(-LN(2)/2))/(LN(2)/2)*V65*Y65*VLOOKUP('Données projet'!$B$9,Paramètres!$A$1:$I$89,3,0)*0.475*44/12</f>
        <v>1.8438100710279189E-5</v>
      </c>
      <c r="AC65" s="22">
        <f t="shared" si="3"/>
        <v>112.56472595417338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16.8</v>
      </c>
      <c r="AI65" s="13">
        <f>IF('Données projet'!$A$62&gt;35,AI64+AH65-AQ64,IF(A65&lt;'Données projet'!$A$62,$AF$205^A65,IF(A65='Données projet'!$A$62,'Données projet'!$B$62,AI64+AH65-AQ64)))</f>
        <v>290.60000000000008</v>
      </c>
      <c r="AJ65" s="13">
        <f>AI65*VLOOKUP('Données projet'!$B$10,Paramètres!$A$1:$I$89,3,0)*VLOOKUP('Données projet'!$B$10,Paramètres!$A$1:$I$89,5,0)</f>
        <v>181.33440000000004</v>
      </c>
      <c r="AK65" s="13">
        <f t="shared" si="35"/>
        <v>45.618937843287348</v>
      </c>
      <c r="AL65" s="20">
        <f t="shared" si="4"/>
        <v>395.2770634103922</v>
      </c>
      <c r="AM65" s="59">
        <f t="shared" si="5"/>
        <v>688.61039674372546</v>
      </c>
      <c r="AN65" s="59">
        <f ca="1">AVERAGE(OFFSET($AM$3,0,0,'Données projet'!$E$10+1,1))-AVERAGE(OFFSET($H$3,0,0,'Données projet'!$E$10+1,1))</f>
        <v>282.98219518929034</v>
      </c>
      <c r="AO65" s="59">
        <f t="shared" si="36"/>
        <v>205.95652510682322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54.736793569455436</v>
      </c>
      <c r="AV65" s="21">
        <f>EXP(-LN(2)/25)*AV64+(1-EXP(-LN(2)/25))/(LN(2)/25)*Calculateur!AQ65*Calculateur!AS65*VLOOKUP('Données projet'!$B$10,Paramètres!$A$1:$I$89,3,0)*0.475*44/12</f>
        <v>24.402797756062618</v>
      </c>
      <c r="AW65" s="21">
        <f>EXP(-LN(2)/2)*AW64+(1-EXP(-LN(2)/2))/(LN(2)/2)*AQ65*AT65*VLOOKUP('Données projet'!$B$10,Paramètres!$A$1:$I$89,3,0)*0.475*44/12</f>
        <v>1.5342044787176954E-4</v>
      </c>
      <c r="AX65" s="21">
        <f t="shared" si="6"/>
        <v>79.139744745965928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11.2</v>
      </c>
      <c r="BD65" s="12">
        <f>IF('Données projet'!$A$88&gt;35,BD64+BC65-BL64,IF(A65&lt;'Données projet'!$A$88,$BA$205^A65,IF(A65='Données projet'!$A$88,'Données projet'!$B$88,BD64+BC65-BL64)))</f>
        <v>272.40000000000003</v>
      </c>
      <c r="BE65" s="13">
        <f>BD65*VLOOKUP('Données projet'!$B$11,Paramètres!$A$1:$I$89,3,0)*VLOOKUP('Données projet'!$B$11,Paramètres!$A$1:$I$89,5,0)</f>
        <v>220.97088000000005</v>
      </c>
      <c r="BF65" s="13">
        <f t="shared" si="37"/>
        <v>54.325847582724847</v>
      </c>
      <c r="BG65" s="20">
        <f t="shared" si="7"/>
        <v>479.4751338732458</v>
      </c>
      <c r="BH65" s="59">
        <f t="shared" si="8"/>
        <v>772.80846720657905</v>
      </c>
      <c r="BI65" s="59">
        <f ca="1">AVERAGE(OFFSET($BH$3,0,0,'Données projet'!$E$11+1,1))-AVERAGE(OFFSET($H$3,0,0,'Données projet'!$E$11+1,1))</f>
        <v>293.14894570672351</v>
      </c>
      <c r="BJ65" s="59">
        <f t="shared" si="38"/>
        <v>252.47559879720762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46.105456614494138</v>
      </c>
      <c r="BQ65" s="21">
        <f>EXP(-LN(2)/25)*BQ64+(1-EXP(-LN(2)/25))/(LN(2)/25)*Calculateur!BL65*Calculateur!BN65*VLOOKUP('Données projet'!$B$11,Paramètres!$A$1:$I$89,3,0)*0.475*44/12</f>
        <v>7.4703084589515187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53.575765073445659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607.99999999999977</v>
      </c>
      <c r="O66" s="13">
        <f>N66*VLOOKUP('Données projet'!$B$9,Paramètres!$A$1:$I$89,3,0)*VLOOKUP('Données projet'!$B$9,Paramètres!$A$1:$I$89,5,0)</f>
        <v>339.87199999999984</v>
      </c>
      <c r="P66" s="13">
        <f t="shared" si="33"/>
        <v>79.473500231862786</v>
      </c>
      <c r="Q66" s="20">
        <f t="shared" si="53"/>
        <v>730.36007957049412</v>
      </c>
      <c r="R66" s="59">
        <f t="shared" si="0"/>
        <v>1023.6934129038275</v>
      </c>
      <c r="S66" s="59">
        <f ca="1">AVERAGE(OFFSET($R$3,0,0,'Données projet'!$E$9+1,1))-AVERAGE(OFFSET($H$3,0,0,'Données projet'!$E$9+1,1))</f>
        <v>381.58561971183832</v>
      </c>
      <c r="T66" s="59">
        <f t="shared" si="34"/>
        <v>444.55874959426347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86.605049316983354</v>
      </c>
      <c r="AA66" s="21">
        <f>EXP(-LN(2)/25)*AA65+(1-EXP(-LN(2)/25))/(LN(2)/25)*Calculateur!V66*Calculateur!X66*VLOOKUP('Données projet'!$B$9,Paramètres!$A$1:$I$89,3,0)*0.475*44/12</f>
        <v>23.564917814155706</v>
      </c>
      <c r="AB66" s="21">
        <f>EXP(-LN(2)/2)*AB65+(1-EXP(-LN(2)/2))/(LN(2)/2)*V66*Y66*VLOOKUP('Données projet'!$B$9,Paramètres!$A$1:$I$89,3,0)*0.475*44/12</f>
        <v>1.3037706044438913E-5</v>
      </c>
      <c r="AC66" s="22">
        <f t="shared" si="3"/>
        <v>110.1699801688451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16.8</v>
      </c>
      <c r="AI66" s="13">
        <f>IF('Données projet'!$A$62&gt;35,AI65+AH66-AQ65,IF(A66&lt;'Données projet'!$A$62,$AF$205^A66,IF(A66='Données projet'!$A$62,'Données projet'!$B$62,AI65+AH66-AQ65)))</f>
        <v>307.40000000000009</v>
      </c>
      <c r="AJ66" s="13">
        <f>AI66*VLOOKUP('Données projet'!$B$10,Paramètres!$A$1:$I$89,3,0)*VLOOKUP('Données projet'!$B$10,Paramètres!$A$1:$I$89,5,0)</f>
        <v>191.81760000000008</v>
      </c>
      <c r="AK66" s="13">
        <f t="shared" si="35"/>
        <v>47.941575465657138</v>
      </c>
      <c r="AL66" s="20">
        <f t="shared" si="4"/>
        <v>417.58056393601964</v>
      </c>
      <c r="AM66" s="59">
        <f t="shared" si="5"/>
        <v>710.9138972693529</v>
      </c>
      <c r="AN66" s="59">
        <f ca="1">AVERAGE(OFFSET($AM$3,0,0,'Données projet'!$E$10+1,1))-AVERAGE(OFFSET($H$3,0,0,'Données projet'!$E$10+1,1))</f>
        <v>282.98219518929034</v>
      </c>
      <c r="AO66" s="59">
        <f t="shared" si="36"/>
        <v>205.95652510682322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53.663438433705885</v>
      </c>
      <c r="AV66" s="21">
        <f>EXP(-LN(2)/25)*AV65+(1-EXP(-LN(2)/25))/(LN(2)/25)*Calculateur!AQ66*Calculateur!AS66*VLOOKUP('Données projet'!$B$10,Paramètres!$A$1:$I$89,3,0)*0.475*44/12</f>
        <v>23.735501968135726</v>
      </c>
      <c r="AW66" s="21">
        <f>EXP(-LN(2)/2)*AW65+(1-EXP(-LN(2)/2))/(LN(2)/2)*AQ66*AT66*VLOOKUP('Données projet'!$B$10,Paramètres!$A$1:$I$89,3,0)*0.475*44/12</f>
        <v>1.0848463906280547E-4</v>
      </c>
      <c r="AX66" s="21">
        <f t="shared" si="6"/>
        <v>77.399048886480671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11.2</v>
      </c>
      <c r="BD66" s="12">
        <f>IF('Données projet'!$A$88&gt;35,BD65+BC66-BL65,IF(A66&lt;'Données projet'!$A$88,$BA$205^A66,IF(A66='Données projet'!$A$88,'Données projet'!$B$88,BD65+BC66-BL65)))</f>
        <v>283.60000000000002</v>
      </c>
      <c r="BE66" s="13">
        <f>BD66*VLOOKUP('Données projet'!$B$11,Paramètres!$A$1:$I$89,3,0)*VLOOKUP('Données projet'!$B$11,Paramètres!$A$1:$I$89,5,0)</f>
        <v>230.05632000000003</v>
      </c>
      <c r="BF66" s="13">
        <f t="shared" si="37"/>
        <v>56.294859058369248</v>
      </c>
      <c r="BG66" s="20">
        <f t="shared" si="7"/>
        <v>498.72830352665977</v>
      </c>
      <c r="BH66" s="59">
        <f t="shared" si="8"/>
        <v>792.06163685999309</v>
      </c>
      <c r="BI66" s="59">
        <f ca="1">AVERAGE(OFFSET($BH$3,0,0,'Données projet'!$E$11+1,1))-AVERAGE(OFFSET($H$3,0,0,'Données projet'!$E$11+1,1))</f>
        <v>293.14894570672351</v>
      </c>
      <c r="BJ66" s="59">
        <f t="shared" si="38"/>
        <v>252.47559879720762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45.201356731835666</v>
      </c>
      <c r="BQ66" s="21">
        <f>EXP(-LN(2)/25)*BQ65+(1-EXP(-LN(2)/25))/(LN(2)/25)*Calculateur!BL66*Calculateur!BN66*VLOOKUP('Données projet'!$B$11,Paramètres!$A$1:$I$89,3,0)*0.475*44/12</f>
        <v>7.2660324812950412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52.467389213130708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607.99999999999977</v>
      </c>
      <c r="O67" s="13">
        <f>N67*VLOOKUP('Données projet'!$B$9,Paramètres!$A$1:$I$89,3,0)*VLOOKUP('Données projet'!$B$9,Paramètres!$A$1:$I$89,5,0)</f>
        <v>339.87199999999984</v>
      </c>
      <c r="P67" s="13">
        <f t="shared" si="33"/>
        <v>79.473500231862786</v>
      </c>
      <c r="Q67" s="20">
        <f t="shared" ref="Q67:Q98" si="54">(O67+P67)*0.475*44/12</f>
        <v>730.36007957049412</v>
      </c>
      <c r="R67" s="59">
        <f t="shared" ref="R67:R130" si="55">Q67+(I67+J67)*44/12</f>
        <v>1023.6934129038275</v>
      </c>
      <c r="S67" s="59">
        <f ca="1">AVERAGE(OFFSET($R$3,0,0,'Données projet'!$E$9+1,1))-AVERAGE(OFFSET($H$3,0,0,'Données projet'!$E$9+1,1))</f>
        <v>381.58561971183832</v>
      </c>
      <c r="T67" s="59">
        <f t="shared" si="34"/>
        <v>444.55874959426347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84.906777123741477</v>
      </c>
      <c r="AA67" s="21">
        <f>EXP(-LN(2)/25)*AA66+(1-EXP(-LN(2)/25))/(LN(2)/25)*Calculateur!V67*Calculateur!X67*VLOOKUP('Données projet'!$B$9,Paramètres!$A$1:$I$89,3,0)*0.475*44/12</f>
        <v>22.920533897302448</v>
      </c>
      <c r="AB67" s="21">
        <f>EXP(-LN(2)/2)*AB66+(1-EXP(-LN(2)/2))/(LN(2)/2)*V67*Y67*VLOOKUP('Données projet'!$B$9,Paramètres!$A$1:$I$89,3,0)*0.475*44/12</f>
        <v>9.2190503551395944E-6</v>
      </c>
      <c r="AC67" s="22">
        <f t="shared" si="3"/>
        <v>107.82732024009428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16.8</v>
      </c>
      <c r="AI67" s="13">
        <f>IF('Données projet'!$A$62&gt;35,AI66+AH67-AQ66,IF(A67&lt;'Données projet'!$A$62,$AF$205^A67,IF(A67='Données projet'!$A$62,'Données projet'!$B$62,AI66+AH67-AQ66)))</f>
        <v>324.2000000000001</v>
      </c>
      <c r="AJ67" s="13">
        <f>AI67*VLOOKUP('Données projet'!$B$10,Paramètres!$A$1:$I$89,3,0)*VLOOKUP('Données projet'!$B$10,Paramètres!$A$1:$I$89,5,0)</f>
        <v>202.30080000000007</v>
      </c>
      <c r="AK67" s="13">
        <f t="shared" si="35"/>
        <v>50.249476820944018</v>
      </c>
      <c r="AL67" s="20">
        <f t="shared" si="4"/>
        <v>439.85839879647762</v>
      </c>
      <c r="AM67" s="59">
        <f t="shared" si="5"/>
        <v>733.19173212981093</v>
      </c>
      <c r="AN67" s="59">
        <f ca="1">AVERAGE(OFFSET($AM$3,0,0,'Données projet'!$E$10+1,1))-AVERAGE(OFFSET($H$3,0,0,'Données projet'!$E$10+1,1))</f>
        <v>282.98219518929034</v>
      </c>
      <c r="AO67" s="59">
        <f t="shared" si="36"/>
        <v>205.95652510682322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52.611131137486396</v>
      </c>
      <c r="AV67" s="21">
        <f>EXP(-LN(2)/25)*AV66+(1-EXP(-LN(2)/25))/(LN(2)/25)*Calculateur!AQ67*Calculateur!AS67*VLOOKUP('Données projet'!$B$10,Paramètres!$A$1:$I$89,3,0)*0.475*44/12</f>
        <v>23.086453418621254</v>
      </c>
      <c r="AW67" s="21">
        <f>EXP(-LN(2)/2)*AW66+(1-EXP(-LN(2)/2))/(LN(2)/2)*AQ67*AT67*VLOOKUP('Données projet'!$B$10,Paramètres!$A$1:$I$89,3,0)*0.475*44/12</f>
        <v>7.6710223935884771E-5</v>
      </c>
      <c r="AX67" s="21">
        <f t="shared" si="6"/>
        <v>75.697661266331579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11.2</v>
      </c>
      <c r="BD67" s="12">
        <f>IF('Données projet'!$A$88&gt;35,BD66+BC67-BL66,IF(A67&lt;'Données projet'!$A$88,$BA$205^A67,IF(A67='Données projet'!$A$88,'Données projet'!$B$88,BD66+BC67-BL66)))</f>
        <v>294.8</v>
      </c>
      <c r="BE67" s="13">
        <f>BD67*VLOOKUP('Données projet'!$B$11,Paramètres!$A$1:$I$89,3,0)*VLOOKUP('Données projet'!$B$11,Paramètres!$A$1:$I$89,5,0)</f>
        <v>239.14176000000003</v>
      </c>
      <c r="BF67" s="13">
        <f t="shared" si="37"/>
        <v>58.25483748326328</v>
      </c>
      <c r="BG67" s="20">
        <f t="shared" si="7"/>
        <v>517.96574061668355</v>
      </c>
      <c r="BH67" s="59">
        <f t="shared" si="8"/>
        <v>811.29907395001692</v>
      </c>
      <c r="BI67" s="59">
        <f ca="1">AVERAGE(OFFSET($BH$3,0,0,'Données projet'!$E$11+1,1))-AVERAGE(OFFSET($H$3,0,0,'Données projet'!$E$11+1,1))</f>
        <v>293.14894570672351</v>
      </c>
      <c r="BJ67" s="59">
        <f t="shared" si="38"/>
        <v>252.47559879720762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44.314985696429652</v>
      </c>
      <c r="BQ67" s="21">
        <f>EXP(-LN(2)/25)*BQ66+(1-EXP(-LN(2)/25))/(LN(2)/25)*Calculateur!BL67*Calculateur!BN67*VLOOKUP('Données projet'!$B$11,Paramètres!$A$1:$I$89,3,0)*0.475*44/12</f>
        <v>7.0673424409899868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51.382328137419641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607.99999999999977</v>
      </c>
      <c r="O68" s="13">
        <f>N68*VLOOKUP('Données projet'!$B$9,Paramètres!$A$1:$I$89,3,0)*VLOOKUP('Données projet'!$B$9,Paramètres!$A$1:$I$89,5,0)</f>
        <v>339.87199999999984</v>
      </c>
      <c r="P68" s="13">
        <f t="shared" si="33"/>
        <v>79.473500231862786</v>
      </c>
      <c r="Q68" s="20">
        <f t="shared" si="54"/>
        <v>730.36007957049412</v>
      </c>
      <c r="R68" s="59">
        <f t="shared" si="55"/>
        <v>1023.6934129038275</v>
      </c>
      <c r="S68" s="59">
        <f ca="1">AVERAGE(OFFSET($R$3,0,0,'Données projet'!$E$9+1,1))-AVERAGE(OFFSET($H$3,0,0,'Données projet'!$E$9+1,1))</f>
        <v>381.58561971183832</v>
      </c>
      <c r="T68" s="59">
        <f t="shared" si="34"/>
        <v>444.55874959426347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83.241807012365314</v>
      </c>
      <c r="AA68" s="21">
        <f>EXP(-LN(2)/25)*AA67+(1-EXP(-LN(2)/25))/(LN(2)/25)*Calculateur!V68*Calculateur!X68*VLOOKUP('Données projet'!$B$9,Paramètres!$A$1:$I$89,3,0)*0.475*44/12</f>
        <v>22.293770692542221</v>
      </c>
      <c r="AB68" s="21">
        <f>EXP(-LN(2)/2)*AB67+(1-EXP(-LN(2)/2))/(LN(2)/2)*V68*Y68*VLOOKUP('Données projet'!$B$9,Paramètres!$A$1:$I$89,3,0)*0.475*44/12</f>
        <v>6.5188530222194565E-6</v>
      </c>
      <c r="AC68" s="22">
        <f t="shared" ref="AC68:AC131" si="57">SUM(Z68:AB68)</f>
        <v>105.53558422376057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341</v>
      </c>
      <c r="AG68" s="12">
        <f>VLOOKUP(A68,'Données projet'!$A$61:$I$81,9,0)</f>
        <v>16.8</v>
      </c>
      <c r="AH68" s="12">
        <f t="array" ref="AH68">INDEX(AG:AG,MIN(IF(ISNUMBER(AG68:AG264),ROW(AG68:AG264),"")))</f>
        <v>16.8</v>
      </c>
      <c r="AI68" s="13">
        <f>IF('Données projet'!$A$62&gt;35,AI67+AH68-AQ67,IF(A68&lt;'Données projet'!$A$62,$AF$205^A68,IF(A68='Données projet'!$A$62,'Données projet'!$B$62,AI67+AH68-AQ67)))</f>
        <v>341.00000000000011</v>
      </c>
      <c r="AJ68" s="13">
        <f>AI68*VLOOKUP('Données projet'!$B$10,Paramètres!$A$1:$I$89,3,0)*VLOOKUP('Données projet'!$B$10,Paramètres!$A$1:$I$89,5,0)</f>
        <v>212.78400000000005</v>
      </c>
      <c r="AK68" s="13">
        <f t="shared" si="35"/>
        <v>52.543492641808108</v>
      </c>
      <c r="AL68" s="20">
        <f t="shared" ref="AL68:AL131" si="58">(AJ68+AK68)*0.475*44/12</f>
        <v>462.11204968448243</v>
      </c>
      <c r="AM68" s="59">
        <f t="shared" ref="AM68:AM131" si="59">AL68+(AD68+AE68)*44/12</f>
        <v>755.44538301781574</v>
      </c>
      <c r="AN68" s="59">
        <f ca="1">AVERAGE(OFFSET($AM$3,0,0,'Données projet'!$E$10+1,1))-AVERAGE(OFFSET($H$3,0,0,'Données projet'!$E$10+1,1))</f>
        <v>282.98219518929034</v>
      </c>
      <c r="AO68" s="59">
        <f t="shared" si="36"/>
        <v>205.95652510682322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51.579458945501692</v>
      </c>
      <c r="AV68" s="21">
        <f>EXP(-LN(2)/25)*AV67+(1-EXP(-LN(2)/25))/(LN(2)/25)*Calculateur!AQ68*Calculateur!AS68*VLOOKUP('Données projet'!$B$10,Paramètres!$A$1:$I$89,3,0)*0.475*44/12</f>
        <v>22.455153135825235</v>
      </c>
      <c r="AW68" s="21">
        <f>EXP(-LN(2)/2)*AW67+(1-EXP(-LN(2)/2))/(LN(2)/2)*AQ68*AT68*VLOOKUP('Données projet'!$B$10,Paramètres!$A$1:$I$89,3,0)*0.475*44/12</f>
        <v>5.4242319531402734E-5</v>
      </c>
      <c r="AX68" s="21">
        <f t="shared" ref="AX68:AX131" si="60">SUM(AU68:AW68)</f>
        <v>74.034666323646462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11.2</v>
      </c>
      <c r="BC68" s="12">
        <f t="array" ref="BC68">INDEX(BB:BB,MIN(IF(ISNUMBER(BB68:BB264),ROW(BB68:BB264),"")))</f>
        <v>11.2</v>
      </c>
      <c r="BD68" s="12">
        <f>IF('Données projet'!$A$88&gt;35,BD67+BC68-BL67,IF(A68&lt;'Données projet'!$A$88,$BA$205^A68,IF(A68='Données projet'!$A$88,'Données projet'!$B$88,BD67+BC68-BL67)))</f>
        <v>306</v>
      </c>
      <c r="BE68" s="13">
        <f>BD68*VLOOKUP('Données projet'!$B$11,Paramètres!$A$1:$I$89,3,0)*VLOOKUP('Données projet'!$B$11,Paramètres!$A$1:$I$89,5,0)</f>
        <v>248.22720000000001</v>
      </c>
      <c r="BF68" s="13">
        <f t="shared" si="37"/>
        <v>60.20616532763993</v>
      </c>
      <c r="BG68" s="20">
        <f t="shared" ref="BG68:BG131" si="61">(BE68+BF68)*0.475*44/12</f>
        <v>537.18811127897277</v>
      </c>
      <c r="BH68" s="59">
        <f t="shared" ref="BH68:BH131" si="62">BG68+(AY68+AZ68)*44/12</f>
        <v>830.52144461230614</v>
      </c>
      <c r="BI68" s="59">
        <f ca="1">AVERAGE(OFFSET($BH$3,0,0,'Données projet'!$E$11+1,1))-AVERAGE(OFFSET($H$3,0,0,'Données projet'!$E$11+1,1))</f>
        <v>293.14894570672351</v>
      </c>
      <c r="BJ68" s="59">
        <f t="shared" si="38"/>
        <v>252.47559879720762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43.445995856395001</v>
      </c>
      <c r="BQ68" s="21">
        <f>EXP(-LN(2)/25)*BQ67+(1-EXP(-LN(2)/25))/(LN(2)/25)*Calculateur!BL68*Calculateur!BN68*VLOOKUP('Données projet'!$B$11,Paramètres!$A$1:$I$89,3,0)*0.475*44/12</f>
        <v>6.8740855902857296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50.320081446680732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607.99999999999977</v>
      </c>
      <c r="O69" s="13">
        <f>N69*VLOOKUP('Données projet'!$B$9,Paramètres!$A$1:$I$89,3,0)*VLOOKUP('Données projet'!$B$9,Paramètres!$A$1:$I$89,5,0)</f>
        <v>339.87199999999984</v>
      </c>
      <c r="P69" s="13">
        <f t="shared" ref="P69:P132" si="87">EXP(-1.0587+0.8836*LN(O69)+0.284)</f>
        <v>79.473500231862786</v>
      </c>
      <c r="Q69" s="20">
        <f t="shared" si="54"/>
        <v>730.36007957049412</v>
      </c>
      <c r="R69" s="59">
        <f t="shared" si="55"/>
        <v>1023.6934129038275</v>
      </c>
      <c r="S69" s="59">
        <f ca="1">AVERAGE(OFFSET($R$3,0,0,'Données projet'!$E$9+1,1))-AVERAGE(OFFSET($H$3,0,0,'Données projet'!$E$9+1,1))</f>
        <v>381.58561971183832</v>
      </c>
      <c r="T69" s="59">
        <f t="shared" ref="T69:T132" si="88">$T$3</f>
        <v>444.55874959426347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81.609485949341746</v>
      </c>
      <c r="AA69" s="21">
        <f>EXP(-LN(2)/25)*AA68+(1-EXP(-LN(2)/25))/(LN(2)/25)*Calculateur!V69*Calculateur!X69*VLOOKUP('Données projet'!$B$9,Paramètres!$A$1:$I$89,3,0)*0.475*44/12</f>
        <v>21.684146360576207</v>
      </c>
      <c r="AB69" s="21">
        <f>EXP(-LN(2)/2)*AB68+(1-EXP(-LN(2)/2))/(LN(2)/2)*V69*Y69*VLOOKUP('Données projet'!$B$9,Paramètres!$A$1:$I$89,3,0)*0.475*44/12</f>
        <v>4.6095251775697972E-6</v>
      </c>
      <c r="AC69" s="22">
        <f t="shared" si="57"/>
        <v>103.29363691944313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-1</v>
      </c>
      <c r="AI69" s="13">
        <f>IF('Données projet'!$A$62&gt;35,AI68+AH69-AQ68,IF(A69&lt;'Données projet'!$A$62,$AF$205^A69,IF(A69='Données projet'!$A$62,'Données projet'!$B$62,AI68+AH69-AQ68)))</f>
        <v>340.00000000000011</v>
      </c>
      <c r="AJ69" s="13">
        <f>AI69*VLOOKUP('Données projet'!$B$10,Paramètres!$A$1:$I$89,3,0)*VLOOKUP('Données projet'!$B$10,Paramètres!$A$1:$I$89,5,0)</f>
        <v>212.16000000000005</v>
      </c>
      <c r="AK69" s="13">
        <f t="shared" ref="AK69:AK132" si="89">EXP(-1.0587+0.8836*LN(AJ69)+0.284)</f>
        <v>52.407318557535369</v>
      </c>
      <c r="AL69" s="20">
        <f t="shared" si="58"/>
        <v>460.78807982104087</v>
      </c>
      <c r="AM69" s="59">
        <f t="shared" si="59"/>
        <v>754.12141315437418</v>
      </c>
      <c r="AN69" s="59">
        <f ca="1">AVERAGE(OFFSET($AM$3,0,0,'Données projet'!$E$10+1,1))-AVERAGE(OFFSET($H$3,0,0,'Données projet'!$E$10+1,1))</f>
        <v>282.98219518929034</v>
      </c>
      <c r="AO69" s="59">
        <f t="shared" ref="AO69:AO132" si="90">$AO$3</f>
        <v>205.95652510682322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50.568017215943911</v>
      </c>
      <c r="AV69" s="21">
        <f>EXP(-LN(2)/25)*AV68+(1-EXP(-LN(2)/25))/(LN(2)/25)*Calculateur!AQ69*Calculateur!AS69*VLOOKUP('Données projet'!$B$10,Paramètres!$A$1:$I$89,3,0)*0.475*44/12</f>
        <v>21.841115792460911</v>
      </c>
      <c r="AW69" s="21">
        <f>EXP(-LN(2)/2)*AW68+(1-EXP(-LN(2)/2))/(LN(2)/2)*AQ69*AT69*VLOOKUP('Données projet'!$B$10,Paramètres!$A$1:$I$89,3,0)*0.475*44/12</f>
        <v>3.8355111967942386E-5</v>
      </c>
      <c r="AX69" s="21">
        <f t="shared" si="60"/>
        <v>72.409171363516791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-0.6</v>
      </c>
      <c r="BD69" s="12">
        <f>IF('Données projet'!$A$88&gt;35,BD68+BC69-BL68,IF(A69&lt;'Données projet'!$A$88,$BA$205^A69,IF(A69='Données projet'!$A$88,'Données projet'!$B$88,BD68+BC69-BL68)))</f>
        <v>305.39999999999998</v>
      </c>
      <c r="BE69" s="13">
        <f>BD69*VLOOKUP('Données projet'!$B$11,Paramètres!$A$1:$I$89,3,0)*VLOOKUP('Données projet'!$B$11,Paramètres!$A$1:$I$89,5,0)</f>
        <v>247.74047999999999</v>
      </c>
      <c r="BF69" s="13">
        <f t="shared" ref="BF69:BF132" si="91">EXP(-1.0587+0.8836*LN(BE69)+0.284)</f>
        <v>60.101843282605465</v>
      </c>
      <c r="BG69" s="20">
        <f t="shared" si="61"/>
        <v>536.15871305053781</v>
      </c>
      <c r="BH69" s="59">
        <f t="shared" si="62"/>
        <v>829.49204638387118</v>
      </c>
      <c r="BI69" s="59">
        <f ca="1">AVERAGE(OFFSET($BH$3,0,0,'Données projet'!$E$11+1,1))-AVERAGE(OFFSET($H$3,0,0,'Données projet'!$E$11+1,1))</f>
        <v>293.14894570672351</v>
      </c>
      <c r="BJ69" s="59">
        <f t="shared" ref="BJ69:BJ132" si="92">$BJ$3</f>
        <v>252.47559879720762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42.594046377091964</v>
      </c>
      <c r="BQ69" s="21">
        <f>EXP(-LN(2)/25)*BQ68+(1-EXP(-LN(2)/25))/(LN(2)/25)*Calculateur!BL69*Calculateur!BN69*VLOOKUP('Données projet'!$B$11,Paramètres!$A$1:$I$89,3,0)*0.475*44/12</f>
        <v>6.6861133583269163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49.280159735418877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607.99999999999977</v>
      </c>
      <c r="O70" s="13">
        <f>N70*VLOOKUP('Données projet'!$B$9,Paramètres!$A$1:$I$89,3,0)*VLOOKUP('Données projet'!$B$9,Paramètres!$A$1:$I$89,5,0)</f>
        <v>339.87199999999984</v>
      </c>
      <c r="P70" s="13">
        <f t="shared" si="87"/>
        <v>79.473500231862786</v>
      </c>
      <c r="Q70" s="20">
        <f t="shared" si="54"/>
        <v>730.36007957049412</v>
      </c>
      <c r="R70" s="59">
        <f t="shared" si="55"/>
        <v>1023.6934129038275</v>
      </c>
      <c r="S70" s="59">
        <f ca="1">AVERAGE(OFFSET($R$3,0,0,'Données projet'!$E$9+1,1))-AVERAGE(OFFSET($H$3,0,0,'Données projet'!$E$9+1,1))</f>
        <v>381.58561971183832</v>
      </c>
      <c r="T70" s="59">
        <f t="shared" si="88"/>
        <v>444.55874959426347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80.009173706746523</v>
      </c>
      <c r="AA70" s="21">
        <f>EXP(-LN(2)/25)*AA69+(1-EXP(-LN(2)/25))/(LN(2)/25)*Calculateur!V70*Calculateur!X70*VLOOKUP('Données projet'!$B$9,Paramètres!$A$1:$I$89,3,0)*0.475*44/12</f>
        <v>21.091192238026554</v>
      </c>
      <c r="AB70" s="21">
        <f>EXP(-LN(2)/2)*AB69+(1-EXP(-LN(2)/2))/(LN(2)/2)*V70*Y70*VLOOKUP('Données projet'!$B$9,Paramètres!$A$1:$I$89,3,0)*0.475*44/12</f>
        <v>3.2594265111097283E-6</v>
      </c>
      <c r="AC70" s="22">
        <f t="shared" si="57"/>
        <v>101.10036920419958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-1</v>
      </c>
      <c r="AI70" s="13">
        <f>IF('Données projet'!$A$62&gt;35,AI69+AH70-AQ69,IF(A70&lt;'Données projet'!$A$62,$AF$205^A70,IF(A70='Données projet'!$A$62,'Données projet'!$B$62,AI69+AH70-AQ69)))</f>
        <v>339.00000000000011</v>
      </c>
      <c r="AJ70" s="13">
        <f>AI70*VLOOKUP('Données projet'!$B$10,Paramètres!$A$1:$I$89,3,0)*VLOOKUP('Données projet'!$B$10,Paramètres!$A$1:$I$89,5,0)</f>
        <v>211.53600000000009</v>
      </c>
      <c r="AK70" s="13">
        <f t="shared" si="89"/>
        <v>52.271097845612204</v>
      </c>
      <c r="AL70" s="20">
        <f t="shared" si="58"/>
        <v>459.46402874777476</v>
      </c>
      <c r="AM70" s="59">
        <f t="shared" si="59"/>
        <v>752.79736208110808</v>
      </c>
      <c r="AN70" s="59">
        <f ca="1">AVERAGE(OFFSET($AM$3,0,0,'Données projet'!$E$10+1,1))-AVERAGE(OFFSET($H$3,0,0,'Données projet'!$E$10+1,1))</f>
        <v>282.98219518929034</v>
      </c>
      <c r="AO70" s="59">
        <f t="shared" si="90"/>
        <v>205.95652510682322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49.576409241784212</v>
      </c>
      <c r="AV70" s="21">
        <f>EXP(-LN(2)/25)*AV69+(1-EXP(-LN(2)/25))/(LN(2)/25)*Calculateur!AQ70*Calculateur!AS70*VLOOKUP('Données projet'!$B$10,Paramètres!$A$1:$I$89,3,0)*0.475*44/12</f>
        <v>21.243869332541706</v>
      </c>
      <c r="AW70" s="21">
        <f>EXP(-LN(2)/2)*AW69+(1-EXP(-LN(2)/2))/(LN(2)/2)*AQ70*AT70*VLOOKUP('Données projet'!$B$10,Paramètres!$A$1:$I$89,3,0)*0.475*44/12</f>
        <v>2.7121159765701367E-5</v>
      </c>
      <c r="AX70" s="21">
        <f t="shared" si="60"/>
        <v>70.820305695485686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-0.6</v>
      </c>
      <c r="BD70" s="12">
        <f>IF('Données projet'!$A$88&gt;35,BD69+BC70-BL69,IF(A70&lt;'Données projet'!$A$88,$BA$205^A70,IF(A70='Données projet'!$A$88,'Données projet'!$B$88,BD69+BC70-BL69)))</f>
        <v>304.79999999999995</v>
      </c>
      <c r="BE70" s="13">
        <f>BD70*VLOOKUP('Données projet'!$B$11,Paramètres!$A$1:$I$89,3,0)*VLOOKUP('Données projet'!$B$11,Paramètres!$A$1:$I$89,5,0)</f>
        <v>247.25375999999997</v>
      </c>
      <c r="BF70" s="13">
        <f t="shared" si="91"/>
        <v>59.997497378076211</v>
      </c>
      <c r="BG70" s="20">
        <f t="shared" si="61"/>
        <v>535.12927326681597</v>
      </c>
      <c r="BH70" s="59">
        <f t="shared" si="62"/>
        <v>828.46260660014923</v>
      </c>
      <c r="BI70" s="59">
        <f ca="1">AVERAGE(OFFSET($BH$3,0,0,'Données projet'!$E$11+1,1))-AVERAGE(OFFSET($H$3,0,0,'Données projet'!$E$11+1,1))</f>
        <v>293.14894570672351</v>
      </c>
      <c r="BJ70" s="59">
        <f t="shared" si="92"/>
        <v>252.47559879720762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41.758803107440187</v>
      </c>
      <c r="BQ70" s="21">
        <f>EXP(-LN(2)/25)*BQ69+(1-EXP(-LN(2)/25))/(LN(2)/25)*Calculateur!BL70*Calculateur!BN70*VLOOKUP('Données projet'!$B$11,Paramètres!$A$1:$I$89,3,0)*0.475*44/12</f>
        <v>6.5032812369360462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48.262084344376234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607.99999999999977</v>
      </c>
      <c r="O71" s="13">
        <f>N71*VLOOKUP('Données projet'!$B$9,Paramètres!$A$1:$I$89,3,0)*VLOOKUP('Données projet'!$B$9,Paramètres!$A$1:$I$89,5,0)</f>
        <v>339.87199999999984</v>
      </c>
      <c r="P71" s="13">
        <f t="shared" si="87"/>
        <v>79.473500231862786</v>
      </c>
      <c r="Q71" s="20">
        <f t="shared" si="54"/>
        <v>730.36007957049412</v>
      </c>
      <c r="R71" s="59">
        <f t="shared" si="55"/>
        <v>1023.6934129038275</v>
      </c>
      <c r="S71" s="59">
        <f ca="1">AVERAGE(OFFSET($R$3,0,0,'Données projet'!$E$9+1,1))-AVERAGE(OFFSET($H$3,0,0,'Données projet'!$E$9+1,1))</f>
        <v>381.58561971183832</v>
      </c>
      <c r="T71" s="59">
        <f t="shared" si="88"/>
        <v>444.55874959426347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78.440242611134508</v>
      </c>
      <c r="AA71" s="21">
        <f>EXP(-LN(2)/25)*AA70+(1-EXP(-LN(2)/25))/(LN(2)/25)*Calculateur!V71*Calculateur!X71*VLOOKUP('Données projet'!$B$9,Paramètres!$A$1:$I$89,3,0)*0.475*44/12</f>
        <v>20.514452477140122</v>
      </c>
      <c r="AB71" s="21">
        <f>EXP(-LN(2)/2)*AB70+(1-EXP(-LN(2)/2))/(LN(2)/2)*V71*Y71*VLOOKUP('Données projet'!$B$9,Paramètres!$A$1:$I$89,3,0)*0.475*44/12</f>
        <v>2.3047625887848986E-6</v>
      </c>
      <c r="AC71" s="22">
        <f t="shared" si="57"/>
        <v>98.954697393037222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-1</v>
      </c>
      <c r="AI71" s="13">
        <f>IF('Données projet'!$A$62&gt;35,AI70+AH71-AQ70,IF(A71&lt;'Données projet'!$A$62,$AF$205^A71,IF(A71='Données projet'!$A$62,'Données projet'!$B$62,AI70+AH71-AQ70)))</f>
        <v>338.00000000000011</v>
      </c>
      <c r="AJ71" s="13">
        <f>AI71*VLOOKUP('Données projet'!$B$10,Paramètres!$A$1:$I$89,3,0)*VLOOKUP('Données projet'!$B$10,Paramètres!$A$1:$I$89,5,0)</f>
        <v>210.91200000000006</v>
      </c>
      <c r="AK71" s="13">
        <f t="shared" si="89"/>
        <v>52.134830352456831</v>
      </c>
      <c r="AL71" s="20">
        <f t="shared" si="58"/>
        <v>458.1398961971957</v>
      </c>
      <c r="AM71" s="59">
        <f t="shared" si="59"/>
        <v>751.47322953052901</v>
      </c>
      <c r="AN71" s="59">
        <f ca="1">AVERAGE(OFFSET($AM$3,0,0,'Données projet'!$E$10+1,1))-AVERAGE(OFFSET($H$3,0,0,'Données projet'!$E$10+1,1))</f>
        <v>282.98219518929034</v>
      </c>
      <c r="AO71" s="59">
        <f t="shared" si="90"/>
        <v>205.95652510682322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48.604246095176649</v>
      </c>
      <c r="AV71" s="21">
        <f>EXP(-LN(2)/25)*AV70+(1-EXP(-LN(2)/25))/(LN(2)/25)*Calculateur!AQ71*Calculateur!AS71*VLOOKUP('Données projet'!$B$10,Paramètres!$A$1:$I$89,3,0)*0.475*44/12</f>
        <v>20.66295460847682</v>
      </c>
      <c r="AW71" s="21">
        <f>EXP(-LN(2)/2)*AW70+(1-EXP(-LN(2)/2))/(LN(2)/2)*AQ71*AT71*VLOOKUP('Données projet'!$B$10,Paramètres!$A$1:$I$89,3,0)*0.475*44/12</f>
        <v>1.9177555983971193E-5</v>
      </c>
      <c r="AX71" s="21">
        <f t="shared" si="60"/>
        <v>69.267219881209456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-0.6</v>
      </c>
      <c r="BD71" s="12">
        <f>IF('Données projet'!$A$88&gt;35,BD70+BC71-BL70,IF(A71&lt;'Données projet'!$A$88,$BA$205^A71,IF(A71='Données projet'!$A$88,'Données projet'!$B$88,BD70+BC71-BL70)))</f>
        <v>304.19999999999993</v>
      </c>
      <c r="BE71" s="13">
        <f>BD71*VLOOKUP('Données projet'!$B$11,Paramètres!$A$1:$I$89,3,0)*VLOOKUP('Données projet'!$B$11,Paramètres!$A$1:$I$89,5,0)</f>
        <v>246.76703999999995</v>
      </c>
      <c r="BF71" s="13">
        <f t="shared" si="91"/>
        <v>59.893127561611408</v>
      </c>
      <c r="BG71" s="20">
        <f t="shared" si="61"/>
        <v>534.09979183647317</v>
      </c>
      <c r="BH71" s="59">
        <f t="shared" si="62"/>
        <v>827.43312516980654</v>
      </c>
      <c r="BI71" s="59">
        <f ca="1">AVERAGE(OFFSET($BH$3,0,0,'Données projet'!$E$11+1,1))-AVERAGE(OFFSET($H$3,0,0,'Données projet'!$E$11+1,1))</f>
        <v>293.14894570672351</v>
      </c>
      <c r="BJ71" s="59">
        <f t="shared" si="92"/>
        <v>252.47559879720762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40.939938448858193</v>
      </c>
      <c r="BQ71" s="21">
        <f>EXP(-LN(2)/25)*BQ70+(1-EXP(-LN(2)/25))/(LN(2)/25)*Calculateur!BL71*Calculateur!BN71*VLOOKUP('Données projet'!$B$11,Paramètres!$A$1:$I$89,3,0)*0.475*44/12</f>
        <v>6.325448669519333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47.265387118377525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607.99999999999977</v>
      </c>
      <c r="O72" s="13">
        <f>N72*VLOOKUP('Données projet'!$B$9,Paramètres!$A$1:$I$89,3,0)*VLOOKUP('Données projet'!$B$9,Paramètres!$A$1:$I$89,5,0)</f>
        <v>339.87199999999984</v>
      </c>
      <c r="P72" s="13">
        <f t="shared" si="87"/>
        <v>79.473500231862786</v>
      </c>
      <c r="Q72" s="20">
        <f t="shared" si="54"/>
        <v>730.36007957049412</v>
      </c>
      <c r="R72" s="59">
        <f t="shared" si="55"/>
        <v>1023.6934129038275</v>
      </c>
      <c r="S72" s="59">
        <f ca="1">AVERAGE(OFFSET($R$3,0,0,'Données projet'!$E$9+1,1))-AVERAGE(OFFSET($H$3,0,0,'Données projet'!$E$9+1,1))</f>
        <v>381.58561971183832</v>
      </c>
      <c r="T72" s="59">
        <f t="shared" si="88"/>
        <v>444.55874959426347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76.902077297353969</v>
      </c>
      <c r="AA72" s="21">
        <f>EXP(-LN(2)/25)*AA71+(1-EXP(-LN(2)/25))/(LN(2)/25)*Calculateur!V72*Calculateur!X72*VLOOKUP('Données projet'!$B$9,Paramètres!$A$1:$I$89,3,0)*0.475*44/12</f>
        <v>19.953483695344556</v>
      </c>
      <c r="AB72" s="21">
        <f>EXP(-LN(2)/2)*AB71+(1-EXP(-LN(2)/2))/(LN(2)/2)*V72*Y72*VLOOKUP('Données projet'!$B$9,Paramètres!$A$1:$I$89,3,0)*0.475*44/12</f>
        <v>1.6297132555548641E-6</v>
      </c>
      <c r="AC72" s="22">
        <f t="shared" si="57"/>
        <v>96.855562622411782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-1</v>
      </c>
      <c r="AI72" s="13">
        <f>IF('Données projet'!$A$62&gt;35,AI71+AH72-AQ71,IF(A72&lt;'Données projet'!$A$62,$AF$205^A72,IF(A72='Données projet'!$A$62,'Données projet'!$B$62,AI71+AH72-AQ71)))</f>
        <v>337.00000000000011</v>
      </c>
      <c r="AJ72" s="13">
        <f>AI72*VLOOKUP('Données projet'!$B$10,Paramètres!$A$1:$I$89,3,0)*VLOOKUP('Données projet'!$B$10,Paramètres!$A$1:$I$89,5,0)</f>
        <v>210.28800000000007</v>
      </c>
      <c r="AK72" s="13">
        <f t="shared" si="89"/>
        <v>51.998515923525694</v>
      </c>
      <c r="AL72" s="20">
        <f t="shared" si="58"/>
        <v>456.81568190014065</v>
      </c>
      <c r="AM72" s="59">
        <f t="shared" si="59"/>
        <v>750.14901523347396</v>
      </c>
      <c r="AN72" s="59">
        <f ca="1">AVERAGE(OFFSET($AM$3,0,0,'Données projet'!$E$10+1,1))-AVERAGE(OFFSET($H$3,0,0,'Données projet'!$E$10+1,1))</f>
        <v>282.98219518929034</v>
      </c>
      <c r="AO72" s="59">
        <f t="shared" si="90"/>
        <v>205.95652510682322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47.651146474913084</v>
      </c>
      <c r="AV72" s="21">
        <f>EXP(-LN(2)/25)*AV71+(1-EXP(-LN(2)/25))/(LN(2)/25)*Calculateur!AQ72*Calculateur!AS72*VLOOKUP('Données projet'!$B$10,Paramètres!$A$1:$I$89,3,0)*0.475*44/12</f>
        <v>20.097925028090465</v>
      </c>
      <c r="AW72" s="21">
        <f>EXP(-LN(2)/2)*AW71+(1-EXP(-LN(2)/2))/(LN(2)/2)*AQ72*AT72*VLOOKUP('Données projet'!$B$10,Paramètres!$A$1:$I$89,3,0)*0.475*44/12</f>
        <v>1.3560579882850684E-5</v>
      </c>
      <c r="AX72" s="21">
        <f t="shared" si="60"/>
        <v>67.749085063583436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-0.6</v>
      </c>
      <c r="BD72" s="12">
        <f>IF('Données projet'!$A$88&gt;35,BD71+BC72-BL71,IF(A72&lt;'Données projet'!$A$88,$BA$205^A72,IF(A72='Données projet'!$A$88,'Données projet'!$B$88,BD71+BC72-BL71)))</f>
        <v>303.59999999999991</v>
      </c>
      <c r="BE72" s="13">
        <f>BD72*VLOOKUP('Données projet'!$B$11,Paramètres!$A$1:$I$89,3,0)*VLOOKUP('Données projet'!$B$11,Paramètres!$A$1:$I$89,5,0)</f>
        <v>246.28031999999993</v>
      </c>
      <c r="BF72" s="13">
        <f t="shared" si="91"/>
        <v>59.788733780551681</v>
      </c>
      <c r="BG72" s="20">
        <f t="shared" si="61"/>
        <v>533.07026866779404</v>
      </c>
      <c r="BH72" s="59">
        <f t="shared" si="62"/>
        <v>826.40360200112741</v>
      </c>
      <c r="BI72" s="59">
        <f ca="1">AVERAGE(OFFSET($BH$3,0,0,'Données projet'!$E$11+1,1))-AVERAGE(OFFSET($H$3,0,0,'Données projet'!$E$11+1,1))</f>
        <v>293.14894570672351</v>
      </c>
      <c r="BJ72" s="59">
        <f t="shared" si="92"/>
        <v>252.47559879720762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40.137131226772865</v>
      </c>
      <c r="BQ72" s="21">
        <f>EXP(-LN(2)/25)*BQ71+(1-EXP(-LN(2)/25))/(LN(2)/25)*Calculateur!BL72*Calculateur!BN72*VLOOKUP('Données projet'!$B$11,Paramètres!$A$1:$I$89,3,0)*0.475*44/12</f>
        <v>6.1524789430104381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46.289610169783302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607.99999999999977</v>
      </c>
      <c r="O73" s="13">
        <f>N73*VLOOKUP('Données projet'!$B$9,Paramètres!$A$1:$I$89,3,0)*VLOOKUP('Données projet'!$B$9,Paramètres!$A$1:$I$89,5,0)</f>
        <v>339.87199999999984</v>
      </c>
      <c r="P73" s="13">
        <f t="shared" si="87"/>
        <v>79.473500231862786</v>
      </c>
      <c r="Q73" s="20">
        <f t="shared" si="54"/>
        <v>730.36007957049412</v>
      </c>
      <c r="R73" s="59">
        <f t="shared" si="55"/>
        <v>1023.6934129038275</v>
      </c>
      <c r="S73" s="59">
        <f ca="1">AVERAGE(OFFSET($R$3,0,0,'Données projet'!$E$9+1,1))-AVERAGE(OFFSET($H$3,0,0,'Données projet'!$E$9+1,1))</f>
        <v>381.58561971183832</v>
      </c>
      <c r="T73" s="59">
        <f t="shared" si="88"/>
        <v>444.55874959426347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75.39407446718846</v>
      </c>
      <c r="AA73" s="21">
        <f>EXP(-LN(2)/25)*AA72+(1-EXP(-LN(2)/25))/(LN(2)/25)*Calculateur!V73*Calculateur!X73*VLOOKUP('Données projet'!$B$9,Paramètres!$A$1:$I$89,3,0)*0.475*44/12</f>
        <v>19.407854634387256</v>
      </c>
      <c r="AB73" s="21">
        <f>EXP(-LN(2)/2)*AB72+(1-EXP(-LN(2)/2))/(LN(2)/2)*V73*Y73*VLOOKUP('Données projet'!$B$9,Paramètres!$A$1:$I$89,3,0)*0.475*44/12</f>
        <v>1.1523812943924493E-6</v>
      </c>
      <c r="AC73" s="22">
        <f t="shared" si="57"/>
        <v>94.801930253957011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336</v>
      </c>
      <c r="AG73" s="12">
        <f>VLOOKUP(A73,'Données projet'!$A$61:$I$81,9,0)</f>
        <v>-1</v>
      </c>
      <c r="AH73" s="12">
        <f t="array" ref="AH73">INDEX(AG:AG,MIN(IF(ISNUMBER(AG73:AG269),ROW(AG73:AG269),"")))</f>
        <v>-1</v>
      </c>
      <c r="AI73" s="13">
        <f>IF('Données projet'!$A$62&gt;35,AI72+AH73-AQ72,IF(A73&lt;'Données projet'!$A$62,$AF$205^A73,IF(A73='Données projet'!$A$62,'Données projet'!$B$62,AI72+AH73-AQ72)))</f>
        <v>336.00000000000011</v>
      </c>
      <c r="AJ73" s="13">
        <f>AI73*VLOOKUP('Données projet'!$B$10,Paramètres!$A$1:$I$89,3,0)*VLOOKUP('Données projet'!$B$10,Paramètres!$A$1:$I$89,5,0)</f>
        <v>209.66400000000007</v>
      </c>
      <c r="AK73" s="13">
        <f t="shared" si="89"/>
        <v>51.862154403304537</v>
      </c>
      <c r="AL73" s="20">
        <f t="shared" si="58"/>
        <v>455.49138558575549</v>
      </c>
      <c r="AM73" s="59">
        <f t="shared" si="59"/>
        <v>748.82471891908881</v>
      </c>
      <c r="AN73" s="59">
        <f ca="1">AVERAGE(OFFSET($AM$3,0,0,'Données projet'!$E$10+1,1))-AVERAGE(OFFSET($H$3,0,0,'Données projet'!$E$10+1,1))</f>
        <v>282.98219518929034</v>
      </c>
      <c r="AO73" s="59">
        <f t="shared" si="90"/>
        <v>205.95652510682322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36</v>
      </c>
      <c r="AR73" s="16">
        <f>IF(ISNA(VLOOKUP(A73,'Données projet'!$A$61:$I$81,5,0)),0%,VLOOKUP(A73,'Données projet'!$A$61:$I$81,5,0)*VLOOKUP('Données projet'!$B$10,Paramètres!$A$1:$I$89,7,0))</f>
        <v>0.48</v>
      </c>
      <c r="AS73" s="16">
        <f>IF(ISNA(VLOOKUP(A73,'Données projet'!$A$61:$I$81,6,0)),0%,VLOOKUP(A73,'Données projet'!$A$61:$I$81,6,0)*VLOOKUP('Données projet'!$B$10,Paramètres!$A$1:$I$89,7,0))</f>
        <v>0.12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61.020709641826556</v>
      </c>
      <c r="AV73" s="21">
        <f>EXP(-LN(2)/25)*AV72+(1-EXP(-LN(2)/25))/(LN(2)/25)*Calculateur!AQ73*Calculateur!AS73*VLOOKUP('Données projet'!$B$10,Paramètres!$A$1:$I$89,3,0)*0.475*44/12</f>
        <v>23.110259434463519</v>
      </c>
      <c r="AW73" s="21">
        <f>EXP(-LN(2)/2)*AW72+(1-EXP(-LN(2)/2))/(LN(2)/2)*AQ73*AT73*VLOOKUP('Données projet'!$B$10,Paramètres!$A$1:$I$89,3,0)*0.475*44/12</f>
        <v>9.5887779919855964E-6</v>
      </c>
      <c r="AX73" s="21">
        <f t="shared" si="60"/>
        <v>84.130978665068056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303</v>
      </c>
      <c r="BB73" s="12">
        <f>VLOOKUP(A73,'Données projet'!$A$87:$I$107,9,0)</f>
        <v>-0.6</v>
      </c>
      <c r="BC73" s="12">
        <f t="array" ref="BC73">INDEX(BB:BB,MIN(IF(ISNUMBER(BB73:BB269),ROW(BB73:BB269),"")))</f>
        <v>-0.6</v>
      </c>
      <c r="BD73" s="12">
        <f>IF('Données projet'!$A$88&gt;35,BD72+BC73-BL72,IF(A73&lt;'Données projet'!$A$88,$BA$205^A73,IF(A73='Données projet'!$A$88,'Données projet'!$B$88,BD72+BC73-BL72)))</f>
        <v>302.99999999999989</v>
      </c>
      <c r="BE73" s="13">
        <f>BD73*VLOOKUP('Données projet'!$B$11,Paramètres!$A$1:$I$89,3,0)*VLOOKUP('Données projet'!$B$11,Paramètres!$A$1:$I$89,5,0)</f>
        <v>245.79359999999991</v>
      </c>
      <c r="BF73" s="13">
        <f t="shared" si="91"/>
        <v>59.684315982017168</v>
      </c>
      <c r="BG73" s="20">
        <f t="shared" si="61"/>
        <v>532.04070366867973</v>
      </c>
      <c r="BH73" s="59">
        <f t="shared" si="62"/>
        <v>825.37403700201298</v>
      </c>
      <c r="BI73" s="59">
        <f ca="1">AVERAGE(OFFSET($BH$3,0,0,'Données projet'!$E$11+1,1))-AVERAGE(OFFSET($H$3,0,0,'Données projet'!$E$11+1,1))</f>
        <v>293.14894570672351</v>
      </c>
      <c r="BJ73" s="59">
        <f t="shared" si="92"/>
        <v>252.47559879720762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26</v>
      </c>
      <c r="BM73" s="16">
        <f>IF(ISNA(VLOOKUP(A73,'Données projet'!$A$87:$I$107,5,0)),0%,VLOOKUP(A73,'Données projet'!$A$87:$I$107,5,0)*VLOOKUP('Données projet'!$B$11,Paramètres!$A$1:$I$89,7,0))</f>
        <v>0.34400000000000003</v>
      </c>
      <c r="BN73" s="16">
        <f>IF(ISNA(VLOOKUP(A73,'Données projet'!$A$87:$I$107,6,0)),0%,VLOOKUP(A73,'Données projet'!$A$87:$I$107,6,0)*VLOOKUP('Données projet'!$B$11,Paramètres!$A$1:$I$89,7,0))</f>
        <v>8.6000000000000007E-2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47.370666287517622</v>
      </c>
      <c r="BQ73" s="21">
        <f>EXP(-LN(2)/25)*BQ72+(1-EXP(-LN(2)/25))/(LN(2)/25)*Calculateur!BL73*Calculateur!BN73*VLOOKUP('Données projet'!$B$11,Paramètres!$A$1:$I$89,3,0)*0.475*44/12</f>
        <v>7.9814939741870168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55.35216026170464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607.99999999999977</v>
      </c>
      <c r="O74" s="13">
        <f>N74*VLOOKUP('Données projet'!$B$9,Paramètres!$A$1:$I$89,3,0)*VLOOKUP('Données projet'!$B$9,Paramètres!$A$1:$I$89,5,0)</f>
        <v>339.87199999999984</v>
      </c>
      <c r="P74" s="13">
        <f t="shared" si="87"/>
        <v>79.473500231862786</v>
      </c>
      <c r="Q74" s="20">
        <f t="shared" si="54"/>
        <v>730.36007957049412</v>
      </c>
      <c r="R74" s="59">
        <f t="shared" si="55"/>
        <v>1023.6934129038275</v>
      </c>
      <c r="S74" s="59">
        <f ca="1">AVERAGE(OFFSET($R$3,0,0,'Données projet'!$E$9+1,1))-AVERAGE(OFFSET($H$3,0,0,'Données projet'!$E$9+1,1))</f>
        <v>381.58561971183832</v>
      </c>
      <c r="T74" s="59">
        <f t="shared" si="88"/>
        <v>444.55874959426347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73.915642652731592</v>
      </c>
      <c r="AA74" s="21">
        <f>EXP(-LN(2)/25)*AA73+(1-EXP(-LN(2)/25))/(LN(2)/25)*Calculateur!V74*Calculateur!X74*VLOOKUP('Données projet'!$B$9,Paramètres!$A$1:$I$89,3,0)*0.475*44/12</f>
        <v>18.877145828795218</v>
      </c>
      <c r="AB74" s="21">
        <f>EXP(-LN(2)/2)*AB73+(1-EXP(-LN(2)/2))/(LN(2)/2)*V74*Y74*VLOOKUP('Données projet'!$B$9,Paramètres!$A$1:$I$89,3,0)*0.475*44/12</f>
        <v>8.1485662777743206E-7</v>
      </c>
      <c r="AC74" s="22">
        <f t="shared" si="57"/>
        <v>92.792789296383447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12.6</v>
      </c>
      <c r="AI74" s="13">
        <f>IF('Données projet'!$A$62&gt;35,AI73+AH74-AQ73,IF(A74&lt;'Données projet'!$A$62,$AF$205^A74,IF(A74='Données projet'!$A$62,'Données projet'!$B$62,AI73+AH74-AQ73)))</f>
        <v>312.60000000000014</v>
      </c>
      <c r="AJ74" s="13">
        <f>AI74*VLOOKUP('Données projet'!$B$10,Paramètres!$A$1:$I$89,3,0)*VLOOKUP('Données projet'!$B$10,Paramètres!$A$1:$I$89,5,0)</f>
        <v>195.06240000000008</v>
      </c>
      <c r="AK74" s="13">
        <f t="shared" si="89"/>
        <v>48.657459010047042</v>
      </c>
      <c r="AL74" s="20">
        <f t="shared" si="58"/>
        <v>424.47875444249871</v>
      </c>
      <c r="AM74" s="59">
        <f t="shared" si="59"/>
        <v>717.81208777583197</v>
      </c>
      <c r="AN74" s="59">
        <f ca="1">AVERAGE(OFFSET($AM$3,0,0,'Données projet'!$E$10+1,1))-AVERAGE(OFFSET($H$3,0,0,'Données projet'!$E$10+1,1))</f>
        <v>282.98219518929034</v>
      </c>
      <c r="AO74" s="59">
        <f t="shared" si="90"/>
        <v>205.95652510682322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59.82413074470815</v>
      </c>
      <c r="AV74" s="21">
        <f>EXP(-LN(2)/25)*AV73+(1-EXP(-LN(2)/25))/(LN(2)/25)*Calculateur!AQ74*Calculateur!AS74*VLOOKUP('Données projet'!$B$10,Paramètres!$A$1:$I$89,3,0)*0.475*44/12</f>
        <v>22.478308174912389</v>
      </c>
      <c r="AW74" s="21">
        <f>EXP(-LN(2)/2)*AW73+(1-EXP(-LN(2)/2))/(LN(2)/2)*AQ74*AT74*VLOOKUP('Données projet'!$B$10,Paramètres!$A$1:$I$89,3,0)*0.475*44/12</f>
        <v>6.7802899414253418E-6</v>
      </c>
      <c r="AX74" s="21">
        <f t="shared" si="60"/>
        <v>82.302445699910479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9.4</v>
      </c>
      <c r="BD74" s="12">
        <f>IF('Données projet'!$A$88&gt;35,BD73+BC74-BL73,IF(A74&lt;'Données projet'!$A$88,$BA$205^A74,IF(A74='Données projet'!$A$88,'Données projet'!$B$88,BD73+BC74-BL73)))</f>
        <v>286.39999999999986</v>
      </c>
      <c r="BE74" s="13">
        <f>BD74*VLOOKUP('Données projet'!$B$11,Paramètres!$A$1:$I$89,3,0)*VLOOKUP('Données projet'!$B$11,Paramètres!$A$1:$I$89,5,0)</f>
        <v>232.3276799999999</v>
      </c>
      <c r="BF74" s="13">
        <f t="shared" si="91"/>
        <v>56.785685033664734</v>
      </c>
      <c r="BG74" s="20">
        <f t="shared" si="61"/>
        <v>503.53911076696596</v>
      </c>
      <c r="BH74" s="59">
        <f t="shared" si="62"/>
        <v>796.87244410029928</v>
      </c>
      <c r="BI74" s="59">
        <f ca="1">AVERAGE(OFFSET($BH$3,0,0,'Données projet'!$E$11+1,1))-AVERAGE(OFFSET($H$3,0,0,'Données projet'!$E$11+1,1))</f>
        <v>293.14894570672351</v>
      </c>
      <c r="BJ74" s="59">
        <f t="shared" si="92"/>
        <v>252.47559879720762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46.441756414872863</v>
      </c>
      <c r="BQ74" s="21">
        <f>EXP(-LN(2)/25)*BQ73+(1-EXP(-LN(2)/25))/(LN(2)/25)*Calculateur!BL74*Calculateur!BN74*VLOOKUP('Données projet'!$B$11,Paramètres!$A$1:$I$89,3,0)*0.475*44/12</f>
        <v>7.7632396017343464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54.204996016607211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607.99999999999977</v>
      </c>
      <c r="O75" s="13">
        <f>N75*VLOOKUP('Données projet'!$B$9,Paramètres!$A$1:$I$89,3,0)*VLOOKUP('Données projet'!$B$9,Paramètres!$A$1:$I$89,5,0)</f>
        <v>339.87199999999984</v>
      </c>
      <c r="P75" s="13">
        <f t="shared" si="87"/>
        <v>79.473500231862786</v>
      </c>
      <c r="Q75" s="20">
        <f t="shared" si="54"/>
        <v>730.36007957049412</v>
      </c>
      <c r="R75" s="59">
        <f t="shared" si="55"/>
        <v>1023.6934129038275</v>
      </c>
      <c r="S75" s="59">
        <f ca="1">AVERAGE(OFFSET($R$3,0,0,'Données projet'!$E$9+1,1))-AVERAGE(OFFSET($H$3,0,0,'Données projet'!$E$9+1,1))</f>
        <v>381.58561971183832</v>
      </c>
      <c r="T75" s="59">
        <f t="shared" si="88"/>
        <v>444.55874959426347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72.466201984401863</v>
      </c>
      <c r="AA75" s="21">
        <f>EXP(-LN(2)/25)*AA74+(1-EXP(-LN(2)/25))/(LN(2)/25)*Calculateur!V75*Calculateur!X75*VLOOKUP('Données projet'!$B$9,Paramètres!$A$1:$I$89,3,0)*0.475*44/12</f>
        <v>18.360949283400856</v>
      </c>
      <c r="AB75" s="21">
        <f>EXP(-LN(2)/2)*AB74+(1-EXP(-LN(2)/2))/(LN(2)/2)*V75*Y75*VLOOKUP('Données projet'!$B$9,Paramètres!$A$1:$I$89,3,0)*0.475*44/12</f>
        <v>5.7619064719622465E-7</v>
      </c>
      <c r="AC75" s="22">
        <f t="shared" si="57"/>
        <v>90.827151843993363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12.6</v>
      </c>
      <c r="AI75" s="13">
        <f>IF('Données projet'!$A$62&gt;35,AI74+AH75-AQ74,IF(A75&lt;'Données projet'!$A$62,$AF$205^A75,IF(A75='Données projet'!$A$62,'Données projet'!$B$62,AI74+AH75-AQ74)))</f>
        <v>325.20000000000016</v>
      </c>
      <c r="AJ75" s="13">
        <f>AI75*VLOOKUP('Données projet'!$B$10,Paramètres!$A$1:$I$89,3,0)*VLOOKUP('Données projet'!$B$10,Paramètres!$A$1:$I$89,5,0)</f>
        <v>202.92480000000009</v>
      </c>
      <c r="AK75" s="13">
        <f t="shared" si="89"/>
        <v>50.386406111935052</v>
      </c>
      <c r="AL75" s="20">
        <f t="shared" si="58"/>
        <v>441.18368397828704</v>
      </c>
      <c r="AM75" s="59">
        <f t="shared" si="59"/>
        <v>734.51701731162029</v>
      </c>
      <c r="AN75" s="59">
        <f ca="1">AVERAGE(OFFSET($AM$3,0,0,'Données projet'!$E$10+1,1))-AVERAGE(OFFSET($H$3,0,0,'Données projet'!$E$10+1,1))</f>
        <v>282.98219518929034</v>
      </c>
      <c r="AO75" s="59">
        <f t="shared" si="90"/>
        <v>205.95652510682322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58.651016029921173</v>
      </c>
      <c r="AV75" s="21">
        <f>EXP(-LN(2)/25)*AV74+(1-EXP(-LN(2)/25))/(LN(2)/25)*Calculateur!AQ75*Calculateur!AS75*VLOOKUP('Données projet'!$B$10,Paramètres!$A$1:$I$89,3,0)*0.475*44/12</f>
        <v>21.863637655786558</v>
      </c>
      <c r="AW75" s="21">
        <f>EXP(-LN(2)/2)*AW74+(1-EXP(-LN(2)/2))/(LN(2)/2)*AQ75*AT75*VLOOKUP('Données projet'!$B$10,Paramètres!$A$1:$I$89,3,0)*0.475*44/12</f>
        <v>4.7943889959927982E-6</v>
      </c>
      <c r="AX75" s="21">
        <f t="shared" si="60"/>
        <v>80.514658480096728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9.4</v>
      </c>
      <c r="BD75" s="12">
        <f>IF('Données projet'!$A$88&gt;35,BD74+BC75-BL74,IF(A75&lt;'Données projet'!$A$88,$BA$205^A75,IF(A75='Données projet'!$A$88,'Données projet'!$B$88,BD74+BC75-BL74)))</f>
        <v>295.79999999999984</v>
      </c>
      <c r="BE75" s="13">
        <f>BD75*VLOOKUP('Données projet'!$B$11,Paramètres!$A$1:$I$89,3,0)*VLOOKUP('Données projet'!$B$11,Paramètres!$A$1:$I$89,5,0)</f>
        <v>239.95295999999988</v>
      </c>
      <c r="BF75" s="13">
        <f t="shared" si="91"/>
        <v>58.429409481604822</v>
      </c>
      <c r="BG75" s="20">
        <f t="shared" si="61"/>
        <v>519.68262684712829</v>
      </c>
      <c r="BH75" s="59">
        <f t="shared" si="62"/>
        <v>813.01596018046166</v>
      </c>
      <c r="BI75" s="59">
        <f ca="1">AVERAGE(OFFSET($BH$3,0,0,'Données projet'!$E$11+1,1))-AVERAGE(OFFSET($H$3,0,0,'Données projet'!$E$11+1,1))</f>
        <v>293.14894570672351</v>
      </c>
      <c r="BJ75" s="59">
        <f t="shared" si="92"/>
        <v>252.47559879720762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45.531061898251593</v>
      </c>
      <c r="BQ75" s="21">
        <f>EXP(-LN(2)/25)*BQ74+(1-EXP(-LN(2)/25))/(LN(2)/25)*Calculateur!BL75*Calculateur!BN75*VLOOKUP('Données projet'!$B$11,Paramètres!$A$1:$I$89,3,0)*0.475*44/12</f>
        <v>7.5509534065738935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53.082015304825489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607.99999999999977</v>
      </c>
      <c r="O76" s="13">
        <f>N76*VLOOKUP('Données projet'!$B$9,Paramètres!$A$1:$I$89,3,0)*VLOOKUP('Données projet'!$B$9,Paramètres!$A$1:$I$89,5,0)</f>
        <v>339.87199999999984</v>
      </c>
      <c r="P76" s="13">
        <f t="shared" si="87"/>
        <v>79.473500231862786</v>
      </c>
      <c r="Q76" s="20">
        <f t="shared" si="54"/>
        <v>730.36007957049412</v>
      </c>
      <c r="R76" s="59">
        <f t="shared" si="55"/>
        <v>1023.6934129038275</v>
      </c>
      <c r="S76" s="59">
        <f ca="1">AVERAGE(OFFSET($R$3,0,0,'Données projet'!$E$9+1,1))-AVERAGE(OFFSET($H$3,0,0,'Données projet'!$E$9+1,1))</f>
        <v>381.58561971183832</v>
      </c>
      <c r="T76" s="59">
        <f t="shared" si="88"/>
        <v>444.55874959426347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71.04518396350656</v>
      </c>
      <c r="AA76" s="21">
        <f>EXP(-LN(2)/25)*AA75+(1-EXP(-LN(2)/25))/(LN(2)/25)*Calculateur!V76*Calculateur!X76*VLOOKUP('Données projet'!$B$9,Paramètres!$A$1:$I$89,3,0)*0.475*44/12</f>
        <v>17.858868159685901</v>
      </c>
      <c r="AB76" s="21">
        <f>EXP(-LN(2)/2)*AB75+(1-EXP(-LN(2)/2))/(LN(2)/2)*V76*Y76*VLOOKUP('Données projet'!$B$9,Paramètres!$A$1:$I$89,3,0)*0.475*44/12</f>
        <v>4.0742831388871603E-7</v>
      </c>
      <c r="AC76" s="22">
        <f t="shared" si="57"/>
        <v>88.904052530620774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12.6</v>
      </c>
      <c r="AI76" s="13">
        <f>IF('Données projet'!$A$62&gt;35,AI75+AH76-AQ75,IF(A76&lt;'Données projet'!$A$62,$AF$205^A76,IF(A76='Données projet'!$A$62,'Données projet'!$B$62,AI75+AH76-AQ75)))</f>
        <v>337.80000000000018</v>
      </c>
      <c r="AJ76" s="13">
        <f>AI76*VLOOKUP('Données projet'!$B$10,Paramètres!$A$1:$I$89,3,0)*VLOOKUP('Données projet'!$B$10,Paramètres!$A$1:$I$89,5,0)</f>
        <v>210.78720000000013</v>
      </c>
      <c r="AK76" s="13">
        <f t="shared" si="89"/>
        <v>52.107571226495111</v>
      </c>
      <c r="AL76" s="20">
        <f t="shared" si="58"/>
        <v>457.87505988614583</v>
      </c>
      <c r="AM76" s="59">
        <f t="shared" si="59"/>
        <v>751.20839321947915</v>
      </c>
      <c r="AN76" s="59">
        <f ca="1">AVERAGE(OFFSET($AM$3,0,0,'Données projet'!$E$10+1,1))-AVERAGE(OFFSET($H$3,0,0,'Données projet'!$E$10+1,1))</f>
        <v>282.98219518929034</v>
      </c>
      <c r="AO76" s="59">
        <f t="shared" si="90"/>
        <v>205.95652510682322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57.50090537916185</v>
      </c>
      <c r="AV76" s="21">
        <f>EXP(-LN(2)/25)*AV75+(1-EXP(-LN(2)/25))/(LN(2)/25)*Calculateur!AQ76*Calculateur!AS76*VLOOKUP('Données projet'!$B$10,Paramètres!$A$1:$I$89,3,0)*0.475*44/12</f>
        <v>21.265775334330339</v>
      </c>
      <c r="AW76" s="21">
        <f>EXP(-LN(2)/2)*AW75+(1-EXP(-LN(2)/2))/(LN(2)/2)*AQ76*AT76*VLOOKUP('Données projet'!$B$10,Paramètres!$A$1:$I$89,3,0)*0.475*44/12</f>
        <v>3.3901449707126709E-6</v>
      </c>
      <c r="AX76" s="21">
        <f t="shared" si="60"/>
        <v>78.766684103637161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9.4</v>
      </c>
      <c r="BD76" s="12">
        <f>IF('Données projet'!$A$88&gt;35,BD75+BC76-BL75,IF(A76&lt;'Données projet'!$A$88,$BA$205^A76,IF(A76='Données projet'!$A$88,'Données projet'!$B$88,BD75+BC76-BL75)))</f>
        <v>305.19999999999982</v>
      </c>
      <c r="BE76" s="13">
        <f>BD76*VLOOKUP('Données projet'!$B$11,Paramètres!$A$1:$I$89,3,0)*VLOOKUP('Données projet'!$B$11,Paramètres!$A$1:$I$89,5,0)</f>
        <v>247.57823999999988</v>
      </c>
      <c r="BF76" s="13">
        <f t="shared" si="91"/>
        <v>60.067063968069192</v>
      </c>
      <c r="BG76" s="20">
        <f t="shared" si="61"/>
        <v>535.81557107772039</v>
      </c>
      <c r="BH76" s="59">
        <f t="shared" si="62"/>
        <v>829.14890441105376</v>
      </c>
      <c r="BI76" s="59">
        <f ca="1">AVERAGE(OFFSET($BH$3,0,0,'Données projet'!$E$11+1,1))-AVERAGE(OFFSET($H$3,0,0,'Données projet'!$E$11+1,1))</f>
        <v>293.14894570672351</v>
      </c>
      <c r="BJ76" s="59">
        <f t="shared" si="92"/>
        <v>252.47559879720762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44.638225545632459</v>
      </c>
      <c r="BQ76" s="21">
        <f>EXP(-LN(2)/25)*BQ75+(1-EXP(-LN(2)/25))/(LN(2)/25)*Calculateur!BL76*Calculateur!BN76*VLOOKUP('Données projet'!$B$11,Paramètres!$A$1:$I$89,3,0)*0.475*44/12</f>
        <v>7.3444721885837483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51.98269773421621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607.99999999999977</v>
      </c>
      <c r="O77" s="13">
        <f>N77*VLOOKUP('Données projet'!$B$9,Paramètres!$A$1:$I$89,3,0)*VLOOKUP('Données projet'!$B$9,Paramètres!$A$1:$I$89,5,0)</f>
        <v>339.87199999999984</v>
      </c>
      <c r="P77" s="13">
        <f t="shared" si="87"/>
        <v>79.473500231862786</v>
      </c>
      <c r="Q77" s="20">
        <f t="shared" si="54"/>
        <v>730.36007957049412</v>
      </c>
      <c r="R77" s="59">
        <f t="shared" si="55"/>
        <v>1023.6934129038275</v>
      </c>
      <c r="S77" s="59">
        <f ca="1">AVERAGE(OFFSET($R$3,0,0,'Données projet'!$E$9+1,1))-AVERAGE(OFFSET($H$3,0,0,'Données projet'!$E$9+1,1))</f>
        <v>381.58561971183832</v>
      </c>
      <c r="T77" s="59">
        <f t="shared" si="88"/>
        <v>444.55874959426347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69.652031239265611</v>
      </c>
      <c r="AA77" s="21">
        <f>EXP(-LN(2)/25)*AA76+(1-EXP(-LN(2)/25))/(LN(2)/25)*Calculateur!V77*Calculateur!X77*VLOOKUP('Données projet'!$B$9,Paramètres!$A$1:$I$89,3,0)*0.475*44/12</f>
        <v>17.370516470702231</v>
      </c>
      <c r="AB77" s="21">
        <f>EXP(-LN(2)/2)*AB76+(1-EXP(-LN(2)/2))/(LN(2)/2)*V77*Y77*VLOOKUP('Données projet'!$B$9,Paramètres!$A$1:$I$89,3,0)*0.475*44/12</f>
        <v>2.8809532359811232E-7</v>
      </c>
      <c r="AC77" s="22">
        <f t="shared" si="57"/>
        <v>87.02254799806316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12.6</v>
      </c>
      <c r="AI77" s="13">
        <f>IF('Données projet'!$A$62&gt;35,AI76+AH77-AQ76,IF(A77&lt;'Données projet'!$A$62,$AF$205^A77,IF(A77='Données projet'!$A$62,'Données projet'!$B$62,AI76+AH77-AQ76)))</f>
        <v>350.4000000000002</v>
      </c>
      <c r="AJ77" s="13">
        <f>AI77*VLOOKUP('Données projet'!$B$10,Paramètres!$A$1:$I$89,3,0)*VLOOKUP('Données projet'!$B$10,Paramètres!$A$1:$I$89,5,0)</f>
        <v>218.64960000000013</v>
      </c>
      <c r="AK77" s="13">
        <f t="shared" si="89"/>
        <v>53.821277860805935</v>
      </c>
      <c r="AL77" s="20">
        <f t="shared" si="58"/>
        <v>474.5534456075705</v>
      </c>
      <c r="AM77" s="59">
        <f t="shared" si="59"/>
        <v>767.88677894090381</v>
      </c>
      <c r="AN77" s="59">
        <f ca="1">AVERAGE(OFFSET($AM$3,0,0,'Données projet'!$E$10+1,1))-AVERAGE(OFFSET($H$3,0,0,'Données projet'!$E$10+1,1))</f>
        <v>282.98219518929034</v>
      </c>
      <c r="AO77" s="59">
        <f t="shared" si="90"/>
        <v>205.95652510682322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56.373347696765684</v>
      </c>
      <c r="AV77" s="21">
        <f>EXP(-LN(2)/25)*AV76+(1-EXP(-LN(2)/25))/(LN(2)/25)*Calculateur!AQ77*Calculateur!AS77*VLOOKUP('Données projet'!$B$10,Paramètres!$A$1:$I$89,3,0)*0.475*44/12</f>
        <v>20.684261589494554</v>
      </c>
      <c r="AW77" s="21">
        <f>EXP(-LN(2)/2)*AW76+(1-EXP(-LN(2)/2))/(LN(2)/2)*AQ77*AT77*VLOOKUP('Données projet'!$B$10,Paramètres!$A$1:$I$89,3,0)*0.475*44/12</f>
        <v>2.3971944979963991E-6</v>
      </c>
      <c r="AX77" s="21">
        <f t="shared" si="60"/>
        <v>77.057611683454724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9.4</v>
      </c>
      <c r="BD77" s="12">
        <f>IF('Données projet'!$A$88&gt;35,BD76+BC77-BL76,IF(A77&lt;'Données projet'!$A$88,$BA$205^A77,IF(A77='Données projet'!$A$88,'Données projet'!$B$88,BD76+BC77-BL76)))</f>
        <v>314.5999999999998</v>
      </c>
      <c r="BE77" s="13">
        <f>BD77*VLOOKUP('Données projet'!$B$11,Paramètres!$A$1:$I$89,3,0)*VLOOKUP('Données projet'!$B$11,Paramètres!$A$1:$I$89,5,0)</f>
        <v>255.20351999999986</v>
      </c>
      <c r="BF77" s="13">
        <f t="shared" si="91"/>
        <v>61.698856899024499</v>
      </c>
      <c r="BG77" s="20">
        <f t="shared" si="61"/>
        <v>551.93830643246747</v>
      </c>
      <c r="BH77" s="59">
        <f t="shared" si="62"/>
        <v>845.27163976580073</v>
      </c>
      <c r="BI77" s="59">
        <f ca="1">AVERAGE(OFFSET($BH$3,0,0,'Données projet'!$E$11+1,1))-AVERAGE(OFFSET($H$3,0,0,'Données projet'!$E$11+1,1))</f>
        <v>293.14894570672351</v>
      </c>
      <c r="BJ77" s="59">
        <f t="shared" si="92"/>
        <v>252.47559879720762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43.762897169311785</v>
      </c>
      <c r="BQ77" s="21">
        <f>EXP(-LN(2)/25)*BQ76+(1-EXP(-LN(2)/25))/(LN(2)/25)*Calculateur!BL77*Calculateur!BN77*VLOOKUP('Données projet'!$B$11,Paramètres!$A$1:$I$89,3,0)*0.475*44/12</f>
        <v>7.1436372103579195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50.906534379669708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607.99999999999977</v>
      </c>
      <c r="O78" s="13">
        <f>N78*VLOOKUP('Données projet'!$B$9,Paramètres!$A$1:$I$89,3,0)*VLOOKUP('Données projet'!$B$9,Paramètres!$A$1:$I$89,5,0)</f>
        <v>339.87199999999984</v>
      </c>
      <c r="P78" s="13">
        <f t="shared" si="87"/>
        <v>79.473500231862786</v>
      </c>
      <c r="Q78" s="20">
        <f t="shared" si="54"/>
        <v>730.36007957049412</v>
      </c>
      <c r="R78" s="59">
        <f t="shared" si="55"/>
        <v>1023.6934129038275</v>
      </c>
      <c r="S78" s="59">
        <f ca="1">AVERAGE(OFFSET($R$3,0,0,'Données projet'!$E$9+1,1))-AVERAGE(OFFSET($H$3,0,0,'Données projet'!$E$9+1,1))</f>
        <v>381.58561971183832</v>
      </c>
      <c r="T78" s="59">
        <f t="shared" si="88"/>
        <v>444.55874959426347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68.286197390207761</v>
      </c>
      <c r="AA78" s="21">
        <f>EXP(-LN(2)/25)*AA77+(1-EXP(-LN(2)/25))/(LN(2)/25)*Calculateur!V78*Calculateur!X78*VLOOKUP('Données projet'!$B$9,Paramètres!$A$1:$I$89,3,0)*0.475*44/12</f>
        <v>16.895518784335117</v>
      </c>
      <c r="AB78" s="21">
        <f>EXP(-LN(2)/2)*AB77+(1-EXP(-LN(2)/2))/(LN(2)/2)*V78*Y78*VLOOKUP('Données projet'!$B$9,Paramètres!$A$1:$I$89,3,0)*0.475*44/12</f>
        <v>2.0371415694435802E-7</v>
      </c>
      <c r="AC78" s="22">
        <f t="shared" si="57"/>
        <v>85.181716378257036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363</v>
      </c>
      <c r="AG78" s="12">
        <f>VLOOKUP(A78,'Données projet'!$A$61:$I$81,9,0)</f>
        <v>12.6</v>
      </c>
      <c r="AH78" s="12">
        <f t="array" ref="AH78">INDEX(AG:AG,MIN(IF(ISNUMBER(AG78:AG274),ROW(AG78:AG274),"")))</f>
        <v>12.6</v>
      </c>
      <c r="AI78" s="13">
        <f>IF('Données projet'!$A$62&gt;35,AI77+AH78-AQ77,IF(A78&lt;'Données projet'!$A$62,$AF$205^A78,IF(A78='Données projet'!$A$62,'Données projet'!$B$62,AI77+AH78-AQ77)))</f>
        <v>363.00000000000023</v>
      </c>
      <c r="AJ78" s="13">
        <f>AI78*VLOOKUP('Données projet'!$B$10,Paramètres!$A$1:$I$89,3,0)*VLOOKUP('Données projet'!$B$10,Paramètres!$A$1:$I$89,5,0)</f>
        <v>226.51200000000014</v>
      </c>
      <c r="AK78" s="13">
        <f t="shared" si="89"/>
        <v>55.527824937247544</v>
      </c>
      <c r="AL78" s="20">
        <f t="shared" si="58"/>
        <v>491.21936176570631</v>
      </c>
      <c r="AM78" s="59">
        <f t="shared" si="59"/>
        <v>784.55269509903962</v>
      </c>
      <c r="AN78" s="59">
        <f ca="1">AVERAGE(OFFSET($AM$3,0,0,'Données projet'!$E$10+1,1))-AVERAGE(OFFSET($H$3,0,0,'Données projet'!$E$10+1,1))</f>
        <v>282.98219518929034</v>
      </c>
      <c r="AO78" s="59">
        <f t="shared" si="90"/>
        <v>205.95652510682322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55.267900732779033</v>
      </c>
      <c r="AV78" s="21">
        <f>EXP(-LN(2)/25)*AV77+(1-EXP(-LN(2)/25))/(LN(2)/25)*Calculateur!AQ78*Calculateur!AS78*VLOOKUP('Données projet'!$B$10,Paramètres!$A$1:$I$89,3,0)*0.475*44/12</f>
        <v>20.118649368591782</v>
      </c>
      <c r="AW78" s="21">
        <f>EXP(-LN(2)/2)*AW77+(1-EXP(-LN(2)/2))/(LN(2)/2)*AQ78*AT78*VLOOKUP('Données projet'!$B$10,Paramètres!$A$1:$I$89,3,0)*0.475*44/12</f>
        <v>1.6950724853563354E-6</v>
      </c>
      <c r="AX78" s="21">
        <f t="shared" si="60"/>
        <v>75.3865517964433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9.4</v>
      </c>
      <c r="BC78" s="12">
        <f t="array" ref="BC78">INDEX(BB:BB,MIN(IF(ISNUMBER(BB78:BB274),ROW(BB78:BB274),"")))</f>
        <v>9.4</v>
      </c>
      <c r="BD78" s="12">
        <f>IF('Données projet'!$A$88&gt;35,BD77+BC78-BL77,IF(A78&lt;'Données projet'!$A$88,$BA$205^A78,IF(A78='Données projet'!$A$88,'Données projet'!$B$88,BD77+BC78-BL77)))</f>
        <v>323.99999999999977</v>
      </c>
      <c r="BE78" s="13">
        <f>BD78*VLOOKUP('Données projet'!$B$11,Paramètres!$A$1:$I$89,3,0)*VLOOKUP('Données projet'!$B$11,Paramètres!$A$1:$I$89,5,0)</f>
        <v>262.82879999999983</v>
      </c>
      <c r="BF78" s="13">
        <f t="shared" si="91"/>
        <v>63.324983518559428</v>
      </c>
      <c r="BG78" s="20">
        <f t="shared" si="61"/>
        <v>568.05117296149058</v>
      </c>
      <c r="BH78" s="59">
        <f t="shared" si="62"/>
        <v>861.38450629482395</v>
      </c>
      <c r="BI78" s="59">
        <f ca="1">AVERAGE(OFFSET($BH$3,0,0,'Données projet'!$E$11+1,1))-AVERAGE(OFFSET($H$3,0,0,'Données projet'!$E$11+1,1))</f>
        <v>293.14894570672351</v>
      </c>
      <c r="BJ78" s="59">
        <f t="shared" si="92"/>
        <v>252.47559879720762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42.904733448553166</v>
      </c>
      <c r="BQ78" s="21">
        <f>EXP(-LN(2)/25)*BQ77+(1-EXP(-LN(2)/25))/(LN(2)/25)*Calculateur!BL78*Calculateur!BN78*VLOOKUP('Données projet'!$B$11,Paramètres!$A$1:$I$89,3,0)*0.475*44/12</f>
        <v>6.9482940751731279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49.853027523726297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607.99999999999977</v>
      </c>
      <c r="O79" s="13">
        <f>N79*VLOOKUP('Données projet'!$B$9,Paramètres!$A$1:$I$89,3,0)*VLOOKUP('Données projet'!$B$9,Paramètres!$A$1:$I$89,5,0)</f>
        <v>339.87199999999984</v>
      </c>
      <c r="P79" s="13">
        <f t="shared" si="87"/>
        <v>79.473500231862786</v>
      </c>
      <c r="Q79" s="20">
        <f t="shared" si="54"/>
        <v>730.36007957049412</v>
      </c>
      <c r="R79" s="59">
        <f t="shared" si="55"/>
        <v>1023.6934129038275</v>
      </c>
      <c r="S79" s="59">
        <f ca="1">AVERAGE(OFFSET($R$3,0,0,'Données projet'!$E$9+1,1))-AVERAGE(OFFSET($H$3,0,0,'Données projet'!$E$9+1,1))</f>
        <v>381.58561971183832</v>
      </c>
      <c r="T79" s="59">
        <f t="shared" si="88"/>
        <v>444.55874959426347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66.947146709853556</v>
      </c>
      <c r="AA79" s="21">
        <f>EXP(-LN(2)/25)*AA78+(1-EXP(-LN(2)/25))/(LN(2)/25)*Calculateur!V79*Calculateur!X79*VLOOKUP('Données projet'!$B$9,Paramètres!$A$1:$I$89,3,0)*0.475*44/12</f>
        <v>16.433509934680757</v>
      </c>
      <c r="AB79" s="21">
        <f>EXP(-LN(2)/2)*AB78+(1-EXP(-LN(2)/2))/(LN(2)/2)*V79*Y79*VLOOKUP('Données projet'!$B$9,Paramètres!$A$1:$I$89,3,0)*0.475*44/12</f>
        <v>1.4404766179905616E-7</v>
      </c>
      <c r="AC79" s="22">
        <f t="shared" si="57"/>
        <v>83.380656788581973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-1</v>
      </c>
      <c r="AI79" s="13">
        <f>IF('Données projet'!$A$62&gt;35,AI78+AH79-AQ78,IF(A79&lt;'Données projet'!$A$62,$AF$205^A79,IF(A79='Données projet'!$A$62,'Données projet'!$B$62,AI78+AH79-AQ78)))</f>
        <v>362.00000000000023</v>
      </c>
      <c r="AJ79" s="13">
        <f>AI79*VLOOKUP('Données projet'!$B$10,Paramètres!$A$1:$I$89,3,0)*VLOOKUP('Données projet'!$B$10,Paramètres!$A$1:$I$89,5,0)</f>
        <v>225.88800000000015</v>
      </c>
      <c r="AK79" s="13">
        <f t="shared" si="89"/>
        <v>55.392639646029394</v>
      </c>
      <c r="AL79" s="20">
        <f t="shared" si="58"/>
        <v>489.89711405016806</v>
      </c>
      <c r="AM79" s="59">
        <f t="shared" si="59"/>
        <v>783.23044738350131</v>
      </c>
      <c r="AN79" s="59">
        <f ca="1">AVERAGE(OFFSET($AM$3,0,0,'Données projet'!$E$10+1,1))-AVERAGE(OFFSET($H$3,0,0,'Données projet'!$E$10+1,1))</f>
        <v>282.98219518929034</v>
      </c>
      <c r="AO79" s="59">
        <f t="shared" si="90"/>
        <v>205.95652510682322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54.184130909500091</v>
      </c>
      <c r="AV79" s="21">
        <f>EXP(-LN(2)/25)*AV78+(1-EXP(-LN(2)/25))/(LN(2)/25)*Calculateur!AQ79*Calculateur!AS79*VLOOKUP('Données projet'!$B$10,Paramètres!$A$1:$I$89,3,0)*0.475*44/12</f>
        <v>19.568503843613851</v>
      </c>
      <c r="AW79" s="21">
        <f>EXP(-LN(2)/2)*AW78+(1-EXP(-LN(2)/2))/(LN(2)/2)*AQ79*AT79*VLOOKUP('Données projet'!$B$10,Paramètres!$A$1:$I$89,3,0)*0.475*44/12</f>
        <v>1.1985972489981996E-6</v>
      </c>
      <c r="AX79" s="21">
        <f t="shared" si="60"/>
        <v>73.752635951711184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-1</v>
      </c>
      <c r="BD79" s="12">
        <f>IF('Données projet'!$A$88&gt;35,BD78+BC79-BL78,IF(A79&lt;'Données projet'!$A$88,$BA$205^A79,IF(A79='Données projet'!$A$88,'Données projet'!$B$88,BD78+BC79-BL78)))</f>
        <v>322.99999999999977</v>
      </c>
      <c r="BE79" s="13">
        <f>BD79*VLOOKUP('Données projet'!$B$11,Paramètres!$A$1:$I$89,3,0)*VLOOKUP('Données projet'!$B$11,Paramètres!$A$1:$I$89,5,0)</f>
        <v>262.01759999999985</v>
      </c>
      <c r="BF79" s="13">
        <f t="shared" si="91"/>
        <v>63.15225506797816</v>
      </c>
      <c r="BG79" s="20">
        <f t="shared" si="61"/>
        <v>566.33749757672831</v>
      </c>
      <c r="BH79" s="59">
        <f t="shared" si="62"/>
        <v>859.67083091006157</v>
      </c>
      <c r="BI79" s="59">
        <f ca="1">AVERAGE(OFFSET($BH$3,0,0,'Données projet'!$E$11+1,1))-AVERAGE(OFFSET($H$3,0,0,'Données projet'!$E$11+1,1))</f>
        <v>293.14894570672351</v>
      </c>
      <c r="BJ79" s="59">
        <f t="shared" si="92"/>
        <v>252.47559879720762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42.063397794930438</v>
      </c>
      <c r="BQ79" s="21">
        <f>EXP(-LN(2)/25)*BQ78+(1-EXP(-LN(2)/25))/(LN(2)/25)*Calculateur!BL79*Calculateur!BN79*VLOOKUP('Données projet'!$B$11,Paramètres!$A$1:$I$89,3,0)*0.475*44/12</f>
        <v>6.7582926082926136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48.821690403223052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607.99999999999977</v>
      </c>
      <c r="O80" s="13">
        <f>N80*VLOOKUP('Données projet'!$B$9,Paramètres!$A$1:$I$89,3,0)*VLOOKUP('Données projet'!$B$9,Paramètres!$A$1:$I$89,5,0)</f>
        <v>339.87199999999984</v>
      </c>
      <c r="P80" s="13">
        <f t="shared" si="87"/>
        <v>79.473500231862786</v>
      </c>
      <c r="Q80" s="20">
        <f t="shared" si="54"/>
        <v>730.36007957049412</v>
      </c>
      <c r="R80" s="59">
        <f t="shared" si="55"/>
        <v>1023.6934129038275</v>
      </c>
      <c r="S80" s="59">
        <f ca="1">AVERAGE(OFFSET($R$3,0,0,'Données projet'!$E$9+1,1))-AVERAGE(OFFSET($H$3,0,0,'Données projet'!$E$9+1,1))</f>
        <v>381.58561971183832</v>
      </c>
      <c r="T80" s="59">
        <f t="shared" si="88"/>
        <v>444.55874959426347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65.634353996600822</v>
      </c>
      <c r="AA80" s="21">
        <f>EXP(-LN(2)/25)*AA79+(1-EXP(-LN(2)/25))/(LN(2)/25)*Calculateur!V80*Calculateur!X80*VLOOKUP('Données projet'!$B$9,Paramètres!$A$1:$I$89,3,0)*0.475*44/12</f>
        <v>15.984134741316183</v>
      </c>
      <c r="AB80" s="21">
        <f>EXP(-LN(2)/2)*AB79+(1-EXP(-LN(2)/2))/(LN(2)/2)*V80*Y80*VLOOKUP('Données projet'!$B$9,Paramètres!$A$1:$I$89,3,0)*0.475*44/12</f>
        <v>1.0185707847217901E-7</v>
      </c>
      <c r="AC80" s="22">
        <f t="shared" si="57"/>
        <v>81.618488839774088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-1</v>
      </c>
      <c r="AI80" s="13">
        <f>IF('Données projet'!$A$62&gt;35,AI79+AH80-AQ79,IF(A80&lt;'Données projet'!$A$62,$AF$205^A80,IF(A80='Données projet'!$A$62,'Données projet'!$B$62,AI79+AH80-AQ79)))</f>
        <v>361.00000000000023</v>
      </c>
      <c r="AJ80" s="13">
        <f>AI80*VLOOKUP('Données projet'!$B$10,Paramètres!$A$1:$I$89,3,0)*VLOOKUP('Données projet'!$B$10,Paramètres!$A$1:$I$89,5,0)</f>
        <v>225.26400000000015</v>
      </c>
      <c r="AK80" s="13">
        <f t="shared" si="89"/>
        <v>55.257410879343809</v>
      </c>
      <c r="AL80" s="20">
        <f t="shared" si="58"/>
        <v>488.57479061485748</v>
      </c>
      <c r="AM80" s="59">
        <f t="shared" si="59"/>
        <v>781.90812394819079</v>
      </c>
      <c r="AN80" s="59">
        <f ca="1">AVERAGE(OFFSET($AM$3,0,0,'Données projet'!$E$10+1,1))-AVERAGE(OFFSET($H$3,0,0,'Données projet'!$E$10+1,1))</f>
        <v>282.98219518929034</v>
      </c>
      <c r="AO80" s="59">
        <f t="shared" si="90"/>
        <v>205.95652510682322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53.121613151421329</v>
      </c>
      <c r="AV80" s="21">
        <f>EXP(-LN(2)/25)*AV79+(1-EXP(-LN(2)/25))/(LN(2)/25)*Calculateur!AQ80*Calculateur!AS80*VLOOKUP('Données projet'!$B$10,Paramètres!$A$1:$I$89,3,0)*0.475*44/12</f>
        <v>19.033402076947336</v>
      </c>
      <c r="AW80" s="21">
        <f>EXP(-LN(2)/2)*AW79+(1-EXP(-LN(2)/2))/(LN(2)/2)*AQ80*AT80*VLOOKUP('Données projet'!$B$10,Paramètres!$A$1:$I$89,3,0)*0.475*44/12</f>
        <v>8.4753624267816772E-7</v>
      </c>
      <c r="AX80" s="21">
        <f t="shared" si="60"/>
        <v>72.155016075904911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-1</v>
      </c>
      <c r="BD80" s="12">
        <f>IF('Données projet'!$A$88&gt;35,BD79+BC80-BL79,IF(A80&lt;'Données projet'!$A$88,$BA$205^A80,IF(A80='Données projet'!$A$88,'Données projet'!$B$88,BD79+BC80-BL79)))</f>
        <v>321.99999999999977</v>
      </c>
      <c r="BE80" s="13">
        <f>BD80*VLOOKUP('Données projet'!$B$11,Paramètres!$A$1:$I$89,3,0)*VLOOKUP('Données projet'!$B$11,Paramètres!$A$1:$I$89,5,0)</f>
        <v>261.2063999999998</v>
      </c>
      <c r="BF80" s="13">
        <f t="shared" si="91"/>
        <v>62.97946435966054</v>
      </c>
      <c r="BG80" s="20">
        <f t="shared" si="61"/>
        <v>564.62371375974169</v>
      </c>
      <c r="BH80" s="59">
        <f t="shared" si="62"/>
        <v>857.95704709307506</v>
      </c>
      <c r="BI80" s="59">
        <f ca="1">AVERAGE(OFFSET($BH$3,0,0,'Données projet'!$E$11+1,1))-AVERAGE(OFFSET($H$3,0,0,'Données projet'!$E$11+1,1))</f>
        <v>293.14894570672351</v>
      </c>
      <c r="BJ80" s="59">
        <f t="shared" si="92"/>
        <v>252.47559879720762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41.238560220311172</v>
      </c>
      <c r="BQ80" s="21">
        <f>EXP(-LN(2)/25)*BQ79+(1-EXP(-LN(2)/25))/(LN(2)/25)*Calculateur!BL80*Calculateur!BN80*VLOOKUP('Données projet'!$B$11,Paramètres!$A$1:$I$89,3,0)*0.475*44/12</f>
        <v>6.5734867415156897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47.812046961826859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607.99999999999977</v>
      </c>
      <c r="O81" s="13">
        <f>N81*VLOOKUP('Données projet'!$B$9,Paramètres!$A$1:$I$89,3,0)*VLOOKUP('Données projet'!$B$9,Paramètres!$A$1:$I$89,5,0)</f>
        <v>339.87199999999984</v>
      </c>
      <c r="P81" s="13">
        <f t="shared" si="87"/>
        <v>79.473500231862786</v>
      </c>
      <c r="Q81" s="20">
        <f t="shared" si="54"/>
        <v>730.36007957049412</v>
      </c>
      <c r="R81" s="59">
        <f t="shared" si="55"/>
        <v>1023.6934129038275</v>
      </c>
      <c r="S81" s="59">
        <f ca="1">AVERAGE(OFFSET($R$3,0,0,'Données projet'!$E$9+1,1))-AVERAGE(OFFSET($H$3,0,0,'Données projet'!$E$9+1,1))</f>
        <v>381.58561971183832</v>
      </c>
      <c r="T81" s="59">
        <f t="shared" si="88"/>
        <v>444.55874959426347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64.347304347730486</v>
      </c>
      <c r="AA81" s="21">
        <f>EXP(-LN(2)/25)*AA80+(1-EXP(-LN(2)/25))/(LN(2)/25)*Calculateur!V81*Calculateur!X81*VLOOKUP('Données projet'!$B$9,Paramètres!$A$1:$I$89,3,0)*0.475*44/12</f>
        <v>15.547047736245778</v>
      </c>
      <c r="AB81" s="21">
        <f>EXP(-LN(2)/2)*AB80+(1-EXP(-LN(2)/2))/(LN(2)/2)*V81*Y81*VLOOKUP('Données projet'!$B$9,Paramètres!$A$1:$I$89,3,0)*0.475*44/12</f>
        <v>7.2023830899528081E-8</v>
      </c>
      <c r="AC81" s="22">
        <f t="shared" si="57"/>
        <v>79.894352156000096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-1</v>
      </c>
      <c r="AI81" s="13">
        <f>IF('Données projet'!$A$62&gt;35,AI80+AH81-AQ80,IF(A81&lt;'Données projet'!$A$62,$AF$205^A81,IF(A81='Données projet'!$A$62,'Données projet'!$B$62,AI80+AH81-AQ80)))</f>
        <v>360.00000000000023</v>
      </c>
      <c r="AJ81" s="13">
        <f>AI81*VLOOKUP('Données projet'!$B$10,Paramètres!$A$1:$I$89,3,0)*VLOOKUP('Données projet'!$B$10,Paramètres!$A$1:$I$89,5,0)</f>
        <v>224.64000000000013</v>
      </c>
      <c r="AK81" s="13">
        <f t="shared" si="89"/>
        <v>55.122138502719949</v>
      </c>
      <c r="AL81" s="20">
        <f t="shared" si="58"/>
        <v>487.25239122557076</v>
      </c>
      <c r="AM81" s="59">
        <f t="shared" si="59"/>
        <v>780.58572455890408</v>
      </c>
      <c r="AN81" s="59">
        <f ca="1">AVERAGE(OFFSET($AM$3,0,0,'Données projet'!$E$10+1,1))-AVERAGE(OFFSET($H$3,0,0,'Données projet'!$E$10+1,1))</f>
        <v>282.98219518929034</v>
      </c>
      <c r="AO81" s="59">
        <f t="shared" si="90"/>
        <v>205.95652510682322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52.079930718506645</v>
      </c>
      <c r="AV81" s="21">
        <f>EXP(-LN(2)/25)*AV80+(1-EXP(-LN(2)/25))/(LN(2)/25)*Calculateur!AQ81*Calculateur!AS81*VLOOKUP('Données projet'!$B$10,Paramètres!$A$1:$I$89,3,0)*0.475*44/12</f>
        <v>18.512932696230099</v>
      </c>
      <c r="AW81" s="21">
        <f>EXP(-LN(2)/2)*AW80+(1-EXP(-LN(2)/2))/(LN(2)/2)*AQ81*AT81*VLOOKUP('Données projet'!$B$10,Paramètres!$A$1:$I$89,3,0)*0.475*44/12</f>
        <v>5.9929862449909978E-7</v>
      </c>
      <c r="AX81" s="21">
        <f t="shared" si="60"/>
        <v>70.592864014035371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-1</v>
      </c>
      <c r="BD81" s="12">
        <f>IF('Données projet'!$A$88&gt;35,BD80+BC81-BL80,IF(A81&lt;'Données projet'!$A$88,$BA$205^A81,IF(A81='Données projet'!$A$88,'Données projet'!$B$88,BD80+BC81-BL80)))</f>
        <v>320.99999999999977</v>
      </c>
      <c r="BE81" s="13">
        <f>BD81*VLOOKUP('Données projet'!$B$11,Paramètres!$A$1:$I$89,3,0)*VLOOKUP('Données projet'!$B$11,Paramètres!$A$1:$I$89,5,0)</f>
        <v>260.39519999999982</v>
      </c>
      <c r="BF81" s="13">
        <f t="shared" si="91"/>
        <v>62.806611177714331</v>
      </c>
      <c r="BG81" s="20">
        <f t="shared" si="61"/>
        <v>562.90982113451878</v>
      </c>
      <c r="BH81" s="59">
        <f t="shared" si="62"/>
        <v>856.24315446785204</v>
      </c>
      <c r="BI81" s="59">
        <f ca="1">AVERAGE(OFFSET($BH$3,0,0,'Données projet'!$E$11+1,1))-AVERAGE(OFFSET($H$3,0,0,'Données projet'!$E$11+1,1))</f>
        <v>293.14894570672351</v>
      </c>
      <c r="BJ81" s="59">
        <f t="shared" si="92"/>
        <v>252.47559879720762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40.429897207428951</v>
      </c>
      <c r="BQ81" s="21">
        <f>EXP(-LN(2)/25)*BQ80+(1-EXP(-LN(2)/25))/(LN(2)/25)*Calculateur!BL81*Calculateur!BN81*VLOOKUP('Données projet'!$B$11,Paramètres!$A$1:$I$89,3,0)*0.475*44/12</f>
        <v>6.3937344008842993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46.823631608313249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607.99999999999977</v>
      </c>
      <c r="O82" s="13">
        <f>N82*VLOOKUP('Données projet'!$B$9,Paramètres!$A$1:$I$89,3,0)*VLOOKUP('Données projet'!$B$9,Paramètres!$A$1:$I$89,5,0)</f>
        <v>339.87199999999984</v>
      </c>
      <c r="P82" s="13">
        <f t="shared" si="87"/>
        <v>79.473500231862786</v>
      </c>
      <c r="Q82" s="20">
        <f t="shared" si="54"/>
        <v>730.36007957049412</v>
      </c>
      <c r="R82" s="59">
        <f t="shared" si="55"/>
        <v>1023.6934129038275</v>
      </c>
      <c r="S82" s="59">
        <f ca="1">AVERAGE(OFFSET($R$3,0,0,'Données projet'!$E$9+1,1))-AVERAGE(OFFSET($H$3,0,0,'Données projet'!$E$9+1,1))</f>
        <v>381.58561971183832</v>
      </c>
      <c r="T82" s="59">
        <f t="shared" si="88"/>
        <v>444.55874959426347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63.085492957451727</v>
      </c>
      <c r="AA82" s="21">
        <f>EXP(-LN(2)/25)*AA81+(1-EXP(-LN(2)/25))/(LN(2)/25)*Calculateur!V82*Calculateur!X82*VLOOKUP('Données projet'!$B$9,Paramètres!$A$1:$I$89,3,0)*0.475*44/12</f>
        <v>15.121912898314431</v>
      </c>
      <c r="AB82" s="21">
        <f>EXP(-LN(2)/2)*AB81+(1-EXP(-LN(2)/2))/(LN(2)/2)*V82*Y82*VLOOKUP('Données projet'!$B$9,Paramètres!$A$1:$I$89,3,0)*0.475*44/12</f>
        <v>5.0928539236089504E-8</v>
      </c>
      <c r="AC82" s="22">
        <f t="shared" si="57"/>
        <v>78.207405906694689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-1</v>
      </c>
      <c r="AI82" s="13">
        <f>IF('Données projet'!$A$62&gt;35,AI81+AH82-AQ81,IF(A82&lt;'Données projet'!$A$62,$AF$205^A82,IF(A82='Données projet'!$A$62,'Données projet'!$B$62,AI81+AH82-AQ81)))</f>
        <v>359.00000000000023</v>
      </c>
      <c r="AJ82" s="13">
        <f>AI82*VLOOKUP('Données projet'!$B$10,Paramètres!$A$1:$I$89,3,0)*VLOOKUP('Données projet'!$B$10,Paramètres!$A$1:$I$89,5,0)</f>
        <v>224.01600000000013</v>
      </c>
      <c r="AK82" s="13">
        <f t="shared" si="89"/>
        <v>54.986822380896371</v>
      </c>
      <c r="AL82" s="20">
        <f t="shared" si="58"/>
        <v>485.92991564672815</v>
      </c>
      <c r="AM82" s="59">
        <f t="shared" si="59"/>
        <v>779.26324898006146</v>
      </c>
      <c r="AN82" s="59">
        <f ca="1">AVERAGE(OFFSET($AM$3,0,0,'Données projet'!$E$10+1,1))-AVERAGE(OFFSET($H$3,0,0,'Données projet'!$E$10+1,1))</f>
        <v>282.98219518929034</v>
      </c>
      <c r="AO82" s="59">
        <f t="shared" si="90"/>
        <v>205.95652510682322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51.058675042737875</v>
      </c>
      <c r="AV82" s="21">
        <f>EXP(-LN(2)/25)*AV81+(1-EXP(-LN(2)/25))/(LN(2)/25)*Calculateur!AQ82*Calculateur!AS82*VLOOKUP('Données projet'!$B$10,Paramètres!$A$1:$I$89,3,0)*0.475*44/12</f>
        <v>18.006695578098867</v>
      </c>
      <c r="AW82" s="21">
        <f>EXP(-LN(2)/2)*AW81+(1-EXP(-LN(2)/2))/(LN(2)/2)*AQ82*AT82*VLOOKUP('Données projet'!$B$10,Paramètres!$A$1:$I$89,3,0)*0.475*44/12</f>
        <v>4.2376812133908386E-7</v>
      </c>
      <c r="AX82" s="21">
        <f t="shared" si="60"/>
        <v>69.065371044604873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-1</v>
      </c>
      <c r="BD82" s="12">
        <f>IF('Données projet'!$A$88&gt;35,BD81+BC82-BL81,IF(A82&lt;'Données projet'!$A$88,$BA$205^A82,IF(A82='Données projet'!$A$88,'Données projet'!$B$88,BD81+BC82-BL81)))</f>
        <v>319.99999999999977</v>
      </c>
      <c r="BE82" s="13">
        <f>BD82*VLOOKUP('Données projet'!$B$11,Paramètres!$A$1:$I$89,3,0)*VLOOKUP('Données projet'!$B$11,Paramètres!$A$1:$I$89,5,0)</f>
        <v>259.58399999999983</v>
      </c>
      <c r="BF82" s="13">
        <f t="shared" si="91"/>
        <v>62.63369530482354</v>
      </c>
      <c r="BG82" s="20">
        <f t="shared" si="61"/>
        <v>561.19581932256744</v>
      </c>
      <c r="BH82" s="59">
        <f t="shared" si="62"/>
        <v>854.52915265590082</v>
      </c>
      <c r="BI82" s="59">
        <f ca="1">AVERAGE(OFFSET($BH$3,0,0,'Données projet'!$E$11+1,1))-AVERAGE(OFFSET($H$3,0,0,'Données projet'!$E$11+1,1))</f>
        <v>293.14894570672351</v>
      </c>
      <c r="BJ82" s="59">
        <f t="shared" si="92"/>
        <v>252.47559879720762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39.637091582993612</v>
      </c>
      <c r="BQ82" s="21">
        <f>EXP(-LN(2)/25)*BQ81+(1-EXP(-LN(2)/25))/(LN(2)/25)*Calculateur!BL82*Calculateur!BN82*VLOOKUP('Données projet'!$B$11,Paramètres!$A$1:$I$89,3,0)*0.475*44/12</f>
        <v>6.2188973974602391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45.855988980453851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607.99999999999977</v>
      </c>
      <c r="O83" s="13">
        <f>N83*VLOOKUP('Données projet'!$B$9,Paramètres!$A$1:$I$89,3,0)*VLOOKUP('Données projet'!$B$9,Paramètres!$A$1:$I$89,5,0)</f>
        <v>339.87199999999984</v>
      </c>
      <c r="P83" s="13">
        <f t="shared" si="87"/>
        <v>79.473500231862786</v>
      </c>
      <c r="Q83" s="20">
        <f t="shared" si="54"/>
        <v>730.36007957049412</v>
      </c>
      <c r="R83" s="59">
        <f t="shared" si="55"/>
        <v>1023.6934129038275</v>
      </c>
      <c r="S83" s="59">
        <f ca="1">AVERAGE(OFFSET($R$3,0,0,'Données projet'!$E$9+1,1))-AVERAGE(OFFSET($H$3,0,0,'Données projet'!$E$9+1,1))</f>
        <v>381.58561971183832</v>
      </c>
      <c r="T83" s="59">
        <f t="shared" si="88"/>
        <v>444.55874959426347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61.848424918907384</v>
      </c>
      <c r="AA83" s="21">
        <f>EXP(-LN(2)/25)*AA82+(1-EXP(-LN(2)/25))/(LN(2)/25)*Calculateur!V83*Calculateur!X83*VLOOKUP('Données projet'!$B$9,Paramètres!$A$1:$I$89,3,0)*0.475*44/12</f>
        <v>14.708403394883184</v>
      </c>
      <c r="AB83" s="21">
        <f>EXP(-LN(2)/2)*AB82+(1-EXP(-LN(2)/2))/(LN(2)/2)*V83*Y83*VLOOKUP('Données projet'!$B$9,Paramètres!$A$1:$I$89,3,0)*0.475*44/12</f>
        <v>3.6011915449764041E-8</v>
      </c>
      <c r="AC83" s="22">
        <f t="shared" si="57"/>
        <v>76.556828349802473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358</v>
      </c>
      <c r="AG83" s="12">
        <f>VLOOKUP(A83,'Données projet'!$A$61:$I$81,9,0)</f>
        <v>-1</v>
      </c>
      <c r="AH83" s="12">
        <f t="array" ref="AH83">INDEX(AG:AG,MIN(IF(ISNUMBER(AG83:AG279),ROW(AG83:AG279),"")))</f>
        <v>-1</v>
      </c>
      <c r="AI83" s="13">
        <f>IF('Données projet'!$A$62&gt;35,AI82+AH83-AQ82,IF(A83&lt;'Données projet'!$A$62,$AF$205^A83,IF(A83='Données projet'!$A$62,'Données projet'!$B$62,AI82+AH83-AQ82)))</f>
        <v>358.00000000000023</v>
      </c>
      <c r="AJ83" s="13">
        <f>AI83*VLOOKUP('Données projet'!$B$10,Paramètres!$A$1:$I$89,3,0)*VLOOKUP('Données projet'!$B$10,Paramètres!$A$1:$I$89,5,0)</f>
        <v>223.39200000000011</v>
      </c>
      <c r="AK83" s="13">
        <f t="shared" si="89"/>
        <v>54.851462377814059</v>
      </c>
      <c r="AL83" s="20">
        <f t="shared" si="58"/>
        <v>484.60736364135965</v>
      </c>
      <c r="AM83" s="59">
        <f t="shared" si="59"/>
        <v>777.94069697469297</v>
      </c>
      <c r="AN83" s="59">
        <f ca="1">AVERAGE(OFFSET($AM$3,0,0,'Données projet'!$E$10+1,1))-AVERAGE(OFFSET($H$3,0,0,'Données projet'!$E$10+1,1))</f>
        <v>282.98219518929034</v>
      </c>
      <c r="AO83" s="59">
        <f t="shared" si="90"/>
        <v>205.95652510682322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29</v>
      </c>
      <c r="AR83" s="16">
        <f>IF(ISNA(VLOOKUP(A83,'Données projet'!$A$61:$I$81,5,0)),0%,VLOOKUP(A83,'Données projet'!$A$61:$I$81,5,0)*VLOOKUP('Données projet'!$B$10,Paramètres!$A$1:$I$89,7,0))</f>
        <v>0.48</v>
      </c>
      <c r="AS83" s="16">
        <f>IF(ISNA(VLOOKUP(A83,'Données projet'!$A$61:$I$81,6,0)),0%,VLOOKUP(A83,'Données projet'!$A$61:$I$81,6,0)*VLOOKUP('Données projet'!$B$10,Paramètres!$A$1:$I$89,7,0))</f>
        <v>0.12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61.580090552970752</v>
      </c>
      <c r="AV83" s="21">
        <f>EXP(-LN(2)/25)*AV82+(1-EXP(-LN(2)/25))/(LN(2)/25)*Calculateur!AQ83*Calculateur!AS83*VLOOKUP('Données projet'!$B$10,Paramètres!$A$1:$I$89,3,0)*0.475*44/12</f>
        <v>20.383620525916285</v>
      </c>
      <c r="AW83" s="21">
        <f>EXP(-LN(2)/2)*AW82+(1-EXP(-LN(2)/2))/(LN(2)/2)*AQ83*AT83*VLOOKUP('Données projet'!$B$10,Paramètres!$A$1:$I$89,3,0)*0.475*44/12</f>
        <v>2.9964931224954989E-7</v>
      </c>
      <c r="AX83" s="21">
        <f t="shared" si="60"/>
        <v>81.963711378536345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319</v>
      </c>
      <c r="BB83" s="12">
        <f>VLOOKUP(A83,'Données projet'!$A$87:$I$107,9,0)</f>
        <v>-1</v>
      </c>
      <c r="BC83" s="12">
        <f t="array" ref="BC83">INDEX(BB:BB,MIN(IF(ISNUMBER(BB83:BB279),ROW(BB83:BB279),"")))</f>
        <v>-1</v>
      </c>
      <c r="BD83" s="12">
        <f>IF('Données projet'!$A$88&gt;35,BD82+BC83-BL82,IF(A83&lt;'Données projet'!$A$88,$BA$205^A83,IF(A83='Données projet'!$A$88,'Données projet'!$B$88,BD82+BC83-BL82)))</f>
        <v>318.99999999999977</v>
      </c>
      <c r="BE83" s="13">
        <f>BD83*VLOOKUP('Données projet'!$B$11,Paramètres!$A$1:$I$89,3,0)*VLOOKUP('Données projet'!$B$11,Paramètres!$A$1:$I$89,5,0)</f>
        <v>258.77279999999985</v>
      </c>
      <c r="BF83" s="13">
        <f t="shared" si="91"/>
        <v>62.460716522234641</v>
      </c>
      <c r="BG83" s="20">
        <f t="shared" si="61"/>
        <v>559.4817079428916</v>
      </c>
      <c r="BH83" s="59">
        <f t="shared" si="62"/>
        <v>852.81504127622497</v>
      </c>
      <c r="BI83" s="59">
        <f ca="1">AVERAGE(OFFSET($BH$3,0,0,'Données projet'!$E$11+1,1))-AVERAGE(OFFSET($H$3,0,0,'Données projet'!$E$11+1,1))</f>
        <v>293.14894570672351</v>
      </c>
      <c r="BJ83" s="59">
        <f t="shared" si="92"/>
        <v>252.47559879720762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23</v>
      </c>
      <c r="BM83" s="16">
        <f>IF(ISNA(VLOOKUP(A83,'Données projet'!$A$87:$I$107,5,0)),0%,VLOOKUP(A83,'Données projet'!$A$87:$I$107,5,0)*VLOOKUP('Données projet'!$B$11,Paramètres!$A$1:$I$89,7,0))</f>
        <v>0.34400000000000003</v>
      </c>
      <c r="BN83" s="16">
        <f>IF(ISNA(VLOOKUP(A83,'Données projet'!$A$87:$I$107,6,0)),0%,VLOOKUP(A83,'Données projet'!$A$87:$I$107,6,0)*VLOOKUP('Données projet'!$B$11,Paramètres!$A$1:$I$89,7,0))</f>
        <v>8.6000000000000007E-2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45.954978301981619</v>
      </c>
      <c r="BQ83" s="21">
        <f>EXP(-LN(2)/25)*BQ82+(1-EXP(-LN(2)/25))/(LN(2)/25)*Calculateur!BL83*Calculateur!BN83*VLOOKUP('Données projet'!$B$11,Paramètres!$A$1:$I$89,3,0)*0.475*44/12</f>
        <v>7.8156437250357849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53.770622027017403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607.99999999999977</v>
      </c>
      <c r="O84" s="13">
        <f>N84*VLOOKUP('Données projet'!$B$9,Paramètres!$A$1:$I$89,3,0)*VLOOKUP('Données projet'!$B$9,Paramètres!$A$1:$I$89,5,0)</f>
        <v>339.87199999999984</v>
      </c>
      <c r="P84" s="13">
        <f t="shared" si="87"/>
        <v>79.473500231862786</v>
      </c>
      <c r="Q84" s="20">
        <f t="shared" si="54"/>
        <v>730.36007957049412</v>
      </c>
      <c r="R84" s="59">
        <f t="shared" si="55"/>
        <v>1023.6934129038275</v>
      </c>
      <c r="S84" s="59">
        <f ca="1">AVERAGE(OFFSET($R$3,0,0,'Données projet'!$E$9+1,1))-AVERAGE(OFFSET($H$3,0,0,'Données projet'!$E$9+1,1))</f>
        <v>381.58561971183832</v>
      </c>
      <c r="T84" s="59">
        <f t="shared" si="88"/>
        <v>444.55874959426347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60.635615030061892</v>
      </c>
      <c r="AA84" s="21">
        <f>EXP(-LN(2)/25)*AA83+(1-EXP(-LN(2)/25))/(LN(2)/25)*Calculateur!V84*Calculateur!X84*VLOOKUP('Données projet'!$B$9,Paramètres!$A$1:$I$89,3,0)*0.475*44/12</f>
        <v>14.306201330568786</v>
      </c>
      <c r="AB84" s="21">
        <f>EXP(-LN(2)/2)*AB83+(1-EXP(-LN(2)/2))/(LN(2)/2)*V84*Y84*VLOOKUP('Données projet'!$B$9,Paramètres!$A$1:$I$89,3,0)*0.475*44/12</f>
        <v>2.5464269618044752E-8</v>
      </c>
      <c r="AC84" s="22">
        <f t="shared" si="57"/>
        <v>74.941816386094956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9.8000000000000007</v>
      </c>
      <c r="AI84" s="13">
        <f>IF('Données projet'!$A$62&gt;35,AI83+AH84-AQ83,IF(A84&lt;'Données projet'!$A$62,$AF$205^A84,IF(A84='Données projet'!$A$62,'Données projet'!$B$62,AI83+AH84-AQ83)))</f>
        <v>338.80000000000024</v>
      </c>
      <c r="AJ84" s="13">
        <f>AI84*VLOOKUP('Données projet'!$B$10,Paramètres!$A$1:$I$89,3,0)*VLOOKUP('Données projet'!$B$10,Paramètres!$A$1:$I$89,5,0)</f>
        <v>211.41120000000015</v>
      </c>
      <c r="AK84" s="13">
        <f t="shared" si="89"/>
        <v>52.243848094411206</v>
      </c>
      <c r="AL84" s="20">
        <f t="shared" si="58"/>
        <v>459.19920876443308</v>
      </c>
      <c r="AM84" s="59">
        <f t="shared" si="59"/>
        <v>752.5325420977664</v>
      </c>
      <c r="AN84" s="59">
        <f ca="1">AVERAGE(OFFSET($AM$3,0,0,'Données projet'!$E$10+1,1))-AVERAGE(OFFSET($H$3,0,0,'Données projet'!$E$10+1,1))</f>
        <v>282.98219518929034</v>
      </c>
      <c r="AO84" s="59">
        <f t="shared" si="90"/>
        <v>205.95652510682322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60.372542537373477</v>
      </c>
      <c r="AV84" s="21">
        <f>EXP(-LN(2)/25)*AV83+(1-EXP(-LN(2)/25))/(LN(2)/25)*Calculateur!AQ84*Calculateur!AS84*VLOOKUP('Données projet'!$B$10,Paramètres!$A$1:$I$89,3,0)*0.475*44/12</f>
        <v>19.826229350707088</v>
      </c>
      <c r="AW84" s="21">
        <f>EXP(-LN(2)/2)*AW83+(1-EXP(-LN(2)/2))/(LN(2)/2)*AQ84*AT84*VLOOKUP('Données projet'!$B$10,Paramètres!$A$1:$I$89,3,0)*0.475*44/12</f>
        <v>2.1188406066954193E-7</v>
      </c>
      <c r="AX84" s="21">
        <f t="shared" si="60"/>
        <v>80.198772099964614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295.99999999999977</v>
      </c>
      <c r="BE84" s="13">
        <f>BD84*VLOOKUP('Données projet'!$B$11,Paramètres!$A$1:$I$89,3,0)*VLOOKUP('Données projet'!$B$11,Paramètres!$A$1:$I$89,5,0)</f>
        <v>240.11519999999982</v>
      </c>
      <c r="BF84" s="13">
        <f t="shared" si="91"/>
        <v>58.464315631105265</v>
      </c>
      <c r="BG84" s="20">
        <f t="shared" si="61"/>
        <v>520.02598972417468</v>
      </c>
      <c r="BH84" s="59">
        <f t="shared" si="62"/>
        <v>813.35932305750794</v>
      </c>
      <c r="BI84" s="59">
        <f ca="1">AVERAGE(OFFSET($BH$3,0,0,'Données projet'!$E$11+1,1))-AVERAGE(OFFSET($H$3,0,0,'Données projet'!$E$11+1,1))</f>
        <v>293.14894570672351</v>
      </c>
      <c r="BJ84" s="59">
        <f t="shared" si="92"/>
        <v>252.47559879720762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45.05382920724881</v>
      </c>
      <c r="BQ84" s="21">
        <f>EXP(-LN(2)/25)*BQ83+(1-EXP(-LN(2)/25))/(LN(2)/25)*Calculateur!BL84*Calculateur!BN84*VLOOKUP('Données projet'!$B$11,Paramètres!$A$1:$I$89,3,0)*0.475*44/12</f>
        <v>7.6019245363678412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52.65575374361665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607.99999999999977</v>
      </c>
      <c r="O85" s="13">
        <f>N85*VLOOKUP('Données projet'!$B$9,Paramètres!$A$1:$I$89,3,0)*VLOOKUP('Données projet'!$B$9,Paramètres!$A$1:$I$89,5,0)</f>
        <v>339.87199999999984</v>
      </c>
      <c r="P85" s="13">
        <f t="shared" si="87"/>
        <v>79.473500231862786</v>
      </c>
      <c r="Q85" s="20">
        <f t="shared" si="54"/>
        <v>730.36007957049412</v>
      </c>
      <c r="R85" s="59">
        <f t="shared" si="55"/>
        <v>1023.6934129038275</v>
      </c>
      <c r="S85" s="59">
        <f ca="1">AVERAGE(OFFSET($R$3,0,0,'Données projet'!$E$9+1,1))-AVERAGE(OFFSET($H$3,0,0,'Données projet'!$E$9+1,1))</f>
        <v>381.58561971183832</v>
      </c>
      <c r="T85" s="59">
        <f t="shared" si="88"/>
        <v>444.55874959426347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59.44658760339567</v>
      </c>
      <c r="AA85" s="21">
        <f>EXP(-LN(2)/25)*AA84+(1-EXP(-LN(2)/25))/(LN(2)/25)*Calculateur!V85*Calculateur!X85*VLOOKUP('Données projet'!$B$9,Paramètres!$A$1:$I$89,3,0)*0.475*44/12</f>
        <v>13.914997502853952</v>
      </c>
      <c r="AB85" s="21">
        <f>EXP(-LN(2)/2)*AB84+(1-EXP(-LN(2)/2))/(LN(2)/2)*V85*Y85*VLOOKUP('Données projet'!$B$9,Paramètres!$A$1:$I$89,3,0)*0.475*44/12</f>
        <v>1.800595772488202E-8</v>
      </c>
      <c r="AC85" s="22">
        <f t="shared" si="57"/>
        <v>73.361585124255583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9.8000000000000007</v>
      </c>
      <c r="AI85" s="13">
        <f>IF('Données projet'!$A$62&gt;35,AI84+AH85-AQ84,IF(A85&lt;'Données projet'!$A$62,$AF$205^A85,IF(A85='Données projet'!$A$62,'Données projet'!$B$62,AI84+AH85-AQ84)))</f>
        <v>348.60000000000025</v>
      </c>
      <c r="AJ85" s="13">
        <f>AI85*VLOOKUP('Données projet'!$B$10,Paramètres!$A$1:$I$89,3,0)*VLOOKUP('Données projet'!$B$10,Paramètres!$A$1:$I$89,5,0)</f>
        <v>217.52640000000017</v>
      </c>
      <c r="AK85" s="13">
        <f t="shared" si="89"/>
        <v>53.576907690651304</v>
      </c>
      <c r="AL85" s="20">
        <f t="shared" si="58"/>
        <v>472.17159422788467</v>
      </c>
      <c r="AM85" s="59">
        <f t="shared" si="59"/>
        <v>765.50492756121798</v>
      </c>
      <c r="AN85" s="59">
        <f ca="1">AVERAGE(OFFSET($AM$3,0,0,'Données projet'!$E$10+1,1))-AVERAGE(OFFSET($H$3,0,0,'Données projet'!$E$10+1,1))</f>
        <v>282.98219518929034</v>
      </c>
      <c r="AO85" s="59">
        <f t="shared" si="90"/>
        <v>205.95652510682322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59.188673801830504</v>
      </c>
      <c r="AV85" s="21">
        <f>EXP(-LN(2)/25)*AV84+(1-EXP(-LN(2)/25))/(LN(2)/25)*Calculateur!AQ85*Calculateur!AS85*VLOOKUP('Données projet'!$B$10,Paramètres!$A$1:$I$89,3,0)*0.475*44/12</f>
        <v>19.284080066495914</v>
      </c>
      <c r="AW85" s="21">
        <f>EXP(-LN(2)/2)*AW84+(1-EXP(-LN(2)/2))/(LN(2)/2)*AQ85*AT85*VLOOKUP('Données projet'!$B$10,Paramètres!$A$1:$I$89,3,0)*0.475*44/12</f>
        <v>1.4982465612477494E-7</v>
      </c>
      <c r="AX85" s="21">
        <f t="shared" si="60"/>
        <v>78.472754018151079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295.99999999999977</v>
      </c>
      <c r="BE85" s="13">
        <f>BD85*VLOOKUP('Données projet'!$B$11,Paramètres!$A$1:$I$89,3,0)*VLOOKUP('Données projet'!$B$11,Paramètres!$A$1:$I$89,5,0)</f>
        <v>240.11519999999982</v>
      </c>
      <c r="BF85" s="13">
        <f t="shared" si="91"/>
        <v>58.464315631105265</v>
      </c>
      <c r="BG85" s="20">
        <f t="shared" si="61"/>
        <v>520.02598972417468</v>
      </c>
      <c r="BH85" s="59">
        <f t="shared" si="62"/>
        <v>813.35932305750794</v>
      </c>
      <c r="BI85" s="59">
        <f ca="1">AVERAGE(OFFSET($BH$3,0,0,'Données projet'!$E$11+1,1))-AVERAGE(OFFSET($H$3,0,0,'Données projet'!$E$11+1,1))</f>
        <v>293.14894570672351</v>
      </c>
      <c r="BJ85" s="59">
        <f t="shared" si="92"/>
        <v>252.47559879720762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44.17035109661704</v>
      </c>
      <c r="BQ85" s="21">
        <f>EXP(-LN(2)/25)*BQ84+(1-EXP(-LN(2)/25))/(LN(2)/25)*Calculateur!BL85*Calculateur!BN85*VLOOKUP('Données projet'!$B$11,Paramètres!$A$1:$I$89,3,0)*0.475*44/12</f>
        <v>7.3940495101530255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51.564400606770064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607.99999999999977</v>
      </c>
      <c r="O86" s="13">
        <f>N86*VLOOKUP('Données projet'!$B$9,Paramètres!$A$1:$I$89,3,0)*VLOOKUP('Données projet'!$B$9,Paramètres!$A$1:$I$89,5,0)</f>
        <v>339.87199999999984</v>
      </c>
      <c r="P86" s="13">
        <f t="shared" si="87"/>
        <v>79.473500231862786</v>
      </c>
      <c r="Q86" s="20">
        <f t="shared" si="54"/>
        <v>730.36007957049412</v>
      </c>
      <c r="R86" s="59">
        <f t="shared" si="55"/>
        <v>1023.6934129038275</v>
      </c>
      <c r="S86" s="59">
        <f ca="1">AVERAGE(OFFSET($R$3,0,0,'Données projet'!$E$9+1,1))-AVERAGE(OFFSET($H$3,0,0,'Données projet'!$E$9+1,1))</f>
        <v>381.58561971183832</v>
      </c>
      <c r="T86" s="59">
        <f t="shared" si="88"/>
        <v>444.55874959426347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58.28087627933126</v>
      </c>
      <c r="AA86" s="21">
        <f>EXP(-LN(2)/25)*AA85+(1-EXP(-LN(2)/25))/(LN(2)/25)*Calculateur!V86*Calculateur!X86*VLOOKUP('Données projet'!$B$9,Paramètres!$A$1:$I$89,3,0)*0.475*44/12</f>
        <v>13.534491164380494</v>
      </c>
      <c r="AB86" s="21">
        <f>EXP(-LN(2)/2)*AB85+(1-EXP(-LN(2)/2))/(LN(2)/2)*V86*Y86*VLOOKUP('Données projet'!$B$9,Paramètres!$A$1:$I$89,3,0)*0.475*44/12</f>
        <v>1.2732134809022376E-8</v>
      </c>
      <c r="AC86" s="22">
        <f t="shared" si="57"/>
        <v>71.81536745644388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9.8000000000000007</v>
      </c>
      <c r="AI86" s="13">
        <f>IF('Données projet'!$A$62&gt;35,AI85+AH86-AQ85,IF(A86&lt;'Données projet'!$A$62,$AF$205^A86,IF(A86='Données projet'!$A$62,'Données projet'!$B$62,AI85+AH86-AQ85)))</f>
        <v>358.40000000000026</v>
      </c>
      <c r="AJ86" s="13">
        <f>AI86*VLOOKUP('Données projet'!$B$10,Paramètres!$A$1:$I$89,3,0)*VLOOKUP('Données projet'!$B$10,Paramètres!$A$1:$I$89,5,0)</f>
        <v>223.64160000000018</v>
      </c>
      <c r="AK86" s="13">
        <f t="shared" si="89"/>
        <v>54.905611653539268</v>
      </c>
      <c r="AL86" s="20">
        <f t="shared" si="58"/>
        <v>485.13639362991444</v>
      </c>
      <c r="AM86" s="59">
        <f t="shared" si="59"/>
        <v>778.46972696324769</v>
      </c>
      <c r="AN86" s="59">
        <f ca="1">AVERAGE(OFFSET($AM$3,0,0,'Données projet'!$E$10+1,1))-AVERAGE(OFFSET($H$3,0,0,'Données projet'!$E$10+1,1))</f>
        <v>282.98219518929034</v>
      </c>
      <c r="AO86" s="59">
        <f t="shared" si="90"/>
        <v>205.95652510682322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58.0280200101029</v>
      </c>
      <c r="AV86" s="21">
        <f>EXP(-LN(2)/25)*AV85+(1-EXP(-LN(2)/25))/(LN(2)/25)*Calculateur!AQ86*Calculateur!AS86*VLOOKUP('Données projet'!$B$10,Paramètres!$A$1:$I$89,3,0)*0.475*44/12</f>
        <v>18.756755882971888</v>
      </c>
      <c r="AW86" s="21">
        <f>EXP(-LN(2)/2)*AW85+(1-EXP(-LN(2)/2))/(LN(2)/2)*AQ86*AT86*VLOOKUP('Données projet'!$B$10,Paramètres!$A$1:$I$89,3,0)*0.475*44/12</f>
        <v>1.0594203033477097E-7</v>
      </c>
      <c r="AX86" s="21">
        <f t="shared" si="60"/>
        <v>76.78477599901683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295.99999999999977</v>
      </c>
      <c r="BE86" s="13">
        <f>BD86*VLOOKUP('Données projet'!$B$11,Paramètres!$A$1:$I$89,3,0)*VLOOKUP('Données projet'!$B$11,Paramètres!$A$1:$I$89,5,0)</f>
        <v>240.11519999999982</v>
      </c>
      <c r="BF86" s="13">
        <f t="shared" si="91"/>
        <v>58.464315631105265</v>
      </c>
      <c r="BG86" s="20">
        <f t="shared" si="61"/>
        <v>520.02598972417468</v>
      </c>
      <c r="BH86" s="59">
        <f t="shared" si="62"/>
        <v>813.35932305750794</v>
      </c>
      <c r="BI86" s="59">
        <f ca="1">AVERAGE(OFFSET($BH$3,0,0,'Données projet'!$E$11+1,1))-AVERAGE(OFFSET($H$3,0,0,'Données projet'!$E$11+1,1))</f>
        <v>293.14894570672351</v>
      </c>
      <c r="BJ86" s="59">
        <f t="shared" si="92"/>
        <v>252.47559879720762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43.304197452866319</v>
      </c>
      <c r="BQ86" s="21">
        <f>EXP(-LN(2)/25)*BQ85+(1-EXP(-LN(2)/25))/(LN(2)/25)*Calculateur!BL86*Calculateur!BN86*VLOOKUP('Données projet'!$B$11,Paramètres!$A$1:$I$89,3,0)*0.475*44/12</f>
        <v>7.1918588374617265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50.496056290328042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607.99999999999977</v>
      </c>
      <c r="O87" s="13">
        <f>N87*VLOOKUP('Données projet'!$B$9,Paramètres!$A$1:$I$89,3,0)*VLOOKUP('Données projet'!$B$9,Paramètres!$A$1:$I$89,5,0)</f>
        <v>339.87199999999984</v>
      </c>
      <c r="P87" s="13">
        <f t="shared" si="87"/>
        <v>79.473500231862786</v>
      </c>
      <c r="Q87" s="20">
        <f t="shared" si="54"/>
        <v>730.36007957049412</v>
      </c>
      <c r="R87" s="59">
        <f t="shared" si="55"/>
        <v>1023.6934129038275</v>
      </c>
      <c r="S87" s="59">
        <f ca="1">AVERAGE(OFFSET($R$3,0,0,'Données projet'!$E$9+1,1))-AVERAGE(OFFSET($H$3,0,0,'Données projet'!$E$9+1,1))</f>
        <v>381.58561971183832</v>
      </c>
      <c r="T87" s="59">
        <f t="shared" si="88"/>
        <v>444.55874959426347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57.138023843318045</v>
      </c>
      <c r="AA87" s="21">
        <f>EXP(-LN(2)/25)*AA86+(1-EXP(-LN(2)/25))/(LN(2)/25)*Calculateur!V87*Calculateur!X87*VLOOKUP('Données projet'!$B$9,Paramètres!$A$1:$I$89,3,0)*0.475*44/12</f>
        <v>13.164389791742552</v>
      </c>
      <c r="AB87" s="21">
        <f>EXP(-LN(2)/2)*AB86+(1-EXP(-LN(2)/2))/(LN(2)/2)*V87*Y87*VLOOKUP('Données projet'!$B$9,Paramètres!$A$1:$I$89,3,0)*0.475*44/12</f>
        <v>9.0029788624410101E-9</v>
      </c>
      <c r="AC87" s="22">
        <f t="shared" si="57"/>
        <v>70.302413644063577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9.8000000000000007</v>
      </c>
      <c r="AI87" s="13">
        <f>IF('Données projet'!$A$62&gt;35,AI86+AH87-AQ86,IF(A87&lt;'Données projet'!$A$62,$AF$205^A87,IF(A87='Données projet'!$A$62,'Données projet'!$B$62,AI86+AH87-AQ86)))</f>
        <v>368.20000000000027</v>
      </c>
      <c r="AJ87" s="13">
        <f>AI87*VLOOKUP('Données projet'!$B$10,Paramètres!$A$1:$I$89,3,0)*VLOOKUP('Données projet'!$B$10,Paramètres!$A$1:$I$89,5,0)</f>
        <v>229.75680000000017</v>
      </c>
      <c r="AK87" s="13">
        <f t="shared" si="89"/>
        <v>56.230092767727569</v>
      </c>
      <c r="AL87" s="20">
        <f t="shared" si="58"/>
        <v>498.09383823712579</v>
      </c>
      <c r="AM87" s="59">
        <f t="shared" si="59"/>
        <v>791.42717157045911</v>
      </c>
      <c r="AN87" s="59">
        <f ca="1">AVERAGE(OFFSET($AM$3,0,0,'Données projet'!$E$10+1,1))-AVERAGE(OFFSET($H$3,0,0,'Données projet'!$E$10+1,1))</f>
        <v>282.98219518929034</v>
      </c>
      <c r="AO87" s="59">
        <f t="shared" si="90"/>
        <v>205.95652510682322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56.890125931302158</v>
      </c>
      <c r="AV87" s="21">
        <f>EXP(-LN(2)/25)*AV86+(1-EXP(-LN(2)/25))/(LN(2)/25)*Calculateur!AQ87*Calculateur!AS87*VLOOKUP('Données projet'!$B$10,Paramètres!$A$1:$I$89,3,0)*0.475*44/12</f>
        <v>18.2438514069771</v>
      </c>
      <c r="AW87" s="21">
        <f>EXP(-LN(2)/2)*AW86+(1-EXP(-LN(2)/2))/(LN(2)/2)*AQ87*AT87*VLOOKUP('Données projet'!$B$10,Paramètres!$A$1:$I$89,3,0)*0.475*44/12</f>
        <v>7.4912328062387472E-8</v>
      </c>
      <c r="AX87" s="21">
        <f t="shared" si="60"/>
        <v>75.133977413191587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295.99999999999977</v>
      </c>
      <c r="BE87" s="13">
        <f>BD87*VLOOKUP('Données projet'!$B$11,Paramètres!$A$1:$I$89,3,0)*VLOOKUP('Données projet'!$B$11,Paramètres!$A$1:$I$89,5,0)</f>
        <v>240.11519999999982</v>
      </c>
      <c r="BF87" s="13">
        <f t="shared" si="91"/>
        <v>58.464315631105265</v>
      </c>
      <c r="BG87" s="20">
        <f t="shared" si="61"/>
        <v>520.02598972417468</v>
      </c>
      <c r="BH87" s="59">
        <f t="shared" si="62"/>
        <v>813.35932305750794</v>
      </c>
      <c r="BI87" s="59">
        <f ca="1">AVERAGE(OFFSET($BH$3,0,0,'Données projet'!$E$11+1,1))-AVERAGE(OFFSET($H$3,0,0,'Données projet'!$E$11+1,1))</f>
        <v>293.14894570672351</v>
      </c>
      <c r="BJ87" s="59">
        <f t="shared" si="92"/>
        <v>252.47559879720762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42.455028553767995</v>
      </c>
      <c r="BQ87" s="21">
        <f>EXP(-LN(2)/25)*BQ86+(1-EXP(-LN(2)/25))/(LN(2)/25)*Calculateur!BL87*Calculateur!BN87*VLOOKUP('Données projet'!$B$11,Paramètres!$A$1:$I$89,3,0)*0.475*44/12</f>
        <v>6.9951970793479168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49.450225633115913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607.99999999999977</v>
      </c>
      <c r="O88" s="13">
        <f>N88*VLOOKUP('Données projet'!$B$9,Paramètres!$A$1:$I$89,3,0)*VLOOKUP('Données projet'!$B$9,Paramètres!$A$1:$I$89,5,0)</f>
        <v>339.87199999999984</v>
      </c>
      <c r="P88" s="13">
        <f t="shared" si="87"/>
        <v>79.473500231862786</v>
      </c>
      <c r="Q88" s="20">
        <f t="shared" si="54"/>
        <v>730.36007957049412</v>
      </c>
      <c r="R88" s="59">
        <f t="shared" si="55"/>
        <v>1023.6934129038275</v>
      </c>
      <c r="S88" s="59">
        <f ca="1">AVERAGE(OFFSET($R$3,0,0,'Données projet'!$E$9+1,1))-AVERAGE(OFFSET($H$3,0,0,'Données projet'!$E$9+1,1))</f>
        <v>381.58561971183832</v>
      </c>
      <c r="T88" s="59">
        <f t="shared" si="88"/>
        <v>444.55874959426347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56.017582046503897</v>
      </c>
      <c r="AA88" s="21">
        <f>EXP(-LN(2)/25)*AA87+(1-EXP(-LN(2)/25))/(LN(2)/25)*Calculateur!V88*Calculateur!X88*VLOOKUP('Données projet'!$B$9,Paramètres!$A$1:$I$89,3,0)*0.475*44/12</f>
        <v>12.80440886060218</v>
      </c>
      <c r="AB88" s="21">
        <f>EXP(-LN(2)/2)*AB87+(1-EXP(-LN(2)/2))/(LN(2)/2)*V88*Y88*VLOOKUP('Données projet'!$B$9,Paramètres!$A$1:$I$89,3,0)*0.475*44/12</f>
        <v>6.366067404511188E-9</v>
      </c>
      <c r="AC88" s="22">
        <f t="shared" si="57"/>
        <v>68.821990913472149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378</v>
      </c>
      <c r="AG88" s="12">
        <f>VLOOKUP(A88,'Données projet'!$A$61:$I$81,9,0)</f>
        <v>9.8000000000000007</v>
      </c>
      <c r="AH88" s="12">
        <f t="array" ref="AH88">INDEX(AG:AG,MIN(IF(ISNUMBER(AG88:AG284),ROW(AG88:AG284),"")))</f>
        <v>9.8000000000000007</v>
      </c>
      <c r="AI88" s="13">
        <f>IF('Données projet'!$A$62&gt;35,AI87+AH88-AQ87,IF(A88&lt;'Données projet'!$A$62,$AF$205^A88,IF(A88='Données projet'!$A$62,'Données projet'!$B$62,AI87+AH88-AQ87)))</f>
        <v>378.00000000000028</v>
      </c>
      <c r="AJ88" s="13">
        <f>AI88*VLOOKUP('Données projet'!$B$10,Paramètres!$A$1:$I$89,3,0)*VLOOKUP('Données projet'!$B$10,Paramètres!$A$1:$I$89,5,0)</f>
        <v>235.87200000000018</v>
      </c>
      <c r="AK88" s="13">
        <f t="shared" si="89"/>
        <v>57.550476347015326</v>
      </c>
      <c r="AL88" s="20">
        <f t="shared" si="58"/>
        <v>511.04414630438532</v>
      </c>
      <c r="AM88" s="59">
        <f t="shared" si="59"/>
        <v>804.37747963771858</v>
      </c>
      <c r="AN88" s="59">
        <f ca="1">AVERAGE(OFFSET($AM$3,0,0,'Données projet'!$E$10+1,1))-AVERAGE(OFFSET($H$3,0,0,'Données projet'!$E$10+1,1))</f>
        <v>282.98219518929034</v>
      </c>
      <c r="AO88" s="59">
        <f t="shared" si="90"/>
        <v>205.95652510682322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55.774545261339846</v>
      </c>
      <c r="AV88" s="21">
        <f>EXP(-LN(2)/25)*AV87+(1-EXP(-LN(2)/25))/(LN(2)/25)*Calculateur!AQ88*Calculateur!AS88*VLOOKUP('Données projet'!$B$10,Paramètres!$A$1:$I$89,3,0)*0.475*44/12</f>
        <v>17.744972330850864</v>
      </c>
      <c r="AW88" s="21">
        <f>EXP(-LN(2)/2)*AW87+(1-EXP(-LN(2)/2))/(LN(2)/2)*AQ88*AT88*VLOOKUP('Données projet'!$B$10,Paramètres!$A$1:$I$89,3,0)*0.475*44/12</f>
        <v>5.2971015167385483E-8</v>
      </c>
      <c r="AX88" s="21">
        <f t="shared" si="60"/>
        <v>73.519517645161727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295.99999999999977</v>
      </c>
      <c r="BE88" s="13">
        <f>BD88*VLOOKUP('Données projet'!$B$11,Paramètres!$A$1:$I$89,3,0)*VLOOKUP('Données projet'!$B$11,Paramètres!$A$1:$I$89,5,0)</f>
        <v>240.11519999999982</v>
      </c>
      <c r="BF88" s="13">
        <f t="shared" si="91"/>
        <v>58.464315631105265</v>
      </c>
      <c r="BG88" s="20">
        <f t="shared" si="61"/>
        <v>520.02598972417468</v>
      </c>
      <c r="BH88" s="59">
        <f t="shared" si="62"/>
        <v>813.35932305750794</v>
      </c>
      <c r="BI88" s="59">
        <f ca="1">AVERAGE(OFFSET($BH$3,0,0,'Données projet'!$E$11+1,1))-AVERAGE(OFFSET($H$3,0,0,'Données projet'!$E$11+1,1))</f>
        <v>293.14894570672351</v>
      </c>
      <c r="BJ88" s="59">
        <f t="shared" si="92"/>
        <v>252.47559879720762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41.622511338839104</v>
      </c>
      <c r="BQ88" s="21">
        <f>EXP(-LN(2)/25)*BQ87+(1-EXP(-LN(2)/25))/(LN(2)/25)*Calculateur!BL88*Calculateur!BN88*VLOOKUP('Données projet'!$B$11,Paramètres!$A$1:$I$89,3,0)*0.475*44/12</f>
        <v>6.8039130473517213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48.426424386190824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607.99999999999977</v>
      </c>
      <c r="O89" s="13">
        <f>N89*VLOOKUP('Données projet'!$B$9,Paramètres!$A$1:$I$89,3,0)*VLOOKUP('Données projet'!$B$9,Paramètres!$A$1:$I$89,5,0)</f>
        <v>339.87199999999984</v>
      </c>
      <c r="P89" s="13">
        <f t="shared" si="87"/>
        <v>79.473500231862786</v>
      </c>
      <c r="Q89" s="20">
        <f t="shared" si="54"/>
        <v>730.36007957049412</v>
      </c>
      <c r="R89" s="59">
        <f t="shared" si="55"/>
        <v>1023.6934129038275</v>
      </c>
      <c r="S89" s="59">
        <f ca="1">AVERAGE(OFFSET($R$3,0,0,'Données projet'!$E$9+1,1))-AVERAGE(OFFSET($H$3,0,0,'Données projet'!$E$9+1,1))</f>
        <v>381.58561971183832</v>
      </c>
      <c r="T89" s="59">
        <f t="shared" si="88"/>
        <v>444.55874959426347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54.919111429923255</v>
      </c>
      <c r="AA89" s="21">
        <f>EXP(-LN(2)/25)*AA88+(1-EXP(-LN(2)/25))/(LN(2)/25)*Calculateur!V89*Calculateur!X89*VLOOKUP('Données projet'!$B$9,Paramètres!$A$1:$I$89,3,0)*0.475*44/12</f>
        <v>12.454271626954416</v>
      </c>
      <c r="AB89" s="21">
        <f>EXP(-LN(2)/2)*AB88+(1-EXP(-LN(2)/2))/(LN(2)/2)*V89*Y89*VLOOKUP('Données projet'!$B$9,Paramètres!$A$1:$I$89,3,0)*0.475*44/12</f>
        <v>4.5014894312205051E-9</v>
      </c>
      <c r="AC89" s="22">
        <f t="shared" si="57"/>
        <v>67.373383061379158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-1</v>
      </c>
      <c r="AI89" s="13">
        <f>IF('Données projet'!$A$62&gt;35,AI88+AH89-AQ88,IF(A89&lt;'Données projet'!$A$62,$AF$205^A89,IF(A89='Données projet'!$A$62,'Données projet'!$B$62,AI88+AH89-AQ88)))</f>
        <v>377.00000000000028</v>
      </c>
      <c r="AJ89" s="13">
        <f>AI89*VLOOKUP('Données projet'!$B$10,Paramètres!$A$1:$I$89,3,0)*VLOOKUP('Données projet'!$B$10,Paramètres!$A$1:$I$89,5,0)</f>
        <v>235.24800000000016</v>
      </c>
      <c r="AK89" s="13">
        <f t="shared" si="89"/>
        <v>57.41592756883739</v>
      </c>
      <c r="AL89" s="20">
        <f t="shared" si="58"/>
        <v>509.72300718239211</v>
      </c>
      <c r="AM89" s="59">
        <f t="shared" si="59"/>
        <v>803.05634051572542</v>
      </c>
      <c r="AN89" s="59">
        <f ca="1">AVERAGE(OFFSET($AM$3,0,0,'Données projet'!$E$10+1,1))-AVERAGE(OFFSET($H$3,0,0,'Données projet'!$E$10+1,1))</f>
        <v>282.98219518929034</v>
      </c>
      <c r="AO89" s="59">
        <f t="shared" si="90"/>
        <v>205.95652510682322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54.680840447878474</v>
      </c>
      <c r="AV89" s="21">
        <f>EXP(-LN(2)/25)*AV88+(1-EXP(-LN(2)/25))/(LN(2)/25)*Calculateur!AQ89*Calculateur!AS89*VLOOKUP('Données projet'!$B$10,Paramètres!$A$1:$I$89,3,0)*0.475*44/12</f>
        <v>17.25973512929621</v>
      </c>
      <c r="AW89" s="21">
        <f>EXP(-LN(2)/2)*AW88+(1-EXP(-LN(2)/2))/(LN(2)/2)*AQ89*AT89*VLOOKUP('Données projet'!$B$10,Paramètres!$A$1:$I$89,3,0)*0.475*44/12</f>
        <v>3.7456164031193736E-8</v>
      </c>
      <c r="AX89" s="21">
        <f t="shared" si="60"/>
        <v>71.940575614630845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295.99999999999977</v>
      </c>
      <c r="BE89" s="13">
        <f>BD89*VLOOKUP('Données projet'!$B$11,Paramètres!$A$1:$I$89,3,0)*VLOOKUP('Données projet'!$B$11,Paramètres!$A$1:$I$89,5,0)</f>
        <v>240.11519999999982</v>
      </c>
      <c r="BF89" s="13">
        <f t="shared" si="91"/>
        <v>58.464315631105265</v>
      </c>
      <c r="BG89" s="20">
        <f t="shared" si="61"/>
        <v>520.02598972417468</v>
      </c>
      <c r="BH89" s="59">
        <f t="shared" si="62"/>
        <v>813.35932305750794</v>
      </c>
      <c r="BI89" s="59">
        <f ca="1">AVERAGE(OFFSET($BH$3,0,0,'Données projet'!$E$11+1,1))-AVERAGE(OFFSET($H$3,0,0,'Données projet'!$E$11+1,1))</f>
        <v>293.14894570672351</v>
      </c>
      <c r="BJ89" s="59">
        <f t="shared" si="92"/>
        <v>252.47559879720762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40.806319278709609</v>
      </c>
      <c r="BQ89" s="21">
        <f>EXP(-LN(2)/25)*BQ88+(1-EXP(-LN(2)/25))/(LN(2)/25)*Calculateur!BL89*Calculateur!BN89*VLOOKUP('Données projet'!$B$11,Paramètres!$A$1:$I$89,3,0)*0.475*44/12</f>
        <v>6.617859687269652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47.424178965979259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607.99999999999977</v>
      </c>
      <c r="O90" s="13">
        <f>N90*VLOOKUP('Données projet'!$B$9,Paramètres!$A$1:$I$89,3,0)*VLOOKUP('Données projet'!$B$9,Paramètres!$A$1:$I$89,5,0)</f>
        <v>339.87199999999984</v>
      </c>
      <c r="P90" s="13">
        <f t="shared" si="87"/>
        <v>79.473500231862786</v>
      </c>
      <c r="Q90" s="20">
        <f t="shared" si="54"/>
        <v>730.36007957049412</v>
      </c>
      <c r="R90" s="59">
        <f t="shared" si="55"/>
        <v>1023.6934129038275</v>
      </c>
      <c r="S90" s="59">
        <f ca="1">AVERAGE(OFFSET($R$3,0,0,'Données projet'!$E$9+1,1))-AVERAGE(OFFSET($H$3,0,0,'Données projet'!$E$9+1,1))</f>
        <v>381.58561971183832</v>
      </c>
      <c r="T90" s="59">
        <f t="shared" si="88"/>
        <v>444.55874959426347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53.842181152132845</v>
      </c>
      <c r="AA90" s="21">
        <f>EXP(-LN(2)/25)*AA89+(1-EXP(-LN(2)/25))/(LN(2)/25)*Calculateur!V90*Calculateur!X90*VLOOKUP('Données projet'!$B$9,Paramètres!$A$1:$I$89,3,0)*0.475*44/12</f>
        <v>12.113708914373667</v>
      </c>
      <c r="AB90" s="21">
        <f>EXP(-LN(2)/2)*AB89+(1-EXP(-LN(2)/2))/(LN(2)/2)*V90*Y90*VLOOKUP('Données projet'!$B$9,Paramètres!$A$1:$I$89,3,0)*0.475*44/12</f>
        <v>3.183033702255594E-9</v>
      </c>
      <c r="AC90" s="22">
        <f t="shared" si="57"/>
        <v>65.955890069689545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-1</v>
      </c>
      <c r="AI90" s="13">
        <f>IF('Données projet'!$A$62&gt;35,AI89+AH90-AQ89,IF(A90&lt;'Données projet'!$A$62,$AF$205^A90,IF(A90='Données projet'!$A$62,'Données projet'!$B$62,AI89+AH90-AQ89)))</f>
        <v>376.00000000000028</v>
      </c>
      <c r="AJ90" s="13">
        <f>AI90*VLOOKUP('Données projet'!$B$10,Paramètres!$A$1:$I$89,3,0)*VLOOKUP('Données projet'!$B$10,Paramètres!$A$1:$I$89,5,0)</f>
        <v>234.62400000000017</v>
      </c>
      <c r="AK90" s="13">
        <f t="shared" si="89"/>
        <v>57.281337241812707</v>
      </c>
      <c r="AL90" s="20">
        <f t="shared" si="58"/>
        <v>508.40179569615731</v>
      </c>
      <c r="AM90" s="59">
        <f t="shared" si="59"/>
        <v>801.73512902949062</v>
      </c>
      <c r="AN90" s="59">
        <f ca="1">AVERAGE(OFFSET($AM$3,0,0,'Données projet'!$E$10+1,1))-AVERAGE(OFFSET($H$3,0,0,'Données projet'!$E$10+1,1))</f>
        <v>282.98219518929034</v>
      </c>
      <c r="AO90" s="59">
        <f t="shared" si="90"/>
        <v>205.95652510682322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53.608582518715011</v>
      </c>
      <c r="AV90" s="21">
        <f>EXP(-LN(2)/25)*AV89+(1-EXP(-LN(2)/25))/(LN(2)/25)*Calculateur!AQ90*Calculateur!AS90*VLOOKUP('Données projet'!$B$10,Paramètres!$A$1:$I$89,3,0)*0.475*44/12</f>
        <v>16.787766764535583</v>
      </c>
      <c r="AW90" s="21">
        <f>EXP(-LN(2)/2)*AW89+(1-EXP(-LN(2)/2))/(LN(2)/2)*AQ90*AT90*VLOOKUP('Données projet'!$B$10,Paramètres!$A$1:$I$89,3,0)*0.475*44/12</f>
        <v>2.6485507583692741E-8</v>
      </c>
      <c r="AX90" s="21">
        <f t="shared" si="60"/>
        <v>70.396349309736109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295.99999999999977</v>
      </c>
      <c r="BE90" s="13">
        <f>BD90*VLOOKUP('Données projet'!$B$11,Paramètres!$A$1:$I$89,3,0)*VLOOKUP('Données projet'!$B$11,Paramètres!$A$1:$I$89,5,0)</f>
        <v>240.11519999999982</v>
      </c>
      <c r="BF90" s="13">
        <f t="shared" si="91"/>
        <v>58.464315631105265</v>
      </c>
      <c r="BG90" s="20">
        <f t="shared" si="61"/>
        <v>520.02598972417468</v>
      </c>
      <c r="BH90" s="59">
        <f t="shared" si="62"/>
        <v>813.35932305750794</v>
      </c>
      <c r="BI90" s="59">
        <f ca="1">AVERAGE(OFFSET($BH$3,0,0,'Données projet'!$E$11+1,1))-AVERAGE(OFFSET($H$3,0,0,'Données projet'!$E$11+1,1))</f>
        <v>293.14894570672351</v>
      </c>
      <c r="BJ90" s="59">
        <f t="shared" si="92"/>
        <v>252.47559879720762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40.006132247051248</v>
      </c>
      <c r="BQ90" s="21">
        <f>EXP(-LN(2)/25)*BQ89+(1-EXP(-LN(2)/25))/(LN(2)/25)*Calculateur!BL90*Calculateur!BN90*VLOOKUP('Données projet'!$B$11,Paramètres!$A$1:$I$89,3,0)*0.475*44/12</f>
        <v>6.4368939661031481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46.443026213154397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607.99999999999977</v>
      </c>
      <c r="O91" s="13">
        <f>N91*VLOOKUP('Données projet'!$B$9,Paramètres!$A$1:$I$89,3,0)*VLOOKUP('Données projet'!$B$9,Paramètres!$A$1:$I$89,5,0)</f>
        <v>339.87199999999984</v>
      </c>
      <c r="P91" s="13">
        <f t="shared" si="87"/>
        <v>79.473500231862786</v>
      </c>
      <c r="Q91" s="20">
        <f t="shared" si="54"/>
        <v>730.36007957049412</v>
      </c>
      <c r="R91" s="59">
        <f t="shared" si="55"/>
        <v>1023.6934129038275</v>
      </c>
      <c r="S91" s="59">
        <f ca="1">AVERAGE(OFFSET($R$3,0,0,'Données projet'!$E$9+1,1))-AVERAGE(OFFSET($H$3,0,0,'Données projet'!$E$9+1,1))</f>
        <v>381.58561971183832</v>
      </c>
      <c r="T91" s="59">
        <f t="shared" si="88"/>
        <v>444.55874959426347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52.786368820227295</v>
      </c>
      <c r="AA91" s="21">
        <f>EXP(-LN(2)/25)*AA90+(1-EXP(-LN(2)/25))/(LN(2)/25)*Calculateur!V91*Calculateur!X91*VLOOKUP('Données projet'!$B$9,Paramètres!$A$1:$I$89,3,0)*0.475*44/12</f>
        <v>11.782458907077855</v>
      </c>
      <c r="AB91" s="21">
        <f>EXP(-LN(2)/2)*AB90+(1-EXP(-LN(2)/2))/(LN(2)/2)*V91*Y91*VLOOKUP('Données projet'!$B$9,Paramètres!$A$1:$I$89,3,0)*0.475*44/12</f>
        <v>2.2507447156102525E-9</v>
      </c>
      <c r="AC91" s="22">
        <f t="shared" si="57"/>
        <v>64.568827729555892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-1</v>
      </c>
      <c r="AI91" s="13">
        <f>IF('Données projet'!$A$62&gt;35,AI90+AH91-AQ90,IF(A91&lt;'Données projet'!$A$62,$AF$205^A91,IF(A91='Données projet'!$A$62,'Données projet'!$B$62,AI90+AH91-AQ90)))</f>
        <v>375.00000000000028</v>
      </c>
      <c r="AJ91" s="13">
        <f>AI91*VLOOKUP('Données projet'!$B$10,Paramètres!$A$1:$I$89,3,0)*VLOOKUP('Données projet'!$B$10,Paramètres!$A$1:$I$89,5,0)</f>
        <v>234.0000000000002</v>
      </c>
      <c r="AK91" s="13">
        <f t="shared" si="89"/>
        <v>57.146705242557189</v>
      </c>
      <c r="AL91" s="20">
        <f t="shared" si="58"/>
        <v>507.08051163078744</v>
      </c>
      <c r="AM91" s="59">
        <f t="shared" si="59"/>
        <v>800.4138449641207</v>
      </c>
      <c r="AN91" s="59">
        <f ca="1">AVERAGE(OFFSET($AM$3,0,0,'Données projet'!$E$10+1,1))-AVERAGE(OFFSET($H$3,0,0,'Données projet'!$E$10+1,1))</f>
        <v>282.98219518929034</v>
      </c>
      <c r="AO91" s="59">
        <f t="shared" si="90"/>
        <v>205.95652510682322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52.557350913529689</v>
      </c>
      <c r="AV91" s="21">
        <f>EXP(-LN(2)/25)*AV90+(1-EXP(-LN(2)/25))/(LN(2)/25)*Calculateur!AQ91*Calculateur!AS91*VLOOKUP('Données projet'!$B$10,Paramètres!$A$1:$I$89,3,0)*0.475*44/12</f>
        <v>16.328704399529073</v>
      </c>
      <c r="AW91" s="21">
        <f>EXP(-LN(2)/2)*AW90+(1-EXP(-LN(2)/2))/(LN(2)/2)*AQ91*AT91*VLOOKUP('Données projet'!$B$10,Paramètres!$A$1:$I$89,3,0)*0.475*44/12</f>
        <v>1.8728082015596868E-8</v>
      </c>
      <c r="AX91" s="21">
        <f t="shared" si="60"/>
        <v>68.886055331786849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295.99999999999977</v>
      </c>
      <c r="BE91" s="13">
        <f>BD91*VLOOKUP('Données projet'!$B$11,Paramètres!$A$1:$I$89,3,0)*VLOOKUP('Données projet'!$B$11,Paramètres!$A$1:$I$89,5,0)</f>
        <v>240.11519999999982</v>
      </c>
      <c r="BF91" s="13">
        <f t="shared" si="91"/>
        <v>58.464315631105265</v>
      </c>
      <c r="BG91" s="20">
        <f t="shared" si="61"/>
        <v>520.02598972417468</v>
      </c>
      <c r="BH91" s="59">
        <f t="shared" si="62"/>
        <v>813.35932305750794</v>
      </c>
      <c r="BI91" s="59">
        <f ca="1">AVERAGE(OFFSET($BH$3,0,0,'Données projet'!$E$11+1,1))-AVERAGE(OFFSET($H$3,0,0,'Données projet'!$E$11+1,1))</f>
        <v>293.14894570672351</v>
      </c>
      <c r="BJ91" s="59">
        <f t="shared" si="92"/>
        <v>252.47559879720762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39.221636395017811</v>
      </c>
      <c r="BQ91" s="21">
        <f>EXP(-LN(2)/25)*BQ90+(1-EXP(-LN(2)/25))/(LN(2)/25)*Calculateur!BL91*Calculateur!BN91*VLOOKUP('Données projet'!$B$11,Paramètres!$A$1:$I$89,3,0)*0.475*44/12</f>
        <v>6.2608767620985155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45.48251315711633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607.99999999999977</v>
      </c>
      <c r="O92" s="13">
        <f>N92*VLOOKUP('Données projet'!$B$9,Paramètres!$A$1:$I$89,3,0)*VLOOKUP('Données projet'!$B$9,Paramètres!$A$1:$I$89,5,0)</f>
        <v>339.87199999999984</v>
      </c>
      <c r="P92" s="13">
        <f t="shared" si="87"/>
        <v>79.473500231862786</v>
      </c>
      <c r="Q92" s="20">
        <f t="shared" si="54"/>
        <v>730.36007957049412</v>
      </c>
      <c r="R92" s="59">
        <f t="shared" si="55"/>
        <v>1023.6934129038275</v>
      </c>
      <c r="S92" s="59">
        <f ca="1">AVERAGE(OFFSET($R$3,0,0,'Données projet'!$E$9+1,1))-AVERAGE(OFFSET($H$3,0,0,'Données projet'!$E$9+1,1))</f>
        <v>381.58561971183832</v>
      </c>
      <c r="T92" s="59">
        <f t="shared" si="88"/>
        <v>444.55874959426347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51.751260324168477</v>
      </c>
      <c r="AA92" s="21">
        <f>EXP(-LN(2)/25)*AA91+(1-EXP(-LN(2)/25))/(LN(2)/25)*Calculateur!V92*Calculateur!X92*VLOOKUP('Données projet'!$B$9,Paramètres!$A$1:$I$89,3,0)*0.475*44/12</f>
        <v>11.460266948651226</v>
      </c>
      <c r="AB92" s="21">
        <f>EXP(-LN(2)/2)*AB91+(1-EXP(-LN(2)/2))/(LN(2)/2)*V92*Y92*VLOOKUP('Données projet'!$B$9,Paramètres!$A$1:$I$89,3,0)*0.475*44/12</f>
        <v>1.591516851127797E-9</v>
      </c>
      <c r="AC92" s="22">
        <f t="shared" si="57"/>
        <v>63.211527274411218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-1</v>
      </c>
      <c r="AI92" s="13">
        <f>IF('Données projet'!$A$62&gt;35,AI91+AH92-AQ91,IF(A92&lt;'Données projet'!$A$62,$AF$205^A92,IF(A92='Données projet'!$A$62,'Données projet'!$B$62,AI91+AH92-AQ91)))</f>
        <v>374.00000000000028</v>
      </c>
      <c r="AJ92" s="13">
        <f>AI92*VLOOKUP('Données projet'!$B$10,Paramètres!$A$1:$I$89,3,0)*VLOOKUP('Données projet'!$B$10,Paramètres!$A$1:$I$89,5,0)</f>
        <v>233.37600000000018</v>
      </c>
      <c r="AK92" s="13">
        <f t="shared" si="89"/>
        <v>57.012031446990157</v>
      </c>
      <c r="AL92" s="20">
        <f t="shared" si="58"/>
        <v>505.7591547701748</v>
      </c>
      <c r="AM92" s="59">
        <f t="shared" si="59"/>
        <v>799.09248810350812</v>
      </c>
      <c r="AN92" s="59">
        <f ca="1">AVERAGE(OFFSET($AM$3,0,0,'Données projet'!$E$10+1,1))-AVERAGE(OFFSET($H$3,0,0,'Données projet'!$E$10+1,1))</f>
        <v>282.98219518929034</v>
      </c>
      <c r="AO92" s="59">
        <f t="shared" si="90"/>
        <v>205.95652510682322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51.526733318934077</v>
      </c>
      <c r="AV92" s="21">
        <f>EXP(-LN(2)/25)*AV91+(1-EXP(-LN(2)/25))/(LN(2)/25)*Calculateur!AQ92*Calculateur!AS92*VLOOKUP('Données projet'!$B$10,Paramètres!$A$1:$I$89,3,0)*0.475*44/12</f>
        <v>15.882195119034705</v>
      </c>
      <c r="AW92" s="21">
        <f>EXP(-LN(2)/2)*AW91+(1-EXP(-LN(2)/2))/(LN(2)/2)*AQ92*AT92*VLOOKUP('Données projet'!$B$10,Paramètres!$A$1:$I$89,3,0)*0.475*44/12</f>
        <v>1.3242753791846371E-8</v>
      </c>
      <c r="AX92" s="21">
        <f t="shared" si="60"/>
        <v>67.408928451211537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295.99999999999977</v>
      </c>
      <c r="BE92" s="13">
        <f>BD92*VLOOKUP('Données projet'!$B$11,Paramètres!$A$1:$I$89,3,0)*VLOOKUP('Données projet'!$B$11,Paramètres!$A$1:$I$89,5,0)</f>
        <v>240.11519999999982</v>
      </c>
      <c r="BF92" s="13">
        <f t="shared" si="91"/>
        <v>58.464315631105265</v>
      </c>
      <c r="BG92" s="20">
        <f t="shared" si="61"/>
        <v>520.02598972417468</v>
      </c>
      <c r="BH92" s="59">
        <f t="shared" si="62"/>
        <v>813.35932305750794</v>
      </c>
      <c r="BI92" s="59">
        <f ca="1">AVERAGE(OFFSET($BH$3,0,0,'Données projet'!$E$11+1,1))-AVERAGE(OFFSET($H$3,0,0,'Données projet'!$E$11+1,1))</f>
        <v>293.14894570672351</v>
      </c>
      <c r="BJ92" s="59">
        <f t="shared" si="92"/>
        <v>252.47559879720762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38.452524028147529</v>
      </c>
      <c r="BQ92" s="21">
        <f>EXP(-LN(2)/25)*BQ91+(1-EXP(-LN(2)/25))/(LN(2)/25)*Calculateur!BL92*Calculateur!BN92*VLOOKUP('Données projet'!$B$11,Paramètres!$A$1:$I$89,3,0)*0.475*44/12</f>
        <v>6.089672757793732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44.542196785941258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607.99999999999977</v>
      </c>
      <c r="O93" s="13">
        <f>N93*VLOOKUP('Données projet'!$B$9,Paramètres!$A$1:$I$89,3,0)*VLOOKUP('Données projet'!$B$9,Paramètres!$A$1:$I$89,5,0)</f>
        <v>339.87199999999984</v>
      </c>
      <c r="P93" s="13">
        <f t="shared" si="87"/>
        <v>79.473500231862786</v>
      </c>
      <c r="Q93" s="20">
        <f t="shared" si="54"/>
        <v>730.36007957049412</v>
      </c>
      <c r="R93" s="59">
        <f t="shared" si="55"/>
        <v>1023.6934129038275</v>
      </c>
      <c r="S93" s="59">
        <f ca="1">AVERAGE(OFFSET($R$3,0,0,'Données projet'!$E$9+1,1))-AVERAGE(OFFSET($H$3,0,0,'Données projet'!$E$9+1,1))</f>
        <v>381.58561971183832</v>
      </c>
      <c r="T93" s="59">
        <f t="shared" si="88"/>
        <v>444.55874959426347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50.736449674363534</v>
      </c>
      <c r="AA93" s="21">
        <f>EXP(-LN(2)/25)*AA92+(1-EXP(-LN(2)/25))/(LN(2)/25)*Calculateur!V93*Calculateur!X93*VLOOKUP('Données projet'!$B$9,Paramètres!$A$1:$I$89,3,0)*0.475*44/12</f>
        <v>11.146885346271112</v>
      </c>
      <c r="AB93" s="21">
        <f>EXP(-LN(2)/2)*AB92+(1-EXP(-LN(2)/2))/(LN(2)/2)*V93*Y93*VLOOKUP('Données projet'!$B$9,Paramètres!$A$1:$I$89,3,0)*0.475*44/12</f>
        <v>1.1253723578051263E-9</v>
      </c>
      <c r="AC93" s="22">
        <f t="shared" si="57"/>
        <v>61.883335021760018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373</v>
      </c>
      <c r="AG93" s="12">
        <f>VLOOKUP(A93,'Données projet'!$A$61:$I$81,9,0)</f>
        <v>-1</v>
      </c>
      <c r="AH93" s="12">
        <f t="array" ref="AH93">INDEX(AG:AG,MIN(IF(ISNUMBER(AG93:AG289),ROW(AG93:AG289),"")))</f>
        <v>-1</v>
      </c>
      <c r="AI93" s="13">
        <f>IF('Données projet'!$A$62&gt;35,AI92+AH93-AQ92,IF(A93&lt;'Données projet'!$A$62,$AF$205^A93,IF(A93='Données projet'!$A$62,'Données projet'!$B$62,AI92+AH93-AQ92)))</f>
        <v>373.00000000000028</v>
      </c>
      <c r="AJ93" s="13">
        <f>AI93*VLOOKUP('Données projet'!$B$10,Paramètres!$A$1:$I$89,3,0)*VLOOKUP('Données projet'!$B$10,Paramètres!$A$1:$I$89,5,0)</f>
        <v>232.75200000000018</v>
      </c>
      <c r="AK93" s="13">
        <f t="shared" si="89"/>
        <v>56.877315730328931</v>
      </c>
      <c r="AL93" s="20">
        <f t="shared" si="58"/>
        <v>504.43772489698978</v>
      </c>
      <c r="AM93" s="59">
        <f t="shared" si="59"/>
        <v>797.77105823032309</v>
      </c>
      <c r="AN93" s="59">
        <f ca="1">AVERAGE(OFFSET($AM$3,0,0,'Données projet'!$E$10+1,1))-AVERAGE(OFFSET($H$3,0,0,'Données projet'!$E$10+1,1))</f>
        <v>282.98219518929034</v>
      </c>
      <c r="AO93" s="59">
        <f t="shared" si="90"/>
        <v>205.95652510682322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23</v>
      </c>
      <c r="AR93" s="16">
        <f>IF(ISNA(VLOOKUP(A93,'Données projet'!$A$61:$I$81,5,0)),0%,VLOOKUP(A93,'Données projet'!$A$61:$I$81,5,0)*VLOOKUP('Données projet'!$B$10,Paramètres!$A$1:$I$89,7,0))</f>
        <v>0.48</v>
      </c>
      <c r="AS93" s="16">
        <f>IF(ISNA(VLOOKUP(A93,'Données projet'!$A$61:$I$81,6,0)),0%,VLOOKUP(A93,'Données projet'!$A$61:$I$81,6,0)*VLOOKUP('Données projet'!$B$10,Paramètres!$A$1:$I$89,7,0))</f>
        <v>0.12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59.654974977698608</v>
      </c>
      <c r="AV93" s="21">
        <f>EXP(-LN(2)/25)*AV92+(1-EXP(-LN(2)/25))/(LN(2)/25)*Calculateur!AQ93*Calculateur!AS93*VLOOKUP('Données projet'!$B$10,Paramètres!$A$1:$I$89,3,0)*0.475*44/12</f>
        <v>17.723562439766166</v>
      </c>
      <c r="AW93" s="21">
        <f>EXP(-LN(2)/2)*AW92+(1-EXP(-LN(2)/2))/(LN(2)/2)*AQ93*AT93*VLOOKUP('Données projet'!$B$10,Paramètres!$A$1:$I$89,3,0)*0.475*44/12</f>
        <v>9.364041007798434E-9</v>
      </c>
      <c r="AX93" s="21">
        <f t="shared" si="60"/>
        <v>77.378537426828814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295.99999999999977</v>
      </c>
      <c r="BE93" s="13">
        <f>BD93*VLOOKUP('Données projet'!$B$11,Paramètres!$A$1:$I$89,3,0)*VLOOKUP('Données projet'!$B$11,Paramètres!$A$1:$I$89,5,0)</f>
        <v>240.11519999999982</v>
      </c>
      <c r="BF93" s="13">
        <f t="shared" si="91"/>
        <v>58.464315631105265</v>
      </c>
      <c r="BG93" s="20">
        <f t="shared" si="61"/>
        <v>520.02598972417468</v>
      </c>
      <c r="BH93" s="59">
        <f t="shared" si="62"/>
        <v>813.35932305750794</v>
      </c>
      <c r="BI93" s="59">
        <f ca="1">AVERAGE(OFFSET($BH$3,0,0,'Données projet'!$E$11+1,1))-AVERAGE(OFFSET($H$3,0,0,'Données projet'!$E$11+1,1))</f>
        <v>293.14894570672351</v>
      </c>
      <c r="BJ93" s="59">
        <f t="shared" si="92"/>
        <v>252.47559879720762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37.69849348567935</v>
      </c>
      <c r="BQ93" s="21">
        <f>EXP(-LN(2)/25)*BQ92+(1-EXP(-LN(2)/25))/(LN(2)/25)*Calculateur!BL93*Calculateur!BN93*VLOOKUP('Données projet'!$B$11,Paramètres!$A$1:$I$89,3,0)*0.475*44/12</f>
        <v>5.9231503359898898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43.621643821669238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607.99999999999977</v>
      </c>
      <c r="O94" s="13">
        <f>N94*VLOOKUP('Données projet'!$B$9,Paramètres!$A$1:$I$89,3,0)*VLOOKUP('Données projet'!$B$9,Paramètres!$A$1:$I$89,5,0)</f>
        <v>339.87199999999984</v>
      </c>
      <c r="P94" s="13">
        <f t="shared" si="87"/>
        <v>79.473500231862786</v>
      </c>
      <c r="Q94" s="20">
        <f t="shared" si="54"/>
        <v>730.36007957049412</v>
      </c>
      <c r="R94" s="59">
        <f t="shared" si="55"/>
        <v>1023.6934129038275</v>
      </c>
      <c r="S94" s="59">
        <f ca="1">AVERAGE(OFFSET($R$3,0,0,'Données projet'!$E$9+1,1))-AVERAGE(OFFSET($H$3,0,0,'Données projet'!$E$9+1,1))</f>
        <v>381.58561971183832</v>
      </c>
      <c r="T94" s="59">
        <f t="shared" si="88"/>
        <v>444.55874959426347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49.741538842427886</v>
      </c>
      <c r="AA94" s="21">
        <f>EXP(-LN(2)/25)*AA93+(1-EXP(-LN(2)/25))/(LN(2)/25)*Calculateur!V94*Calculateur!X94*VLOOKUP('Données projet'!$B$9,Paramètres!$A$1:$I$89,3,0)*0.475*44/12</f>
        <v>10.842073180288105</v>
      </c>
      <c r="AB94" s="21">
        <f>EXP(-LN(2)/2)*AB93+(1-EXP(-LN(2)/2))/(LN(2)/2)*V94*Y94*VLOOKUP('Données projet'!$B$9,Paramètres!$A$1:$I$89,3,0)*0.475*44/12</f>
        <v>7.957584255638985E-10</v>
      </c>
      <c r="AC94" s="22">
        <f t="shared" si="57"/>
        <v>60.583612023511748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</v>
      </c>
      <c r="AI94" s="13">
        <f>IF('Données projet'!$A$62&gt;35,AI93+AH94-AQ93,IF(A94&lt;'Données projet'!$A$62,$AF$205^A94,IF(A94='Données projet'!$A$62,'Données projet'!$B$62,AI93+AH94-AQ93)))</f>
        <v>358.00000000000028</v>
      </c>
      <c r="AJ94" s="13">
        <f>AI94*VLOOKUP('Données projet'!$B$10,Paramètres!$A$1:$I$89,3,0)*VLOOKUP('Données projet'!$B$10,Paramètres!$A$1:$I$89,5,0)</f>
        <v>223.39200000000017</v>
      </c>
      <c r="AK94" s="13">
        <f t="shared" si="89"/>
        <v>54.851462377814059</v>
      </c>
      <c r="AL94" s="20">
        <f t="shared" si="58"/>
        <v>484.60736364135977</v>
      </c>
      <c r="AM94" s="59">
        <f t="shared" si="59"/>
        <v>777.94069697469308</v>
      </c>
      <c r="AN94" s="59">
        <f ca="1">AVERAGE(OFFSET($AM$3,0,0,'Données projet'!$E$10+1,1))-AVERAGE(OFFSET($H$3,0,0,'Données projet'!$E$10+1,1))</f>
        <v>282.98219518929034</v>
      </c>
      <c r="AO94" s="59">
        <f t="shared" si="90"/>
        <v>205.95652510682322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58.485177304327863</v>
      </c>
      <c r="AV94" s="21">
        <f>EXP(-LN(2)/25)*AV93+(1-EXP(-LN(2)/25))/(LN(2)/25)*Calculateur!AQ94*Calculateur!AS94*VLOOKUP('Données projet'!$B$10,Paramètres!$A$1:$I$89,3,0)*0.475*44/12</f>
        <v>17.238910692809121</v>
      </c>
      <c r="AW94" s="21">
        <f>EXP(-LN(2)/2)*AW93+(1-EXP(-LN(2)/2))/(LN(2)/2)*AQ94*AT94*VLOOKUP('Données projet'!$B$10,Paramètres!$A$1:$I$89,3,0)*0.475*44/12</f>
        <v>6.6213768959231853E-9</v>
      </c>
      <c r="AX94" s="21">
        <f t="shared" si="60"/>
        <v>75.724088003758368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295.99999999999977</v>
      </c>
      <c r="BE94" s="13">
        <f>BD94*VLOOKUP('Données projet'!$B$11,Paramètres!$A$1:$I$89,3,0)*VLOOKUP('Données projet'!$B$11,Paramètres!$A$1:$I$89,5,0)</f>
        <v>240.11519999999982</v>
      </c>
      <c r="BF94" s="13">
        <f t="shared" si="91"/>
        <v>58.464315631105265</v>
      </c>
      <c r="BG94" s="20">
        <f t="shared" si="61"/>
        <v>520.02598972417468</v>
      </c>
      <c r="BH94" s="59">
        <f t="shared" si="62"/>
        <v>813.35932305750794</v>
      </c>
      <c r="BI94" s="59">
        <f ca="1">AVERAGE(OFFSET($BH$3,0,0,'Données projet'!$E$11+1,1))-AVERAGE(OFFSET($H$3,0,0,'Données projet'!$E$11+1,1))</f>
        <v>293.14894570672351</v>
      </c>
      <c r="BJ94" s="59">
        <f t="shared" si="92"/>
        <v>252.47559879720762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36.959249022235753</v>
      </c>
      <c r="BQ94" s="21">
        <f>EXP(-LN(2)/25)*BQ93+(1-EXP(-LN(2)/25))/(LN(2)/25)*Calculateur!BL94*Calculateur!BN94*VLOOKUP('Données projet'!$B$11,Paramètres!$A$1:$I$89,3,0)*0.475*44/12</f>
        <v>5.7611814785673072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42.720430500803062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607.99999999999977</v>
      </c>
      <c r="O95" s="13">
        <f>N95*VLOOKUP('Données projet'!$B$9,Paramètres!$A$1:$I$89,3,0)*VLOOKUP('Données projet'!$B$9,Paramètres!$A$1:$I$89,5,0)</f>
        <v>339.87199999999984</v>
      </c>
      <c r="P95" s="13">
        <f t="shared" si="87"/>
        <v>79.473500231862786</v>
      </c>
      <c r="Q95" s="20">
        <f t="shared" si="54"/>
        <v>730.36007957049412</v>
      </c>
      <c r="R95" s="59">
        <f t="shared" si="55"/>
        <v>1023.6934129038275</v>
      </c>
      <c r="S95" s="59">
        <f ca="1">AVERAGE(OFFSET($R$3,0,0,'Données projet'!$E$9+1,1))-AVERAGE(OFFSET($H$3,0,0,'Données projet'!$E$9+1,1))</f>
        <v>381.58561971183832</v>
      </c>
      <c r="T95" s="59">
        <f t="shared" si="88"/>
        <v>444.55874959426347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48.76613760507081</v>
      </c>
      <c r="AA95" s="21">
        <f>EXP(-LN(2)/25)*AA94+(1-EXP(-LN(2)/25))/(LN(2)/25)*Calculateur!V95*Calculateur!X95*VLOOKUP('Données projet'!$B$9,Paramètres!$A$1:$I$89,3,0)*0.475*44/12</f>
        <v>10.545596119013279</v>
      </c>
      <c r="AB95" s="21">
        <f>EXP(-LN(2)/2)*AB94+(1-EXP(-LN(2)/2))/(LN(2)/2)*V95*Y95*VLOOKUP('Données projet'!$B$9,Paramètres!$A$1:$I$89,3,0)*0.475*44/12</f>
        <v>5.6268617890256313E-10</v>
      </c>
      <c r="AC95" s="22">
        <f t="shared" si="57"/>
        <v>59.311733724646778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</v>
      </c>
      <c r="AI95" s="13">
        <f>IF('Données projet'!$A$62&gt;35,AI94+AH95-AQ94,IF(A95&lt;'Données projet'!$A$62,$AF$205^A95,IF(A95='Données projet'!$A$62,'Données projet'!$B$62,AI94+AH95-AQ94)))</f>
        <v>366.00000000000028</v>
      </c>
      <c r="AJ95" s="13">
        <f>AI95*VLOOKUP('Données projet'!$B$10,Paramètres!$A$1:$I$89,3,0)*VLOOKUP('Données projet'!$B$10,Paramètres!$A$1:$I$89,5,0)</f>
        <v>228.38400000000016</v>
      </c>
      <c r="AK95" s="13">
        <f t="shared" si="89"/>
        <v>55.933121291087339</v>
      </c>
      <c r="AL95" s="20">
        <f t="shared" si="58"/>
        <v>495.18565291531075</v>
      </c>
      <c r="AM95" s="59">
        <f t="shared" si="59"/>
        <v>788.51898624864407</v>
      </c>
      <c r="AN95" s="59">
        <f ca="1">AVERAGE(OFFSET($AM$3,0,0,'Données projet'!$E$10+1,1))-AVERAGE(OFFSET($H$3,0,0,'Données projet'!$E$10+1,1))</f>
        <v>282.98219518929034</v>
      </c>
      <c r="AO95" s="59">
        <f t="shared" si="90"/>
        <v>205.95652510682322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57.338318649825787</v>
      </c>
      <c r="AV95" s="21">
        <f>EXP(-LN(2)/25)*AV94+(1-EXP(-LN(2)/25))/(LN(2)/25)*Calculateur!AQ95*Calculateur!AS95*VLOOKUP('Données projet'!$B$10,Paramètres!$A$1:$I$89,3,0)*0.475*44/12</f>
        <v>16.767511773359342</v>
      </c>
      <c r="AW95" s="21">
        <f>EXP(-LN(2)/2)*AW94+(1-EXP(-LN(2)/2))/(LN(2)/2)*AQ95*AT95*VLOOKUP('Données projet'!$B$10,Paramètres!$A$1:$I$89,3,0)*0.475*44/12</f>
        <v>4.682020503899217E-9</v>
      </c>
      <c r="AX95" s="21">
        <f t="shared" si="60"/>
        <v>74.105830427867147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295.99999999999977</v>
      </c>
      <c r="BE95" s="13">
        <f>BD95*VLOOKUP('Données projet'!$B$11,Paramètres!$A$1:$I$89,3,0)*VLOOKUP('Données projet'!$B$11,Paramètres!$A$1:$I$89,5,0)</f>
        <v>240.11519999999982</v>
      </c>
      <c r="BF95" s="13">
        <f t="shared" si="91"/>
        <v>58.464315631105265</v>
      </c>
      <c r="BG95" s="20">
        <f t="shared" si="61"/>
        <v>520.02598972417468</v>
      </c>
      <c r="BH95" s="59">
        <f t="shared" si="62"/>
        <v>813.35932305750794</v>
      </c>
      <c r="BI95" s="59">
        <f ca="1">AVERAGE(OFFSET($BH$3,0,0,'Données projet'!$E$11+1,1))-AVERAGE(OFFSET($H$3,0,0,'Données projet'!$E$11+1,1))</f>
        <v>293.14894570672351</v>
      </c>
      <c r="BJ95" s="59">
        <f t="shared" si="92"/>
        <v>252.47559879720762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36.234500691825687</v>
      </c>
      <c r="BQ95" s="21">
        <f>EXP(-LN(2)/25)*BQ94+(1-EXP(-LN(2)/25))/(LN(2)/25)*Calculateur!BL95*Calculateur!BN95*VLOOKUP('Données projet'!$B$11,Paramètres!$A$1:$I$89,3,0)*0.475*44/12</f>
        <v>5.6036416680685175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41.838142359894206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607.99999999999977</v>
      </c>
      <c r="O96" s="13">
        <f>N96*VLOOKUP('Données projet'!$B$9,Paramètres!$A$1:$I$89,3,0)*VLOOKUP('Données projet'!$B$9,Paramètres!$A$1:$I$89,5,0)</f>
        <v>339.87199999999984</v>
      </c>
      <c r="P96" s="13">
        <f t="shared" si="87"/>
        <v>79.473500231862786</v>
      </c>
      <c r="Q96" s="20">
        <f t="shared" si="54"/>
        <v>730.36007957049412</v>
      </c>
      <c r="R96" s="59">
        <f t="shared" si="55"/>
        <v>1023.6934129038275</v>
      </c>
      <c r="S96" s="59">
        <f ca="1">AVERAGE(OFFSET($R$3,0,0,'Données projet'!$E$9+1,1))-AVERAGE(OFFSET($H$3,0,0,'Données projet'!$E$9+1,1))</f>
        <v>381.58561971183832</v>
      </c>
      <c r="T96" s="59">
        <f t="shared" si="88"/>
        <v>444.55874959426347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47.809863391042292</v>
      </c>
      <c r="AA96" s="21">
        <f>EXP(-LN(2)/25)*AA95+(1-EXP(-LN(2)/25))/(LN(2)/25)*Calculateur!V96*Calculateur!X96*VLOOKUP('Données projet'!$B$9,Paramètres!$A$1:$I$89,3,0)*0.475*44/12</f>
        <v>10.257226238570063</v>
      </c>
      <c r="AB96" s="21">
        <f>EXP(-LN(2)/2)*AB95+(1-EXP(-LN(2)/2))/(LN(2)/2)*V96*Y96*VLOOKUP('Données projet'!$B$9,Paramètres!$A$1:$I$89,3,0)*0.475*44/12</f>
        <v>3.9787921278194925E-10</v>
      </c>
      <c r="AC96" s="22">
        <f t="shared" si="57"/>
        <v>58.067089630010237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</v>
      </c>
      <c r="AI96" s="13">
        <f>IF('Données projet'!$A$62&gt;35,AI95+AH96-AQ95,IF(A96&lt;'Données projet'!$A$62,$AF$205^A96,IF(A96='Données projet'!$A$62,'Données projet'!$B$62,AI95+AH96-AQ95)))</f>
        <v>374.00000000000028</v>
      </c>
      <c r="AJ96" s="13">
        <f>AI96*VLOOKUP('Données projet'!$B$10,Paramètres!$A$1:$I$89,3,0)*VLOOKUP('Données projet'!$B$10,Paramètres!$A$1:$I$89,5,0)</f>
        <v>233.37600000000018</v>
      </c>
      <c r="AK96" s="13">
        <f t="shared" si="89"/>
        <v>57.012031446990157</v>
      </c>
      <c r="AL96" s="20">
        <f t="shared" si="58"/>
        <v>505.7591547701748</v>
      </c>
      <c r="AM96" s="59">
        <f t="shared" si="59"/>
        <v>799.09248810350812</v>
      </c>
      <c r="AN96" s="59">
        <f ca="1">AVERAGE(OFFSET($AM$3,0,0,'Données projet'!$E$10+1,1))-AVERAGE(OFFSET($H$3,0,0,'Données projet'!$E$10+1,1))</f>
        <v>282.98219518929034</v>
      </c>
      <c r="AO96" s="59">
        <f t="shared" si="90"/>
        <v>205.95652510682322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56.21394919402379</v>
      </c>
      <c r="AV96" s="21">
        <f>EXP(-LN(2)/25)*AV95+(1-EXP(-LN(2)/25))/(LN(2)/25)*Calculateur!AQ96*Calculateur!AS96*VLOOKUP('Données projet'!$B$10,Paramètres!$A$1:$I$89,3,0)*0.475*44/12</f>
        <v>16.309003282151711</v>
      </c>
      <c r="AW96" s="21">
        <f>EXP(-LN(2)/2)*AW95+(1-EXP(-LN(2)/2))/(LN(2)/2)*AQ96*AT96*VLOOKUP('Données projet'!$B$10,Paramètres!$A$1:$I$89,3,0)*0.475*44/12</f>
        <v>3.3106884479615927E-9</v>
      </c>
      <c r="AX96" s="21">
        <f t="shared" si="60"/>
        <v>72.522952479486193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295.99999999999977</v>
      </c>
      <c r="BE96" s="13">
        <f>BD96*VLOOKUP('Données projet'!$B$11,Paramètres!$A$1:$I$89,3,0)*VLOOKUP('Données projet'!$B$11,Paramètres!$A$1:$I$89,5,0)</f>
        <v>240.11519999999982</v>
      </c>
      <c r="BF96" s="13">
        <f t="shared" si="91"/>
        <v>58.464315631105265</v>
      </c>
      <c r="BG96" s="20">
        <f t="shared" si="61"/>
        <v>520.02598972417468</v>
      </c>
      <c r="BH96" s="59">
        <f t="shared" si="62"/>
        <v>813.35932305750794</v>
      </c>
      <c r="BI96" s="59">
        <f ca="1">AVERAGE(OFFSET($BH$3,0,0,'Données projet'!$E$11+1,1))-AVERAGE(OFFSET($H$3,0,0,'Données projet'!$E$11+1,1))</f>
        <v>293.14894570672351</v>
      </c>
      <c r="BJ96" s="59">
        <f t="shared" si="92"/>
        <v>252.47559879720762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35.523964234122126</v>
      </c>
      <c r="BQ96" s="21">
        <f>EXP(-LN(2)/25)*BQ95+(1-EXP(-LN(2)/25))/(LN(2)/25)*Calculateur!BL96*Calculateur!BN96*VLOOKUP('Données projet'!$B$11,Paramètres!$A$1:$I$89,3,0)*0.475*44/12</f>
        <v>5.4504097919724757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40.974374026094601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607.99999999999977</v>
      </c>
      <c r="O97" s="13">
        <f>N97*VLOOKUP('Données projet'!$B$9,Paramètres!$A$1:$I$89,3,0)*VLOOKUP('Données projet'!$B$9,Paramètres!$A$1:$I$89,5,0)</f>
        <v>339.87199999999984</v>
      </c>
      <c r="P97" s="13">
        <f t="shared" si="87"/>
        <v>79.473500231862786</v>
      </c>
      <c r="Q97" s="20">
        <f t="shared" si="54"/>
        <v>730.36007957049412</v>
      </c>
      <c r="R97" s="59">
        <f t="shared" si="55"/>
        <v>1023.6934129038275</v>
      </c>
      <c r="S97" s="59">
        <f ca="1">AVERAGE(OFFSET($R$3,0,0,'Données projet'!$E$9+1,1))-AVERAGE(OFFSET($H$3,0,0,'Données projet'!$E$9+1,1))</f>
        <v>381.58561971183832</v>
      </c>
      <c r="T97" s="59">
        <f t="shared" si="88"/>
        <v>444.55874959426347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46.8723411310812</v>
      </c>
      <c r="AA97" s="21">
        <f>EXP(-LN(2)/25)*AA96+(1-EXP(-LN(2)/25))/(LN(2)/25)*Calculateur!V97*Calculateur!X97*VLOOKUP('Données projet'!$B$9,Paramètres!$A$1:$I$89,3,0)*0.475*44/12</f>
        <v>9.9767418476722796</v>
      </c>
      <c r="AB97" s="21">
        <f>EXP(-LN(2)/2)*AB96+(1-EXP(-LN(2)/2))/(LN(2)/2)*V97*Y97*VLOOKUP('Données projet'!$B$9,Paramètres!$A$1:$I$89,3,0)*0.475*44/12</f>
        <v>2.8134308945128157E-10</v>
      </c>
      <c r="AC97" s="22">
        <f t="shared" si="57"/>
        <v>56.849082979034826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</v>
      </c>
      <c r="AI97" s="13">
        <f>IF('Données projet'!$A$62&gt;35,AI96+AH97-AQ96,IF(A97&lt;'Données projet'!$A$62,$AF$205^A97,IF(A97='Données projet'!$A$62,'Données projet'!$B$62,AI96+AH97-AQ96)))</f>
        <v>382.00000000000028</v>
      </c>
      <c r="AJ97" s="13">
        <f>AI97*VLOOKUP('Données projet'!$B$10,Paramètres!$A$1:$I$89,3,0)*VLOOKUP('Données projet'!$B$10,Paramètres!$A$1:$I$89,5,0)</f>
        <v>238.36800000000017</v>
      </c>
      <c r="AK97" s="13">
        <f t="shared" si="89"/>
        <v>58.08825841488494</v>
      </c>
      <c r="AL97" s="20">
        <f t="shared" si="58"/>
        <v>516.3279834059249</v>
      </c>
      <c r="AM97" s="59">
        <f t="shared" si="59"/>
        <v>809.66131673925815</v>
      </c>
      <c r="AN97" s="59">
        <f ca="1">AVERAGE(OFFSET($AM$3,0,0,'Données projet'!$E$10+1,1))-AVERAGE(OFFSET($H$3,0,0,'Données projet'!$E$10+1,1))</f>
        <v>282.98219518929034</v>
      </c>
      <c r="AO97" s="59">
        <f t="shared" si="90"/>
        <v>205.95652510682322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55.111627937452418</v>
      </c>
      <c r="AV97" s="21">
        <f>EXP(-LN(2)/25)*AV96+(1-EXP(-LN(2)/25))/(LN(2)/25)*Calculateur!AQ97*Calculateur!AS97*VLOOKUP('Données projet'!$B$10,Paramètres!$A$1:$I$89,3,0)*0.475*44/12</f>
        <v>15.863032729748063</v>
      </c>
      <c r="AW97" s="21">
        <f>EXP(-LN(2)/2)*AW96+(1-EXP(-LN(2)/2))/(LN(2)/2)*AQ97*AT97*VLOOKUP('Données projet'!$B$10,Paramètres!$A$1:$I$89,3,0)*0.475*44/12</f>
        <v>2.3410102519496085E-9</v>
      </c>
      <c r="AX97" s="21">
        <f t="shared" si="60"/>
        <v>70.974660669541493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295.99999999999977</v>
      </c>
      <c r="BE97" s="13">
        <f>BD97*VLOOKUP('Données projet'!$B$11,Paramètres!$A$1:$I$89,3,0)*VLOOKUP('Données projet'!$B$11,Paramètres!$A$1:$I$89,5,0)</f>
        <v>240.11519999999982</v>
      </c>
      <c r="BF97" s="13">
        <f t="shared" si="91"/>
        <v>58.464315631105265</v>
      </c>
      <c r="BG97" s="20">
        <f t="shared" si="61"/>
        <v>520.02598972417468</v>
      </c>
      <c r="BH97" s="59">
        <f t="shared" si="62"/>
        <v>813.35932305750794</v>
      </c>
      <c r="BI97" s="59">
        <f ca="1">AVERAGE(OFFSET($BH$3,0,0,'Données projet'!$E$11+1,1))-AVERAGE(OFFSET($H$3,0,0,'Données projet'!$E$11+1,1))</f>
        <v>293.14894570672351</v>
      </c>
      <c r="BJ97" s="59">
        <f t="shared" si="92"/>
        <v>252.47559879720762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34.827360962969685</v>
      </c>
      <c r="BQ97" s="21">
        <f>EXP(-LN(2)/25)*BQ96+(1-EXP(-LN(2)/25))/(LN(2)/25)*Calculateur!BL97*Calculateur!BN97*VLOOKUP('Données projet'!$B$11,Paramètres!$A$1:$I$89,3,0)*0.475*44/12</f>
        <v>5.3013680495863946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40.128729012556079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607.99999999999977</v>
      </c>
      <c r="O98" s="13">
        <f>N98*VLOOKUP('Données projet'!$B$9,Paramètres!$A$1:$I$89,3,0)*VLOOKUP('Données projet'!$B$9,Paramètres!$A$1:$I$89,5,0)</f>
        <v>339.87199999999984</v>
      </c>
      <c r="P98" s="13">
        <f t="shared" si="87"/>
        <v>79.473500231862786</v>
      </c>
      <c r="Q98" s="20">
        <f t="shared" si="54"/>
        <v>730.36007957049412</v>
      </c>
      <c r="R98" s="59">
        <f t="shared" si="55"/>
        <v>1023.6934129038275</v>
      </c>
      <c r="S98" s="59">
        <f ca="1">AVERAGE(OFFSET($R$3,0,0,'Données projet'!$E$9+1,1))-AVERAGE(OFFSET($H$3,0,0,'Données projet'!$E$9+1,1))</f>
        <v>381.58561971183832</v>
      </c>
      <c r="T98" s="59">
        <f t="shared" si="88"/>
        <v>444.55874959426347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45.953203110805831</v>
      </c>
      <c r="AA98" s="21">
        <f>EXP(-LN(2)/25)*AA97+(1-EXP(-LN(2)/25))/(LN(2)/25)*Calculateur!V98*Calculateur!X98*VLOOKUP('Données projet'!$B$9,Paramètres!$A$1:$I$89,3,0)*0.475*44/12</f>
        <v>9.7039273171936298</v>
      </c>
      <c r="AB98" s="21">
        <f>EXP(-LN(2)/2)*AB97+(1-EXP(-LN(2)/2))/(LN(2)/2)*V98*Y98*VLOOKUP('Données projet'!$B$9,Paramètres!$A$1:$I$89,3,0)*0.475*44/12</f>
        <v>1.9893960639097462E-10</v>
      </c>
      <c r="AC98" s="22">
        <f t="shared" si="57"/>
        <v>55.6571304281984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390</v>
      </c>
      <c r="AG98" s="12">
        <f>VLOOKUP(A98,'Données projet'!$A$61:$I$81,9,0)</f>
        <v>8</v>
      </c>
      <c r="AH98" s="12">
        <f t="array" ref="AH98">INDEX(AG:AG,MIN(IF(ISNUMBER(AG98:AG294),ROW(AG98:AG294),"")))</f>
        <v>8</v>
      </c>
      <c r="AI98" s="13">
        <f>IF('Données projet'!$A$62&gt;35,AI97+AH98-AQ97,IF(A98&lt;'Données projet'!$A$62,$AF$205^A98,IF(A98='Données projet'!$A$62,'Données projet'!$B$62,AI97+AH98-AQ97)))</f>
        <v>390.00000000000028</v>
      </c>
      <c r="AJ98" s="13">
        <f>AI98*VLOOKUP('Données projet'!$B$10,Paramètres!$A$1:$I$89,3,0)*VLOOKUP('Données projet'!$B$10,Paramètres!$A$1:$I$89,5,0)</f>
        <v>243.36000000000018</v>
      </c>
      <c r="AK98" s="13">
        <f t="shared" si="89"/>
        <v>59.161864860837184</v>
      </c>
      <c r="AL98" s="20">
        <f t="shared" si="58"/>
        <v>526.89224796595829</v>
      </c>
      <c r="AM98" s="59">
        <f t="shared" si="59"/>
        <v>820.22558129929166</v>
      </c>
      <c r="AN98" s="59">
        <f ca="1">AVERAGE(OFFSET($AM$3,0,0,'Données projet'!$E$10+1,1))-AVERAGE(OFFSET($H$3,0,0,'Données projet'!$E$10+1,1))</f>
        <v>282.98219518929034</v>
      </c>
      <c r="AO98" s="59">
        <f t="shared" si="90"/>
        <v>205.95652510682322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54.030922528372834</v>
      </c>
      <c r="AV98" s="21">
        <f>EXP(-LN(2)/25)*AV97+(1-EXP(-LN(2)/25))/(LN(2)/25)*Calculateur!AQ98*Calculateur!AS98*VLOOKUP('Données projet'!$B$10,Paramètres!$A$1:$I$89,3,0)*0.475*44/12</f>
        <v>15.429257265552467</v>
      </c>
      <c r="AW98" s="21">
        <f>EXP(-LN(2)/2)*AW97+(1-EXP(-LN(2)/2))/(LN(2)/2)*AQ98*AT98*VLOOKUP('Données projet'!$B$10,Paramètres!$A$1:$I$89,3,0)*0.475*44/12</f>
        <v>1.6553442239807963E-9</v>
      </c>
      <c r="AX98" s="21">
        <f t="shared" si="60"/>
        <v>69.460179795580643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295.99999999999977</v>
      </c>
      <c r="BE98" s="13">
        <f>BD98*VLOOKUP('Données projet'!$B$11,Paramètres!$A$1:$I$89,3,0)*VLOOKUP('Données projet'!$B$11,Paramètres!$A$1:$I$89,5,0)</f>
        <v>240.11519999999982</v>
      </c>
      <c r="BF98" s="13">
        <f t="shared" si="91"/>
        <v>58.464315631105265</v>
      </c>
      <c r="BG98" s="20">
        <f t="shared" si="61"/>
        <v>520.02598972417468</v>
      </c>
      <c r="BH98" s="59">
        <f t="shared" si="62"/>
        <v>813.35932305750794</v>
      </c>
      <c r="BI98" s="59">
        <f ca="1">AVERAGE(OFFSET($BH$3,0,0,'Données projet'!$E$11+1,1))-AVERAGE(OFFSET($H$3,0,0,'Données projet'!$E$11+1,1))</f>
        <v>293.14894570672351</v>
      </c>
      <c r="BJ98" s="59">
        <f t="shared" si="92"/>
        <v>252.47559879720762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34.144417657078506</v>
      </c>
      <c r="BQ98" s="21">
        <f>EXP(-LN(2)/25)*BQ97+(1-EXP(-LN(2)/25))/(LN(2)/25)*Calculateur!BL98*Calculateur!BN98*VLOOKUP('Données projet'!$B$11,Paramètres!$A$1:$I$89,3,0)*0.475*44/12</f>
        <v>5.1564018614836256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39.300819518562129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607.99999999999977</v>
      </c>
      <c r="O99" s="13">
        <f>N99*VLOOKUP('Données projet'!$B$9,Paramètres!$A$1:$I$89,3,0)*VLOOKUP('Données projet'!$B$9,Paramètres!$A$1:$I$89,5,0)</f>
        <v>339.87199999999984</v>
      </c>
      <c r="P99" s="13">
        <f t="shared" si="87"/>
        <v>79.473500231862786</v>
      </c>
      <c r="Q99" s="20">
        <f t="shared" ref="Q99:Q130" si="107">(O99+P99)*0.475*44/12</f>
        <v>730.36007957049412</v>
      </c>
      <c r="R99" s="59">
        <f t="shared" si="55"/>
        <v>1023.6934129038275</v>
      </c>
      <c r="S99" s="59">
        <f ca="1">AVERAGE(OFFSET($R$3,0,0,'Données projet'!$E$9+1,1))-AVERAGE(OFFSET($H$3,0,0,'Données projet'!$E$9+1,1))</f>
        <v>381.58561971183832</v>
      </c>
      <c r="T99" s="59">
        <f t="shared" si="88"/>
        <v>444.55874959426347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45.052088826489225</v>
      </c>
      <c r="AA99" s="21">
        <f>EXP(-LN(2)/25)*AA98+(1-EXP(-LN(2)/25))/(LN(2)/25)*Calculateur!V99*Calculateur!X99*VLOOKUP('Données projet'!$B$9,Paramètres!$A$1:$I$89,3,0)*0.475*44/12</f>
        <v>9.4385729143976107</v>
      </c>
      <c r="AB99" s="21">
        <f>EXP(-LN(2)/2)*AB98+(1-EXP(-LN(2)/2))/(LN(2)/2)*V99*Y99*VLOOKUP('Données projet'!$B$9,Paramètres!$A$1:$I$89,3,0)*0.475*44/12</f>
        <v>1.4067154472564078E-10</v>
      </c>
      <c r="AC99" s="22">
        <f t="shared" si="57"/>
        <v>54.490661741027509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-1</v>
      </c>
      <c r="AI99" s="13">
        <f>IF('Données projet'!$A$62&gt;35,AI98+AH99-AQ98,IF(A99&lt;'Données projet'!$A$62,$AF$205^A99,IF(A99='Données projet'!$A$62,'Données projet'!$B$62,AI98+AH99-AQ98)))</f>
        <v>389.00000000000028</v>
      </c>
      <c r="AJ99" s="13">
        <f>AI99*VLOOKUP('Données projet'!$B$10,Paramètres!$A$1:$I$89,3,0)*VLOOKUP('Données projet'!$B$10,Paramètres!$A$1:$I$89,5,0)</f>
        <v>242.73600000000019</v>
      </c>
      <c r="AK99" s="13">
        <f t="shared" si="89"/>
        <v>59.027805290717765</v>
      </c>
      <c r="AL99" s="20">
        <f t="shared" si="58"/>
        <v>525.57196088133378</v>
      </c>
      <c r="AM99" s="59">
        <f t="shared" si="59"/>
        <v>818.90529421466704</v>
      </c>
      <c r="AN99" s="59">
        <f ca="1">AVERAGE(OFFSET($AM$3,0,0,'Données projet'!$E$10+1,1))-AVERAGE(OFFSET($H$3,0,0,'Données projet'!$E$10+1,1))</f>
        <v>282.98219518929034</v>
      </c>
      <c r="AO99" s="59">
        <f t="shared" si="90"/>
        <v>205.95652510682322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52.971409093200087</v>
      </c>
      <c r="AV99" s="21">
        <f>EXP(-LN(2)/25)*AV98+(1-EXP(-LN(2)/25))/(LN(2)/25)*Calculateur!AQ99*Calculateur!AS99*VLOOKUP('Données projet'!$B$10,Paramètres!$A$1:$I$89,3,0)*0.475*44/12</f>
        <v>15.007343414236558</v>
      </c>
      <c r="AW99" s="21">
        <f>EXP(-LN(2)/2)*AW98+(1-EXP(-LN(2)/2))/(LN(2)/2)*AQ99*AT99*VLOOKUP('Données projet'!$B$10,Paramètres!$A$1:$I$89,3,0)*0.475*44/12</f>
        <v>1.1705051259748042E-9</v>
      </c>
      <c r="AX99" s="21">
        <f t="shared" si="60"/>
        <v>67.978752508607144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295.99999999999977</v>
      </c>
      <c r="BE99" s="13">
        <f>BD99*VLOOKUP('Données projet'!$B$11,Paramètres!$A$1:$I$89,3,0)*VLOOKUP('Données projet'!$B$11,Paramètres!$A$1:$I$89,5,0)</f>
        <v>240.11519999999982</v>
      </c>
      <c r="BF99" s="13">
        <f t="shared" si="91"/>
        <v>58.464315631105265</v>
      </c>
      <c r="BG99" s="20">
        <f t="shared" si="61"/>
        <v>520.02598972417468</v>
      </c>
      <c r="BH99" s="59">
        <f t="shared" si="62"/>
        <v>813.35932305750794</v>
      </c>
      <c r="BI99" s="59">
        <f ca="1">AVERAGE(OFFSET($BH$3,0,0,'Données projet'!$E$11+1,1))-AVERAGE(OFFSET($H$3,0,0,'Données projet'!$E$11+1,1))</f>
        <v>293.14894570672351</v>
      </c>
      <c r="BJ99" s="59">
        <f t="shared" si="92"/>
        <v>252.47559879720762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33.474866452861569</v>
      </c>
      <c r="BQ99" s="21">
        <f>EXP(-LN(2)/25)*BQ98+(1-EXP(-LN(2)/25))/(LN(2)/25)*Calculateur!BL99*Calculateur!BN99*VLOOKUP('Données projet'!$B$11,Paramètres!$A$1:$I$89,3,0)*0.475*44/12</f>
        <v>5.0153997814179672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38.490266234279538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607.99999999999977</v>
      </c>
      <c r="O100" s="13">
        <f>N100*VLOOKUP('Données projet'!$B$9,Paramètres!$A$1:$I$89,3,0)*VLOOKUP('Données projet'!$B$9,Paramètres!$A$1:$I$89,5,0)</f>
        <v>339.87199999999984</v>
      </c>
      <c r="P100" s="13">
        <f t="shared" si="87"/>
        <v>79.473500231862786</v>
      </c>
      <c r="Q100" s="20">
        <f t="shared" si="107"/>
        <v>730.36007957049412</v>
      </c>
      <c r="R100" s="59">
        <f t="shared" si="55"/>
        <v>1023.6934129038275</v>
      </c>
      <c r="S100" s="59">
        <f ca="1">AVERAGE(OFFSET($R$3,0,0,'Données projet'!$E$9+1,1))-AVERAGE(OFFSET($H$3,0,0,'Données projet'!$E$9+1,1))</f>
        <v>381.58561971183832</v>
      </c>
      <c r="T100" s="59">
        <f t="shared" si="88"/>
        <v>444.55874959426347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44.168644843662626</v>
      </c>
      <c r="AA100" s="21">
        <f>EXP(-LN(2)/25)*AA99+(1-EXP(-LN(2)/25))/(LN(2)/25)*Calculateur!V100*Calculateur!X100*VLOOKUP('Données projet'!$B$9,Paramètres!$A$1:$I$89,3,0)*0.475*44/12</f>
        <v>9.1804746417004299</v>
      </c>
      <c r="AB100" s="21">
        <f>EXP(-LN(2)/2)*AB99+(1-EXP(-LN(2)/2))/(LN(2)/2)*V100*Y100*VLOOKUP('Données projet'!$B$9,Paramètres!$A$1:$I$89,3,0)*0.475*44/12</f>
        <v>9.9469803195487312E-11</v>
      </c>
      <c r="AC100" s="22">
        <f t="shared" si="57"/>
        <v>53.349119485462523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-1</v>
      </c>
      <c r="AI100" s="13">
        <f>IF('Données projet'!$A$62&gt;35,AI99+AH100-AQ99,IF(A100&lt;'Données projet'!$A$62,$AF$205^A100,IF(A100='Données projet'!$A$62,'Données projet'!$B$62,AI99+AH100-AQ99)))</f>
        <v>388.00000000000028</v>
      </c>
      <c r="AJ100" s="13">
        <f>AI100*VLOOKUP('Données projet'!$B$10,Paramètres!$A$1:$I$89,3,0)*VLOOKUP('Données projet'!$B$10,Paramètres!$A$1:$I$89,5,0)</f>
        <v>242.11200000000017</v>
      </c>
      <c r="AK100" s="13">
        <f t="shared" si="89"/>
        <v>58.893705600066056</v>
      </c>
      <c r="AL100" s="20">
        <f t="shared" si="58"/>
        <v>524.25160392011537</v>
      </c>
      <c r="AM100" s="59">
        <f t="shared" si="59"/>
        <v>817.58493725344874</v>
      </c>
      <c r="AN100" s="59">
        <f ca="1">AVERAGE(OFFSET($AM$3,0,0,'Données projet'!$E$10+1,1))-AVERAGE(OFFSET($H$3,0,0,'Données projet'!$E$10+1,1))</f>
        <v>282.98219518929034</v>
      </c>
      <c r="AO100" s="59">
        <f t="shared" si="90"/>
        <v>205.95652510682322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51.932672070251698</v>
      </c>
      <c r="AV100" s="21">
        <f>EXP(-LN(2)/25)*AV99+(1-EXP(-LN(2)/25))/(LN(2)/25)*Calculateur!AQ100*Calculateur!AS100*VLOOKUP('Données projet'!$B$10,Paramètres!$A$1:$I$89,3,0)*0.475*44/12</f>
        <v>14.596966819372369</v>
      </c>
      <c r="AW100" s="21">
        <f>EXP(-LN(2)/2)*AW99+(1-EXP(-LN(2)/2))/(LN(2)/2)*AQ100*AT100*VLOOKUP('Données projet'!$B$10,Paramètres!$A$1:$I$89,3,0)*0.475*44/12</f>
        <v>8.2767211199039817E-10</v>
      </c>
      <c r="AX100" s="21">
        <f t="shared" si="60"/>
        <v>66.529638890451736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295.99999999999977</v>
      </c>
      <c r="BE100" s="13">
        <f>BD100*VLOOKUP('Données projet'!$B$11,Paramètres!$A$1:$I$89,3,0)*VLOOKUP('Données projet'!$B$11,Paramètres!$A$1:$I$89,5,0)</f>
        <v>240.11519999999982</v>
      </c>
      <c r="BF100" s="13">
        <f t="shared" si="91"/>
        <v>58.464315631105265</v>
      </c>
      <c r="BG100" s="20">
        <f t="shared" si="61"/>
        <v>520.02598972417468</v>
      </c>
      <c r="BH100" s="59">
        <f t="shared" si="62"/>
        <v>813.35932305750794</v>
      </c>
      <c r="BI100" s="59">
        <f ca="1">AVERAGE(OFFSET($BH$3,0,0,'Données projet'!$E$11+1,1))-AVERAGE(OFFSET($H$3,0,0,'Données projet'!$E$11+1,1))</f>
        <v>293.14894570672351</v>
      </c>
      <c r="BJ100" s="59">
        <f t="shared" si="92"/>
        <v>252.47559879720762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32.818444739373412</v>
      </c>
      <c r="BQ100" s="21">
        <f>EXP(-LN(2)/25)*BQ99+(1-EXP(-LN(2)/25))/(LN(2)/25)*Calculateur!BL100*Calculateur!BN100*VLOOKUP('Données projet'!$B$11,Paramètres!$A$1:$I$89,3,0)*0.475*44/12</f>
        <v>4.8782534106466811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37.69669815002009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607.99999999999977</v>
      </c>
      <c r="O101" s="13">
        <f>N101*VLOOKUP('Données projet'!$B$9,Paramètres!$A$1:$I$89,3,0)*VLOOKUP('Données projet'!$B$9,Paramètres!$A$1:$I$89,5,0)</f>
        <v>339.87199999999984</v>
      </c>
      <c r="P101" s="13">
        <f t="shared" si="87"/>
        <v>79.473500231862786</v>
      </c>
      <c r="Q101" s="20">
        <f t="shared" si="107"/>
        <v>730.36007957049412</v>
      </c>
      <c r="R101" s="59">
        <f t="shared" si="55"/>
        <v>1023.6934129038275</v>
      </c>
      <c r="S101" s="59">
        <f ca="1">AVERAGE(OFFSET($R$3,0,0,'Données projet'!$E$9+1,1))-AVERAGE(OFFSET($H$3,0,0,'Données projet'!$E$9+1,1))</f>
        <v>381.58561971183832</v>
      </c>
      <c r="T101" s="59">
        <f t="shared" si="88"/>
        <v>444.55874959426347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43.302524658491635</v>
      </c>
      <c r="AA101" s="21">
        <f>EXP(-LN(2)/25)*AA100+(1-EXP(-LN(2)/25))/(LN(2)/25)*Calculateur!V101*Calculateur!X101*VLOOKUP('Données projet'!$B$9,Paramètres!$A$1:$I$89,3,0)*0.475*44/12</f>
        <v>8.9294340798429523</v>
      </c>
      <c r="AB101" s="21">
        <f>EXP(-LN(2)/2)*AB100+(1-EXP(-LN(2)/2))/(LN(2)/2)*V101*Y101*VLOOKUP('Données projet'!$B$9,Paramètres!$A$1:$I$89,3,0)*0.475*44/12</f>
        <v>7.0335772362820392E-11</v>
      </c>
      <c r="AC101" s="22">
        <f t="shared" si="57"/>
        <v>52.23195873840492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-1</v>
      </c>
      <c r="AI101" s="13">
        <f>IF('Données projet'!$A$62&gt;35,AI100+AH101-AQ100,IF(A101&lt;'Données projet'!$A$62,$AF$205^A101,IF(A101='Données projet'!$A$62,'Données projet'!$B$62,AI100+AH101-AQ100)))</f>
        <v>387.00000000000028</v>
      </c>
      <c r="AJ101" s="13">
        <f>AI101*VLOOKUP('Données projet'!$B$10,Paramètres!$A$1:$I$89,3,0)*VLOOKUP('Données projet'!$B$10,Paramètres!$A$1:$I$89,5,0)</f>
        <v>241.48800000000017</v>
      </c>
      <c r="AK101" s="13">
        <f t="shared" si="89"/>
        <v>58.759565673424966</v>
      </c>
      <c r="AL101" s="20">
        <f t="shared" si="58"/>
        <v>522.93117688121538</v>
      </c>
      <c r="AM101" s="59">
        <f t="shared" si="59"/>
        <v>816.26451021454864</v>
      </c>
      <c r="AN101" s="59">
        <f ca="1">AVERAGE(OFFSET($AM$3,0,0,'Données projet'!$E$10+1,1))-AVERAGE(OFFSET($H$3,0,0,'Données projet'!$E$10+1,1))</f>
        <v>282.98219518929034</v>
      </c>
      <c r="AO101" s="59">
        <f t="shared" si="90"/>
        <v>205.95652510682322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50.9143040467563</v>
      </c>
      <c r="AV101" s="21">
        <f>EXP(-LN(2)/25)*AV100+(1-EXP(-LN(2)/25))/(LN(2)/25)*Calculateur!AQ101*Calculateur!AS101*VLOOKUP('Données projet'!$B$10,Paramètres!$A$1:$I$89,3,0)*0.475*44/12</f>
        <v>14.197811994075508</v>
      </c>
      <c r="AW101" s="21">
        <f>EXP(-LN(2)/2)*AW100+(1-EXP(-LN(2)/2))/(LN(2)/2)*AQ101*AT101*VLOOKUP('Données projet'!$B$10,Paramètres!$A$1:$I$89,3,0)*0.475*44/12</f>
        <v>5.8525256298740212E-10</v>
      </c>
      <c r="AX101" s="21">
        <f t="shared" si="60"/>
        <v>65.112116041417053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295.99999999999977</v>
      </c>
      <c r="BE101" s="13">
        <f>BD101*VLOOKUP('Données projet'!$B$11,Paramètres!$A$1:$I$89,3,0)*VLOOKUP('Données projet'!$B$11,Paramètres!$A$1:$I$89,5,0)</f>
        <v>240.11519999999982</v>
      </c>
      <c r="BF101" s="13">
        <f t="shared" si="91"/>
        <v>58.464315631105265</v>
      </c>
      <c r="BG101" s="20">
        <f t="shared" si="61"/>
        <v>520.02598972417468</v>
      </c>
      <c r="BH101" s="59">
        <f t="shared" si="62"/>
        <v>813.35932305750794</v>
      </c>
      <c r="BI101" s="59">
        <f ca="1">AVERAGE(OFFSET($BH$3,0,0,'Données projet'!$E$11+1,1))-AVERAGE(OFFSET($H$3,0,0,'Données projet'!$E$11+1,1))</f>
        <v>293.14894570672351</v>
      </c>
      <c r="BJ101" s="59">
        <f t="shared" si="92"/>
        <v>252.47559879720762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32.174895055309051</v>
      </c>
      <c r="BQ101" s="21">
        <f>EXP(-LN(2)/25)*BQ100+(1-EXP(-LN(2)/25))/(LN(2)/25)*Calculateur!BL101*Calculateur!BN101*VLOOKUP('Données projet'!$B$11,Paramètres!$A$1:$I$89,3,0)*0.475*44/12</f>
        <v>4.7448573145963504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36.919752369905403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607.99999999999977</v>
      </c>
      <c r="O102" s="13">
        <f>N102*VLOOKUP('Données projet'!$B$9,Paramètres!$A$1:$I$89,3,0)*VLOOKUP('Données projet'!$B$9,Paramètres!$A$1:$I$89,5,0)</f>
        <v>339.87199999999984</v>
      </c>
      <c r="P102" s="13">
        <f t="shared" si="87"/>
        <v>79.473500231862786</v>
      </c>
      <c r="Q102" s="20">
        <f t="shared" si="107"/>
        <v>730.36007957049412</v>
      </c>
      <c r="R102" s="59">
        <f t="shared" si="55"/>
        <v>1023.6934129038275</v>
      </c>
      <c r="S102" s="59">
        <f ca="1">AVERAGE(OFFSET($R$3,0,0,'Données projet'!$E$9+1,1))-AVERAGE(OFFSET($H$3,0,0,'Données projet'!$E$9+1,1))</f>
        <v>381.58561971183832</v>
      </c>
      <c r="T102" s="59">
        <f t="shared" si="88"/>
        <v>444.55874959426347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42.453388561870696</v>
      </c>
      <c r="AA102" s="21">
        <f>EXP(-LN(2)/25)*AA101+(1-EXP(-LN(2)/25))/(LN(2)/25)*Calculateur!V102*Calculateur!X102*VLOOKUP('Données projet'!$B$9,Paramètres!$A$1:$I$89,3,0)*0.475*44/12</f>
        <v>8.6852582353511174</v>
      </c>
      <c r="AB102" s="21">
        <f>EXP(-LN(2)/2)*AB101+(1-EXP(-LN(2)/2))/(LN(2)/2)*V102*Y102*VLOOKUP('Données projet'!$B$9,Paramètres!$A$1:$I$89,3,0)*0.475*44/12</f>
        <v>4.9734901597743656E-11</v>
      </c>
      <c r="AC102" s="22">
        <f t="shared" si="57"/>
        <v>51.138646797271548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-1</v>
      </c>
      <c r="AI102" s="13">
        <f>IF('Données projet'!$A$62&gt;35,AI101+AH102-AQ101,IF(A102&lt;'Données projet'!$A$62,$AF$205^A102,IF(A102='Données projet'!$A$62,'Données projet'!$B$62,AI101+AH102-AQ101)))</f>
        <v>386.00000000000028</v>
      </c>
      <c r="AJ102" s="13">
        <f>AI102*VLOOKUP('Données projet'!$B$10,Paramètres!$A$1:$I$89,3,0)*VLOOKUP('Données projet'!$B$10,Paramètres!$A$1:$I$89,5,0)</f>
        <v>240.8640000000002</v>
      </c>
      <c r="AK102" s="13">
        <f t="shared" si="89"/>
        <v>58.625385394705738</v>
      </c>
      <c r="AL102" s="20">
        <f t="shared" si="58"/>
        <v>521.61067956244608</v>
      </c>
      <c r="AM102" s="59">
        <f t="shared" si="59"/>
        <v>814.94401289577945</v>
      </c>
      <c r="AN102" s="59">
        <f ca="1">AVERAGE(OFFSET($AM$3,0,0,'Données projet'!$E$10+1,1))-AVERAGE(OFFSET($H$3,0,0,'Données projet'!$E$10+1,1))</f>
        <v>282.98219518929034</v>
      </c>
      <c r="AO102" s="59">
        <f t="shared" si="90"/>
        <v>205.95652510682322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49.915905599058483</v>
      </c>
      <c r="AV102" s="21">
        <f>EXP(-LN(2)/25)*AV101+(1-EXP(-LN(2)/25))/(LN(2)/25)*Calculateur!AQ102*Calculateur!AS102*VLOOKUP('Données projet'!$B$10,Paramètres!$A$1:$I$89,3,0)*0.475*44/12</f>
        <v>13.809572078467029</v>
      </c>
      <c r="AW102" s="21">
        <f>EXP(-LN(2)/2)*AW101+(1-EXP(-LN(2)/2))/(LN(2)/2)*AQ102*AT102*VLOOKUP('Données projet'!$B$10,Paramètres!$A$1:$I$89,3,0)*0.475*44/12</f>
        <v>4.1383605599519908E-10</v>
      </c>
      <c r="AX102" s="21">
        <f t="shared" si="60"/>
        <v>63.725477677939345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295.99999999999977</v>
      </c>
      <c r="BE102" s="13">
        <f>BD102*VLOOKUP('Données projet'!$B$11,Paramètres!$A$1:$I$89,3,0)*VLOOKUP('Données projet'!$B$11,Paramètres!$A$1:$I$89,5,0)</f>
        <v>240.11519999999982</v>
      </c>
      <c r="BF102" s="13">
        <f t="shared" si="91"/>
        <v>58.464315631105265</v>
      </c>
      <c r="BG102" s="20">
        <f t="shared" si="61"/>
        <v>520.02598972417468</v>
      </c>
      <c r="BH102" s="59">
        <f t="shared" si="62"/>
        <v>813.35932305750794</v>
      </c>
      <c r="BI102" s="59">
        <f ca="1">AVERAGE(OFFSET($BH$3,0,0,'Données projet'!$E$11+1,1))-AVERAGE(OFFSET($H$3,0,0,'Données projet'!$E$11+1,1))</f>
        <v>293.14894570672351</v>
      </c>
      <c r="BJ102" s="59">
        <f t="shared" si="92"/>
        <v>252.47559879720762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31.54396498802264</v>
      </c>
      <c r="BQ102" s="21">
        <f>EXP(-LN(2)/25)*BQ101+(1-EXP(-LN(2)/25))/(LN(2)/25)*Calculateur!BL102*Calculateur!BN102*VLOOKUP('Données projet'!$B$11,Paramètres!$A$1:$I$89,3,0)*0.475*44/12</f>
        <v>4.6151089418075113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36.15907392983015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607.99999999999977</v>
      </c>
      <c r="O103" s="13">
        <f>N103*VLOOKUP('Données projet'!$B$9,Paramètres!$A$1:$I$89,3,0)*VLOOKUP('Données projet'!$B$9,Paramètres!$A$1:$I$89,5,0)</f>
        <v>339.87199999999984</v>
      </c>
      <c r="P103" s="13">
        <f t="shared" si="87"/>
        <v>79.473500231862786</v>
      </c>
      <c r="Q103" s="20">
        <f t="shared" si="107"/>
        <v>730.36007957049412</v>
      </c>
      <c r="R103" s="59">
        <f t="shared" si="55"/>
        <v>1023.6934129038275</v>
      </c>
      <c r="S103" s="59">
        <f ca="1">AVERAGE(OFFSET($R$3,0,0,'Données projet'!$E$9+1,1))-AVERAGE(OFFSET($H$3,0,0,'Données projet'!$E$9+1,1))</f>
        <v>381.58561971183832</v>
      </c>
      <c r="T103" s="59">
        <f t="shared" si="88"/>
        <v>444.55874959426347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41.620903506182614</v>
      </c>
      <c r="AA103" s="21">
        <f>EXP(-LN(2)/25)*AA102+(1-EXP(-LN(2)/25))/(LN(2)/25)*Calculateur!V103*Calculateur!X103*VLOOKUP('Données projet'!$B$9,Paramètres!$A$1:$I$89,3,0)*0.475*44/12</f>
        <v>8.4477593921675602</v>
      </c>
      <c r="AB103" s="21">
        <f>EXP(-LN(2)/2)*AB102+(1-EXP(-LN(2)/2))/(LN(2)/2)*V103*Y103*VLOOKUP('Données projet'!$B$9,Paramètres!$A$1:$I$89,3,0)*0.475*44/12</f>
        <v>3.5167886181410196E-11</v>
      </c>
      <c r="AC103" s="22">
        <f t="shared" si="57"/>
        <v>50.068662898385341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385</v>
      </c>
      <c r="AG103" s="12">
        <f>VLOOKUP(A103,'Données projet'!$A$61:$I$81,9,0)</f>
        <v>-1</v>
      </c>
      <c r="AH103" s="12">
        <f t="array" ref="AH103">INDEX(AG:AG,MIN(IF(ISNUMBER(AG103:AG299),ROW(AG103:AG299),"")))</f>
        <v>-1</v>
      </c>
      <c r="AI103" s="13">
        <f>IF('Données projet'!$A$62&gt;35,AI102+AH103-AQ102,IF(A103&lt;'Données projet'!$A$62,$AF$205^A103,IF(A103='Données projet'!$A$62,'Données projet'!$B$62,AI102+AH103-AQ102)))</f>
        <v>385.00000000000028</v>
      </c>
      <c r="AJ103" s="13">
        <f>AI103*VLOOKUP('Données projet'!$B$10,Paramètres!$A$1:$I$89,3,0)*VLOOKUP('Données projet'!$B$10,Paramètres!$A$1:$I$89,5,0)</f>
        <v>240.24000000000018</v>
      </c>
      <c r="AK103" s="13">
        <f t="shared" si="89"/>
        <v>58.491164647183183</v>
      </c>
      <c r="AL103" s="20">
        <f t="shared" si="58"/>
        <v>520.29011176051108</v>
      </c>
      <c r="AM103" s="59">
        <f t="shared" si="59"/>
        <v>813.62344509384434</v>
      </c>
      <c r="AN103" s="59">
        <f ca="1">AVERAGE(OFFSET($AM$3,0,0,'Données projet'!$E$10+1,1))-AVERAGE(OFFSET($H$3,0,0,'Données projet'!$E$10+1,1))</f>
        <v>282.98219518929034</v>
      </c>
      <c r="AO103" s="59">
        <f t="shared" si="90"/>
        <v>205.95652510682322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19</v>
      </c>
      <c r="AR103" s="16">
        <f>IF(ISNA(VLOOKUP(A103,'Données projet'!$A$61:$I$81,5,0)),0%,VLOOKUP(A103,'Données projet'!$A$61:$I$81,5,0)*VLOOKUP('Données projet'!$B$10,Paramètres!$A$1:$I$89,7,0))</f>
        <v>0.48</v>
      </c>
      <c r="AS103" s="16">
        <f>IF(ISNA(VLOOKUP(A103,'Données projet'!$A$61:$I$81,6,0)),0%,VLOOKUP(A103,'Données projet'!$A$61:$I$81,6,0)*VLOOKUP('Données projet'!$B$10,Paramètres!$A$1:$I$89,7,0))</f>
        <v>0.12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56.486404264128865</v>
      </c>
      <c r="AV103" s="21">
        <f>EXP(-LN(2)/25)*AV102+(1-EXP(-LN(2)/25))/(LN(2)/25)*Calculateur!AQ103*Calculateur!AS103*VLOOKUP('Données projet'!$B$10,Paramètres!$A$1:$I$89,3,0)*0.475*44/12</f>
        <v>15.311847249329528</v>
      </c>
      <c r="AW103" s="21">
        <f>EXP(-LN(2)/2)*AW102+(1-EXP(-LN(2)/2))/(LN(2)/2)*AQ103*AT103*VLOOKUP('Données projet'!$B$10,Paramètres!$A$1:$I$89,3,0)*0.475*44/12</f>
        <v>2.9262628149370106E-10</v>
      </c>
      <c r="AX103" s="21">
        <f t="shared" si="60"/>
        <v>71.798251513751026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295.99999999999977</v>
      </c>
      <c r="BE103" s="13">
        <f>BD103*VLOOKUP('Données projet'!$B$11,Paramètres!$A$1:$I$89,3,0)*VLOOKUP('Données projet'!$B$11,Paramètres!$A$1:$I$89,5,0)</f>
        <v>240.11519999999982</v>
      </c>
      <c r="BF103" s="13">
        <f t="shared" si="91"/>
        <v>58.464315631105265</v>
      </c>
      <c r="BG103" s="20">
        <f t="shared" si="61"/>
        <v>520.02598972417468</v>
      </c>
      <c r="BH103" s="59">
        <f t="shared" si="62"/>
        <v>813.35932305750794</v>
      </c>
      <c r="BI103" s="59">
        <f ca="1">AVERAGE(OFFSET($BH$3,0,0,'Données projet'!$E$11+1,1))-AVERAGE(OFFSET($H$3,0,0,'Données projet'!$E$11+1,1))</f>
        <v>293.14894570672351</v>
      </c>
      <c r="BJ103" s="59">
        <f t="shared" si="92"/>
        <v>252.47559879720762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30.925407074526376</v>
      </c>
      <c r="BQ103" s="21">
        <f>EXP(-LN(2)/25)*BQ102+(1-EXP(-LN(2)/25))/(LN(2)/25)*Calculateur!BL103*Calculateur!BN103*VLOOKUP('Données projet'!$B$11,Paramètres!$A$1:$I$89,3,0)*0.475*44/12</f>
        <v>4.4889085450957538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35.41431561962213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607.99999999999977</v>
      </c>
      <c r="O104" s="13">
        <f>N104*VLOOKUP('Données projet'!$B$9,Paramètres!$A$1:$I$89,3,0)*VLOOKUP('Données projet'!$B$9,Paramètres!$A$1:$I$89,5,0)</f>
        <v>339.87199999999984</v>
      </c>
      <c r="P104" s="13">
        <f t="shared" si="87"/>
        <v>79.473500231862786</v>
      </c>
      <c r="Q104" s="20">
        <f t="shared" si="107"/>
        <v>730.36007957049412</v>
      </c>
      <c r="R104" s="59">
        <f t="shared" si="55"/>
        <v>1023.6934129038275</v>
      </c>
      <c r="S104" s="59">
        <f ca="1">AVERAGE(OFFSET($R$3,0,0,'Données projet'!$E$9+1,1))-AVERAGE(OFFSET($H$3,0,0,'Données projet'!$E$9+1,1))</f>
        <v>381.58561971183832</v>
      </c>
      <c r="T104" s="59">
        <f t="shared" si="88"/>
        <v>444.55874959426347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40.80474297467083</v>
      </c>
      <c r="AA104" s="21">
        <f>EXP(-LN(2)/25)*AA103+(1-EXP(-LN(2)/25))/(LN(2)/25)*Calculateur!V104*Calculateur!X104*VLOOKUP('Données projet'!$B$9,Paramètres!$A$1:$I$89,3,0)*0.475*44/12</f>
        <v>8.2167549673403801</v>
      </c>
      <c r="AB104" s="21">
        <f>EXP(-LN(2)/2)*AB103+(1-EXP(-LN(2)/2))/(LN(2)/2)*V104*Y104*VLOOKUP('Données projet'!$B$9,Paramètres!$A$1:$I$89,3,0)*0.475*44/12</f>
        <v>2.4867450798871828E-11</v>
      </c>
      <c r="AC104" s="22">
        <f t="shared" si="57"/>
        <v>49.021497942036078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366.00000000000028</v>
      </c>
      <c r="AJ104" s="13">
        <f>AI104*VLOOKUP('Données projet'!$B$10,Paramètres!$A$1:$I$89,3,0)*VLOOKUP('Données projet'!$B$10,Paramètres!$A$1:$I$89,5,0)</f>
        <v>228.38400000000016</v>
      </c>
      <c r="AK104" s="13">
        <f t="shared" si="89"/>
        <v>55.933121291087339</v>
      </c>
      <c r="AL104" s="20">
        <f t="shared" si="58"/>
        <v>495.18565291531075</v>
      </c>
      <c r="AM104" s="59">
        <f t="shared" si="59"/>
        <v>788.51898624864407</v>
      </c>
      <c r="AN104" s="59">
        <f ca="1">AVERAGE(OFFSET($AM$3,0,0,'Données projet'!$E$10+1,1))-AVERAGE(OFFSET($H$3,0,0,'Données projet'!$E$10+1,1))</f>
        <v>282.98219518929034</v>
      </c>
      <c r="AO104" s="59">
        <f t="shared" si="90"/>
        <v>205.95652510682322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55.378740329813915</v>
      </c>
      <c r="AV104" s="21">
        <f>EXP(-LN(2)/25)*AV103+(1-EXP(-LN(2)/25))/(LN(2)/25)*Calculateur!AQ104*Calculateur!AS104*VLOOKUP('Données projet'!$B$10,Paramètres!$A$1:$I$89,3,0)*0.475*44/12</f>
        <v>14.893143981081561</v>
      </c>
      <c r="AW104" s="21">
        <f>EXP(-LN(2)/2)*AW103+(1-EXP(-LN(2)/2))/(LN(2)/2)*AQ104*AT104*VLOOKUP('Données projet'!$B$10,Paramètres!$A$1:$I$89,3,0)*0.475*44/12</f>
        <v>2.0691802799759954E-10</v>
      </c>
      <c r="AX104" s="21">
        <f t="shared" si="60"/>
        <v>70.271884311102397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295.99999999999977</v>
      </c>
      <c r="BE104" s="13">
        <f>BD104*VLOOKUP('Données projet'!$B$11,Paramètres!$A$1:$I$89,3,0)*VLOOKUP('Données projet'!$B$11,Paramètres!$A$1:$I$89,5,0)</f>
        <v>240.11519999999982</v>
      </c>
      <c r="BF104" s="13">
        <f t="shared" si="91"/>
        <v>58.464315631105265</v>
      </c>
      <c r="BG104" s="20">
        <f t="shared" si="61"/>
        <v>520.02598972417468</v>
      </c>
      <c r="BH104" s="59">
        <f t="shared" si="62"/>
        <v>813.35932305750794</v>
      </c>
      <c r="BI104" s="59">
        <f ca="1">AVERAGE(OFFSET($BH$3,0,0,'Données projet'!$E$11+1,1))-AVERAGE(OFFSET($H$3,0,0,'Données projet'!$E$11+1,1))</f>
        <v>293.14894570672351</v>
      </c>
      <c r="BJ104" s="59">
        <f t="shared" si="92"/>
        <v>252.47559879720762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30.318978704430698</v>
      </c>
      <c r="BQ104" s="21">
        <f>EXP(-LN(2)/25)*BQ103+(1-EXP(-LN(2)/25))/(LN(2)/25)*Calculateur!BL104*Calculateur!BN104*VLOOKUP('Données projet'!$B$11,Paramètres!$A$1:$I$89,3,0)*0.475*44/12</f>
        <v>4.3661591048686699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34.68513780929937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607.99999999999977</v>
      </c>
      <c r="O105" s="13">
        <f>N105*VLOOKUP('Données projet'!$B$9,Paramètres!$A$1:$I$89,3,0)*VLOOKUP('Données projet'!$B$9,Paramètres!$A$1:$I$89,5,0)</f>
        <v>339.87199999999984</v>
      </c>
      <c r="P105" s="13">
        <f t="shared" si="87"/>
        <v>79.473500231862786</v>
      </c>
      <c r="Q105" s="20">
        <f t="shared" si="107"/>
        <v>730.36007957049412</v>
      </c>
      <c r="R105" s="59">
        <f t="shared" si="55"/>
        <v>1023.6934129038275</v>
      </c>
      <c r="S105" s="59">
        <f ca="1">AVERAGE(OFFSET($R$3,0,0,'Données projet'!$E$9+1,1))-AVERAGE(OFFSET($H$3,0,0,'Données projet'!$E$9+1,1))</f>
        <v>381.58561971183832</v>
      </c>
      <c r="T105" s="59">
        <f t="shared" si="88"/>
        <v>444.55874959426347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40.004586853373219</v>
      </c>
      <c r="AA105" s="21">
        <f>EXP(-LN(2)/25)*AA104+(1-EXP(-LN(2)/25))/(LN(2)/25)*Calculateur!V105*Calculateur!X105*VLOOKUP('Données projet'!$B$9,Paramètres!$A$1:$I$89,3,0)*0.475*44/12</f>
        <v>7.9920673706580931</v>
      </c>
      <c r="AB105" s="21">
        <f>EXP(-LN(2)/2)*AB104+(1-EXP(-LN(2)/2))/(LN(2)/2)*V105*Y105*VLOOKUP('Données projet'!$B$9,Paramètres!$A$1:$I$89,3,0)*0.475*44/12</f>
        <v>1.7583943090705098E-11</v>
      </c>
      <c r="AC105" s="22">
        <f t="shared" si="57"/>
        <v>47.996654224048896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366.00000000000028</v>
      </c>
      <c r="AJ105" s="13">
        <f>AI105*VLOOKUP('Données projet'!$B$10,Paramètres!$A$1:$I$89,3,0)*VLOOKUP('Données projet'!$B$10,Paramètres!$A$1:$I$89,5,0)</f>
        <v>228.38400000000016</v>
      </c>
      <c r="AK105" s="13">
        <f t="shared" si="89"/>
        <v>55.933121291087339</v>
      </c>
      <c r="AL105" s="20">
        <f t="shared" si="58"/>
        <v>495.18565291531075</v>
      </c>
      <c r="AM105" s="59">
        <f t="shared" si="59"/>
        <v>788.51898624864407</v>
      </c>
      <c r="AN105" s="59">
        <f ca="1">AVERAGE(OFFSET($AM$3,0,0,'Données projet'!$E$10+1,1))-AVERAGE(OFFSET($H$3,0,0,'Données projet'!$E$10+1,1))</f>
        <v>282.98219518929034</v>
      </c>
      <c r="AO105" s="59">
        <f t="shared" si="90"/>
        <v>205.95652510682322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54.292797009642598</v>
      </c>
      <c r="AV105" s="21">
        <f>EXP(-LN(2)/25)*AV104+(1-EXP(-LN(2)/25))/(LN(2)/25)*Calculateur!AQ105*Calculateur!AS105*VLOOKUP('Données projet'!$B$10,Paramètres!$A$1:$I$89,3,0)*0.475*44/12</f>
        <v>14.485890175722483</v>
      </c>
      <c r="AW105" s="21">
        <f>EXP(-LN(2)/2)*AW104+(1-EXP(-LN(2)/2))/(LN(2)/2)*AQ105*AT105*VLOOKUP('Données projet'!$B$10,Paramètres!$A$1:$I$89,3,0)*0.475*44/12</f>
        <v>1.4631314074685053E-10</v>
      </c>
      <c r="AX105" s="21">
        <f t="shared" si="60"/>
        <v>68.778687185511401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295.99999999999977</v>
      </c>
      <c r="BE105" s="13">
        <f>BD105*VLOOKUP('Données projet'!$B$11,Paramètres!$A$1:$I$89,3,0)*VLOOKUP('Données projet'!$B$11,Paramètres!$A$1:$I$89,5,0)</f>
        <v>240.11519999999982</v>
      </c>
      <c r="BF105" s="13">
        <f t="shared" si="91"/>
        <v>58.464315631105265</v>
      </c>
      <c r="BG105" s="20">
        <f t="shared" si="61"/>
        <v>520.02598972417468</v>
      </c>
      <c r="BH105" s="59">
        <f t="shared" si="62"/>
        <v>813.35932305750794</v>
      </c>
      <c r="BI105" s="59">
        <f ca="1">AVERAGE(OFFSET($BH$3,0,0,'Données projet'!$E$11+1,1))-AVERAGE(OFFSET($H$3,0,0,'Données projet'!$E$11+1,1))</f>
        <v>293.14894570672351</v>
      </c>
      <c r="BJ105" s="59">
        <f t="shared" si="92"/>
        <v>252.47559879720762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29.724442024787816</v>
      </c>
      <c r="BQ105" s="21">
        <f>EXP(-LN(2)/25)*BQ104+(1-EXP(-LN(2)/25))/(LN(2)/25)*Calculateur!BL105*Calculateur!BN105*VLOOKUP('Données projet'!$B$11,Paramètres!$A$1:$I$89,3,0)*0.475*44/12</f>
        <v>4.2467662545397076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33.971208279327527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607.99999999999977</v>
      </c>
      <c r="O106" s="13">
        <f>N106*VLOOKUP('Données projet'!$B$9,Paramètres!$A$1:$I$89,3,0)*VLOOKUP('Données projet'!$B$9,Paramètres!$A$1:$I$89,5,0)</f>
        <v>339.87199999999984</v>
      </c>
      <c r="P106" s="13">
        <f t="shared" si="87"/>
        <v>79.473500231862786</v>
      </c>
      <c r="Q106" s="20">
        <f t="shared" si="107"/>
        <v>730.36007957049412</v>
      </c>
      <c r="R106" s="59">
        <f t="shared" si="55"/>
        <v>1023.6934129038275</v>
      </c>
      <c r="S106" s="59">
        <f ca="1">AVERAGE(OFFSET($R$3,0,0,'Données projet'!$E$9+1,1))-AVERAGE(OFFSET($H$3,0,0,'Données projet'!$E$9+1,1))</f>
        <v>381.58561971183832</v>
      </c>
      <c r="T106" s="59">
        <f t="shared" si="88"/>
        <v>444.55874959426347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39.220121305567211</v>
      </c>
      <c r="AA106" s="21">
        <f>EXP(-LN(2)/25)*AA105+(1-EXP(-LN(2)/25))/(LN(2)/25)*Calculateur!V106*Calculateur!X106*VLOOKUP('Données projet'!$B$9,Paramètres!$A$1:$I$89,3,0)*0.475*44/12</f>
        <v>7.7735238681228909</v>
      </c>
      <c r="AB106" s="21">
        <f>EXP(-LN(2)/2)*AB105+(1-EXP(-LN(2)/2))/(LN(2)/2)*V106*Y106*VLOOKUP('Données projet'!$B$9,Paramètres!$A$1:$I$89,3,0)*0.475*44/12</f>
        <v>1.2433725399435914E-11</v>
      </c>
      <c r="AC106" s="22">
        <f t="shared" si="57"/>
        <v>46.993645173702539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366.00000000000028</v>
      </c>
      <c r="AJ106" s="13">
        <f>AI106*VLOOKUP('Données projet'!$B$10,Paramètres!$A$1:$I$89,3,0)*VLOOKUP('Données projet'!$B$10,Paramètres!$A$1:$I$89,5,0)</f>
        <v>228.38400000000016</v>
      </c>
      <c r="AK106" s="13">
        <f t="shared" si="89"/>
        <v>55.933121291087339</v>
      </c>
      <c r="AL106" s="20">
        <f t="shared" si="58"/>
        <v>495.18565291531075</v>
      </c>
      <c r="AM106" s="59">
        <f t="shared" si="59"/>
        <v>788.51898624864407</v>
      </c>
      <c r="AN106" s="59">
        <f ca="1">AVERAGE(OFFSET($AM$3,0,0,'Données projet'!$E$10+1,1))-AVERAGE(OFFSET($H$3,0,0,'Données projet'!$E$10+1,1))</f>
        <v>282.98219518929034</v>
      </c>
      <c r="AO106" s="59">
        <f t="shared" si="90"/>
        <v>205.95652510682322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53.228148375619817</v>
      </c>
      <c r="AV106" s="21">
        <f>EXP(-LN(2)/25)*AV105+(1-EXP(-LN(2)/25))/(LN(2)/25)*Calculateur!AQ106*Calculateur!AS106*VLOOKUP('Données projet'!$B$10,Paramètres!$A$1:$I$89,3,0)*0.475*44/12</f>
        <v>14.089772747087496</v>
      </c>
      <c r="AW106" s="21">
        <f>EXP(-LN(2)/2)*AW105+(1-EXP(-LN(2)/2))/(LN(2)/2)*AQ106*AT106*VLOOKUP('Données projet'!$B$10,Paramètres!$A$1:$I$89,3,0)*0.475*44/12</f>
        <v>1.0345901399879977E-10</v>
      </c>
      <c r="AX106" s="21">
        <f t="shared" si="60"/>
        <v>67.317921122810773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295.99999999999977</v>
      </c>
      <c r="BE106" s="13">
        <f>BD106*VLOOKUP('Données projet'!$B$11,Paramètres!$A$1:$I$89,3,0)*VLOOKUP('Données projet'!$B$11,Paramètres!$A$1:$I$89,5,0)</f>
        <v>240.11519999999982</v>
      </c>
      <c r="BF106" s="13">
        <f t="shared" si="91"/>
        <v>58.464315631105265</v>
      </c>
      <c r="BG106" s="20">
        <f t="shared" si="61"/>
        <v>520.02598972417468</v>
      </c>
      <c r="BH106" s="59">
        <f t="shared" si="62"/>
        <v>813.35932305750794</v>
      </c>
      <c r="BI106" s="59">
        <f ca="1">AVERAGE(OFFSET($BH$3,0,0,'Données projet'!$E$11+1,1))-AVERAGE(OFFSET($H$3,0,0,'Données projet'!$E$11+1,1))</f>
        <v>293.14894570672351</v>
      </c>
      <c r="BJ106" s="59">
        <f t="shared" si="92"/>
        <v>252.47559879720762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29.141563846801162</v>
      </c>
      <c r="BQ106" s="21">
        <f>EXP(-LN(2)/25)*BQ105+(1-EXP(-LN(2)/25))/(LN(2)/25)*Calculateur!BL106*Calculateur!BN106*VLOOKUP('Données projet'!$B$11,Paramètres!$A$1:$I$89,3,0)*0.475*44/12</f>
        <v>4.1306382079815878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33.272202054782753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607.99999999999977</v>
      </c>
      <c r="O107" s="13">
        <f>N107*VLOOKUP('Données projet'!$B$9,Paramètres!$A$1:$I$89,3,0)*VLOOKUP('Données projet'!$B$9,Paramètres!$A$1:$I$89,5,0)</f>
        <v>339.87199999999984</v>
      </c>
      <c r="P107" s="13">
        <f t="shared" si="87"/>
        <v>79.473500231862786</v>
      </c>
      <c r="Q107" s="20">
        <f t="shared" si="107"/>
        <v>730.36007957049412</v>
      </c>
      <c r="R107" s="59">
        <f t="shared" si="55"/>
        <v>1023.6934129038275</v>
      </c>
      <c r="S107" s="59">
        <f ca="1">AVERAGE(OFFSET($R$3,0,0,'Données projet'!$E$9+1,1))-AVERAGE(OFFSET($H$3,0,0,'Données projet'!$E$9+1,1))</f>
        <v>381.58561971183832</v>
      </c>
      <c r="T107" s="59">
        <f t="shared" si="88"/>
        <v>444.55874959426347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38.451038648676942</v>
      </c>
      <c r="AA107" s="21">
        <f>EXP(-LN(2)/25)*AA106+(1-EXP(-LN(2)/25))/(LN(2)/25)*Calculateur!V107*Calculateur!X107*VLOOKUP('Données projet'!$B$9,Paramètres!$A$1:$I$89,3,0)*0.475*44/12</f>
        <v>7.5609564491572172</v>
      </c>
      <c r="AB107" s="21">
        <f>EXP(-LN(2)/2)*AB106+(1-EXP(-LN(2)/2))/(LN(2)/2)*V107*Y107*VLOOKUP('Données projet'!$B$9,Paramètres!$A$1:$I$89,3,0)*0.475*44/12</f>
        <v>8.791971545352549E-12</v>
      </c>
      <c r="AC107" s="22">
        <f t="shared" si="57"/>
        <v>46.011995097842949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366.00000000000028</v>
      </c>
      <c r="AJ107" s="13">
        <f>AI107*VLOOKUP('Données projet'!$B$10,Paramètres!$A$1:$I$89,3,0)*VLOOKUP('Données projet'!$B$10,Paramètres!$A$1:$I$89,5,0)</f>
        <v>228.38400000000016</v>
      </c>
      <c r="AK107" s="13">
        <f t="shared" si="89"/>
        <v>55.933121291087339</v>
      </c>
      <c r="AL107" s="20">
        <f t="shared" si="58"/>
        <v>495.18565291531075</v>
      </c>
      <c r="AM107" s="59">
        <f t="shared" si="59"/>
        <v>788.51898624864407</v>
      </c>
      <c r="AN107" s="59">
        <f ca="1">AVERAGE(OFFSET($AM$3,0,0,'Données projet'!$E$10+1,1))-AVERAGE(OFFSET($H$3,0,0,'Données projet'!$E$10+1,1))</f>
        <v>282.98219518929034</v>
      </c>
      <c r="AO107" s="59">
        <f t="shared" si="90"/>
        <v>205.95652510682322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52.184376851938673</v>
      </c>
      <c r="AV107" s="21">
        <f>EXP(-LN(2)/25)*AV106+(1-EXP(-LN(2)/25))/(LN(2)/25)*Calculateur!AQ107*Calculateur!AS107*VLOOKUP('Données projet'!$B$10,Paramètres!$A$1:$I$89,3,0)*0.475*44/12</f>
        <v>13.704487170369442</v>
      </c>
      <c r="AW107" s="21">
        <f>EXP(-LN(2)/2)*AW106+(1-EXP(-LN(2)/2))/(LN(2)/2)*AQ107*AT107*VLOOKUP('Données projet'!$B$10,Paramètres!$A$1:$I$89,3,0)*0.475*44/12</f>
        <v>7.3156570373425266E-11</v>
      </c>
      <c r="AX107" s="21">
        <f t="shared" si="60"/>
        <v>65.88886402238127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295.99999999999977</v>
      </c>
      <c r="BE107" s="13">
        <f>BD107*VLOOKUP('Données projet'!$B$11,Paramètres!$A$1:$I$89,3,0)*VLOOKUP('Données projet'!$B$11,Paramètres!$A$1:$I$89,5,0)</f>
        <v>240.11519999999982</v>
      </c>
      <c r="BF107" s="13">
        <f t="shared" si="91"/>
        <v>58.464315631105265</v>
      </c>
      <c r="BG107" s="20">
        <f t="shared" si="61"/>
        <v>520.02598972417468</v>
      </c>
      <c r="BH107" s="59">
        <f t="shared" si="62"/>
        <v>813.35932305750794</v>
      </c>
      <c r="BI107" s="59">
        <f ca="1">AVERAGE(OFFSET($BH$3,0,0,'Données projet'!$E$11+1,1))-AVERAGE(OFFSET($H$3,0,0,'Données projet'!$E$11+1,1))</f>
        <v>293.14894570672351</v>
      </c>
      <c r="BJ107" s="59">
        <f t="shared" si="92"/>
        <v>252.47559879720762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28.570115554364243</v>
      </c>
      <c r="BQ107" s="21">
        <f>EXP(-LN(2)/25)*BQ106+(1-EXP(-LN(2)/25))/(LN(2)/25)*Calculateur!BL107*Calculateur!BN107*VLOOKUP('Données projet'!$B$11,Paramètres!$A$1:$I$89,3,0)*0.475*44/12</f>
        <v>4.0176856889635086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32.587801243327753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607.99999999999977</v>
      </c>
      <c r="O108" s="13">
        <f>N108*VLOOKUP('Données projet'!$B$9,Paramètres!$A$1:$I$89,3,0)*VLOOKUP('Données projet'!$B$9,Paramètres!$A$1:$I$89,5,0)</f>
        <v>339.87199999999984</v>
      </c>
      <c r="P108" s="13">
        <f t="shared" si="87"/>
        <v>79.473500231862786</v>
      </c>
      <c r="Q108" s="20">
        <f t="shared" si="107"/>
        <v>730.36007957049412</v>
      </c>
      <c r="R108" s="59">
        <f t="shared" si="55"/>
        <v>1023.6934129038275</v>
      </c>
      <c r="S108" s="59">
        <f ca="1">AVERAGE(OFFSET($R$3,0,0,'Données projet'!$E$9+1,1))-AVERAGE(OFFSET($H$3,0,0,'Données projet'!$E$9+1,1))</f>
        <v>381.58561971183832</v>
      </c>
      <c r="T108" s="59">
        <f t="shared" si="88"/>
        <v>444.55874959426347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37.697037233594187</v>
      </c>
      <c r="AA108" s="21">
        <f>EXP(-LN(2)/25)*AA107+(1-EXP(-LN(2)/25))/(LN(2)/25)*Calculateur!V108*Calculateur!X108*VLOOKUP('Données projet'!$B$9,Paramètres!$A$1:$I$89,3,0)*0.475*44/12</f>
        <v>7.354201697441594</v>
      </c>
      <c r="AB108" s="21">
        <f>EXP(-LN(2)/2)*AB107+(1-EXP(-LN(2)/2))/(LN(2)/2)*V108*Y108*VLOOKUP('Données projet'!$B$9,Paramètres!$A$1:$I$89,3,0)*0.475*44/12</f>
        <v>6.216862699717957E-12</v>
      </c>
      <c r="AC108" s="22">
        <f t="shared" si="57"/>
        <v>45.051238931042001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366.00000000000028</v>
      </c>
      <c r="AJ108" s="13">
        <f>AI108*VLOOKUP('Données projet'!$B$10,Paramètres!$A$1:$I$89,3,0)*VLOOKUP('Données projet'!$B$10,Paramètres!$A$1:$I$89,5,0)</f>
        <v>228.38400000000016</v>
      </c>
      <c r="AK108" s="13">
        <f t="shared" si="89"/>
        <v>55.933121291087339</v>
      </c>
      <c r="AL108" s="20">
        <f t="shared" si="58"/>
        <v>495.18565291531075</v>
      </c>
      <c r="AM108" s="59">
        <f t="shared" si="59"/>
        <v>788.51898624864407</v>
      </c>
      <c r="AN108" s="59">
        <f ca="1">AVERAGE(OFFSET($AM$3,0,0,'Données projet'!$E$10+1,1))-AVERAGE(OFFSET($H$3,0,0,'Données projet'!$E$10+1,1))</f>
        <v>282.98219518929034</v>
      </c>
      <c r="AO108" s="59">
        <f t="shared" si="90"/>
        <v>205.95652510682322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51.161073051199153</v>
      </c>
      <c r="AV108" s="21">
        <f>EXP(-LN(2)/25)*AV107+(1-EXP(-LN(2)/25))/(LN(2)/25)*Calculateur!AQ108*Calculateur!AS108*VLOOKUP('Données projet'!$B$10,Paramètres!$A$1:$I$89,3,0)*0.475*44/12</f>
        <v>13.329737248008032</v>
      </c>
      <c r="AW108" s="21">
        <f>EXP(-LN(2)/2)*AW107+(1-EXP(-LN(2)/2))/(LN(2)/2)*AQ108*AT108*VLOOKUP('Données projet'!$B$10,Paramètres!$A$1:$I$89,3,0)*0.475*44/12</f>
        <v>5.1729506999399885E-11</v>
      </c>
      <c r="AX108" s="21">
        <f t="shared" si="60"/>
        <v>64.490810299258911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295.99999999999977</v>
      </c>
      <c r="BE108" s="13">
        <f>BD108*VLOOKUP('Données projet'!$B$11,Paramètres!$A$1:$I$89,3,0)*VLOOKUP('Données projet'!$B$11,Paramètres!$A$1:$I$89,5,0)</f>
        <v>240.11519999999982</v>
      </c>
      <c r="BF108" s="13">
        <f t="shared" si="91"/>
        <v>58.464315631105265</v>
      </c>
      <c r="BG108" s="20">
        <f t="shared" si="61"/>
        <v>520.02598972417468</v>
      </c>
      <c r="BH108" s="59">
        <f t="shared" si="62"/>
        <v>813.35932305750794</v>
      </c>
      <c r="BI108" s="59">
        <f ca="1">AVERAGE(OFFSET($BH$3,0,0,'Données projet'!$E$11+1,1))-AVERAGE(OFFSET($H$3,0,0,'Données projet'!$E$11+1,1))</f>
        <v>293.14894570672351</v>
      </c>
      <c r="BJ108" s="59">
        <f t="shared" si="92"/>
        <v>252.47559879720762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28.009873014392969</v>
      </c>
      <c r="BQ108" s="21">
        <f>EXP(-LN(2)/25)*BQ107+(1-EXP(-LN(2)/25))/(LN(2)/25)*Calculateur!BL108*Calculateur!BN108*VLOOKUP('Données projet'!$B$11,Paramètres!$A$1:$I$89,3,0)*0.475*44/12</f>
        <v>3.9078218625178938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31.917694876910865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607.99999999999977</v>
      </c>
      <c r="O109" s="13">
        <f>N109*VLOOKUP('Données projet'!$B$9,Paramètres!$A$1:$I$89,3,0)*VLOOKUP('Données projet'!$B$9,Paramètres!$A$1:$I$89,5,0)</f>
        <v>339.87199999999984</v>
      </c>
      <c r="P109" s="13">
        <f t="shared" si="87"/>
        <v>79.473500231862786</v>
      </c>
      <c r="Q109" s="20">
        <f t="shared" si="107"/>
        <v>730.36007957049412</v>
      </c>
      <c r="R109" s="59">
        <f t="shared" si="55"/>
        <v>1023.6934129038275</v>
      </c>
      <c r="S109" s="59">
        <f ca="1">AVERAGE(OFFSET($R$3,0,0,'Données projet'!$E$9+1,1))-AVERAGE(OFFSET($H$3,0,0,'Données projet'!$E$9+1,1))</f>
        <v>381.58561971183832</v>
      </c>
      <c r="T109" s="59">
        <f t="shared" si="88"/>
        <v>444.55874959426347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36.957821326365753</v>
      </c>
      <c r="AA109" s="21">
        <f>EXP(-LN(2)/25)*AA108+(1-EXP(-LN(2)/25))/(LN(2)/25)*Calculateur!V109*Calculateur!X109*VLOOKUP('Données projet'!$B$9,Paramètres!$A$1:$I$89,3,0)*0.475*44/12</f>
        <v>7.1531006652843949</v>
      </c>
      <c r="AB109" s="21">
        <f>EXP(-LN(2)/2)*AB108+(1-EXP(-LN(2)/2))/(LN(2)/2)*V109*Y109*VLOOKUP('Données projet'!$B$9,Paramètres!$A$1:$I$89,3,0)*0.475*44/12</f>
        <v>4.3959857726762745E-12</v>
      </c>
      <c r="AC109" s="22">
        <f t="shared" si="57"/>
        <v>44.110921991654543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366.00000000000028</v>
      </c>
      <c r="AJ109" s="13">
        <f>AI109*VLOOKUP('Données projet'!$B$10,Paramètres!$A$1:$I$89,3,0)*VLOOKUP('Données projet'!$B$10,Paramètres!$A$1:$I$89,5,0)</f>
        <v>228.38400000000016</v>
      </c>
      <c r="AK109" s="13">
        <f t="shared" si="89"/>
        <v>55.933121291087339</v>
      </c>
      <c r="AL109" s="20">
        <f t="shared" si="58"/>
        <v>495.18565291531075</v>
      </c>
      <c r="AM109" s="59">
        <f t="shared" si="59"/>
        <v>788.51898624864407</v>
      </c>
      <c r="AN109" s="59">
        <f ca="1">AVERAGE(OFFSET($AM$3,0,0,'Données projet'!$E$10+1,1))-AVERAGE(OFFSET($H$3,0,0,'Données projet'!$E$10+1,1))</f>
        <v>282.98219518929034</v>
      </c>
      <c r="AO109" s="59">
        <f t="shared" si="90"/>
        <v>205.95652510682322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50.157835613838444</v>
      </c>
      <c r="AV109" s="21">
        <f>EXP(-LN(2)/25)*AV108+(1-EXP(-LN(2)/25))/(LN(2)/25)*Calculateur!AQ109*Calculateur!AS109*VLOOKUP('Données projet'!$B$10,Paramètres!$A$1:$I$89,3,0)*0.475*44/12</f>
        <v>12.965234881980836</v>
      </c>
      <c r="AW109" s="21">
        <f>EXP(-LN(2)/2)*AW108+(1-EXP(-LN(2)/2))/(LN(2)/2)*AQ109*AT109*VLOOKUP('Données projet'!$B$10,Paramètres!$A$1:$I$89,3,0)*0.475*44/12</f>
        <v>3.6578285186712633E-11</v>
      </c>
      <c r="AX109" s="21">
        <f t="shared" si="60"/>
        <v>63.123070495855856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295.99999999999977</v>
      </c>
      <c r="BE109" s="13">
        <f>BD109*VLOOKUP('Données projet'!$B$11,Paramètres!$A$1:$I$89,3,0)*VLOOKUP('Données projet'!$B$11,Paramètres!$A$1:$I$89,5,0)</f>
        <v>240.11519999999982</v>
      </c>
      <c r="BF109" s="13">
        <f t="shared" si="91"/>
        <v>58.464315631105265</v>
      </c>
      <c r="BG109" s="20">
        <f t="shared" si="61"/>
        <v>520.02598972417468</v>
      </c>
      <c r="BH109" s="59">
        <f t="shared" si="62"/>
        <v>813.35932305750794</v>
      </c>
      <c r="BI109" s="59">
        <f ca="1">AVERAGE(OFFSET($BH$3,0,0,'Données projet'!$E$11+1,1))-AVERAGE(OFFSET($H$3,0,0,'Données projet'!$E$11+1,1))</f>
        <v>293.14894570672351</v>
      </c>
      <c r="BJ109" s="59">
        <f t="shared" si="92"/>
        <v>252.47559879720762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27.460616488916322</v>
      </c>
      <c r="BQ109" s="21">
        <f>EXP(-LN(2)/25)*BQ108+(1-EXP(-LN(2)/25))/(LN(2)/25)*Calculateur!BL109*Calculateur!BN109*VLOOKUP('Données projet'!$B$11,Paramètres!$A$1:$I$89,3,0)*0.475*44/12</f>
        <v>3.8009622681839215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31.261578757100246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607.99999999999977</v>
      </c>
      <c r="O110" s="13">
        <f>N110*VLOOKUP('Données projet'!$B$9,Paramètres!$A$1:$I$89,3,0)*VLOOKUP('Données projet'!$B$9,Paramètres!$A$1:$I$89,5,0)</f>
        <v>339.87199999999984</v>
      </c>
      <c r="P110" s="13">
        <f t="shared" si="87"/>
        <v>79.473500231862786</v>
      </c>
      <c r="Q110" s="20">
        <f t="shared" si="107"/>
        <v>730.36007957049412</v>
      </c>
      <c r="R110" s="59">
        <f t="shared" si="55"/>
        <v>1023.6934129038275</v>
      </c>
      <c r="S110" s="59">
        <f ca="1">AVERAGE(OFFSET($R$3,0,0,'Données projet'!$E$9+1,1))-AVERAGE(OFFSET($H$3,0,0,'Données projet'!$E$9+1,1))</f>
        <v>381.58561971183832</v>
      </c>
      <c r="T110" s="59">
        <f t="shared" si="88"/>
        <v>444.55874959426347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36.233100992200889</v>
      </c>
      <c r="AA110" s="21">
        <f>EXP(-LN(2)/25)*AA109+(1-EXP(-LN(2)/25))/(LN(2)/25)*Calculateur!V110*Calculateur!X110*VLOOKUP('Données projet'!$B$9,Paramètres!$A$1:$I$89,3,0)*0.475*44/12</f>
        <v>6.9574987514269777</v>
      </c>
      <c r="AB110" s="21">
        <f>EXP(-LN(2)/2)*AB109+(1-EXP(-LN(2)/2))/(LN(2)/2)*V110*Y110*VLOOKUP('Données projet'!$B$9,Paramètres!$A$1:$I$89,3,0)*0.475*44/12</f>
        <v>3.1084313498589785E-12</v>
      </c>
      <c r="AC110" s="22">
        <f t="shared" si="57"/>
        <v>43.190599743630969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366.00000000000028</v>
      </c>
      <c r="AJ110" s="13">
        <f>AI110*VLOOKUP('Données projet'!$B$10,Paramètres!$A$1:$I$89,3,0)*VLOOKUP('Données projet'!$B$10,Paramètres!$A$1:$I$89,5,0)</f>
        <v>228.38400000000016</v>
      </c>
      <c r="AK110" s="13">
        <f t="shared" si="89"/>
        <v>55.933121291087339</v>
      </c>
      <c r="AL110" s="20">
        <f t="shared" si="58"/>
        <v>495.18565291531075</v>
      </c>
      <c r="AM110" s="59">
        <f t="shared" si="59"/>
        <v>788.51898624864407</v>
      </c>
      <c r="AN110" s="59">
        <f ca="1">AVERAGE(OFFSET($AM$3,0,0,'Données projet'!$E$10+1,1))-AVERAGE(OFFSET($H$3,0,0,'Données projet'!$E$10+1,1))</f>
        <v>282.98219518929034</v>
      </c>
      <c r="AO110" s="59">
        <f t="shared" si="90"/>
        <v>205.95652510682322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49.174271050709962</v>
      </c>
      <c r="AV110" s="21">
        <f>EXP(-LN(2)/25)*AV109+(1-EXP(-LN(2)/25))/(LN(2)/25)*Calculateur!AQ110*Calculateur!AS110*VLOOKUP('Données projet'!$B$10,Paramètres!$A$1:$I$89,3,0)*0.475*44/12</f>
        <v>12.610699852321</v>
      </c>
      <c r="AW110" s="21">
        <f>EXP(-LN(2)/2)*AW109+(1-EXP(-LN(2)/2))/(LN(2)/2)*AQ110*AT110*VLOOKUP('Données projet'!$B$10,Paramètres!$A$1:$I$89,3,0)*0.475*44/12</f>
        <v>2.5864753499699943E-11</v>
      </c>
      <c r="AX110" s="21">
        <f t="shared" si="60"/>
        <v>61.784970903056823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295.99999999999977</v>
      </c>
      <c r="BE110" s="13">
        <f>BD110*VLOOKUP('Données projet'!$B$11,Paramètres!$A$1:$I$89,3,0)*VLOOKUP('Données projet'!$B$11,Paramètres!$A$1:$I$89,5,0)</f>
        <v>240.11519999999982</v>
      </c>
      <c r="BF110" s="13">
        <f t="shared" si="91"/>
        <v>58.464315631105265</v>
      </c>
      <c r="BG110" s="20">
        <f t="shared" si="61"/>
        <v>520.02598972417468</v>
      </c>
      <c r="BH110" s="59">
        <f t="shared" si="62"/>
        <v>813.35932305750794</v>
      </c>
      <c r="BI110" s="59">
        <f ca="1">AVERAGE(OFFSET($BH$3,0,0,'Données projet'!$E$11+1,1))-AVERAGE(OFFSET($H$3,0,0,'Données projet'!$E$11+1,1))</f>
        <v>293.14894570672351</v>
      </c>
      <c r="BJ110" s="59">
        <f t="shared" si="92"/>
        <v>252.47559879720762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26.922130548890873</v>
      </c>
      <c r="BQ110" s="21">
        <f>EXP(-LN(2)/25)*BQ109+(1-EXP(-LN(2)/25))/(LN(2)/25)*Calculateur!BL110*Calculateur!BN110*VLOOKUP('Données projet'!$B$11,Paramètres!$A$1:$I$89,3,0)*0.475*44/12</f>
        <v>3.6970247550765136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30.619155303967386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607.99999999999977</v>
      </c>
      <c r="O111" s="13">
        <f>N111*VLOOKUP('Données projet'!$B$9,Paramètres!$A$1:$I$89,3,0)*VLOOKUP('Données projet'!$B$9,Paramètres!$A$1:$I$89,5,0)</f>
        <v>339.87199999999984</v>
      </c>
      <c r="P111" s="13">
        <f t="shared" si="87"/>
        <v>79.473500231862786</v>
      </c>
      <c r="Q111" s="20">
        <f t="shared" si="107"/>
        <v>730.36007957049412</v>
      </c>
      <c r="R111" s="59">
        <f t="shared" si="55"/>
        <v>1023.6934129038275</v>
      </c>
      <c r="S111" s="59">
        <f ca="1">AVERAGE(OFFSET($R$3,0,0,'Données projet'!$E$9+1,1))-AVERAGE(OFFSET($H$3,0,0,'Données projet'!$E$9+1,1))</f>
        <v>381.58561971183832</v>
      </c>
      <c r="T111" s="59">
        <f t="shared" si="88"/>
        <v>444.55874959426347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35.522591981753237</v>
      </c>
      <c r="AA111" s="21">
        <f>EXP(-LN(2)/25)*AA110+(1-EXP(-LN(2)/25))/(LN(2)/25)*Calculateur!V111*Calculateur!X111*VLOOKUP('Données projet'!$B$9,Paramètres!$A$1:$I$89,3,0)*0.475*44/12</f>
        <v>6.7672455821902489</v>
      </c>
      <c r="AB111" s="21">
        <f>EXP(-LN(2)/2)*AB110+(1-EXP(-LN(2)/2))/(LN(2)/2)*V111*Y111*VLOOKUP('Données projet'!$B$9,Paramètres!$A$1:$I$89,3,0)*0.475*44/12</f>
        <v>2.1979928863381372E-12</v>
      </c>
      <c r="AC111" s="22">
        <f t="shared" si="57"/>
        <v>42.289837563945682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366.00000000000028</v>
      </c>
      <c r="AJ111" s="13">
        <f>AI111*VLOOKUP('Données projet'!$B$10,Paramètres!$A$1:$I$89,3,0)*VLOOKUP('Données projet'!$B$10,Paramètres!$A$1:$I$89,5,0)</f>
        <v>228.38400000000016</v>
      </c>
      <c r="AK111" s="13">
        <f t="shared" si="89"/>
        <v>55.933121291087339</v>
      </c>
      <c r="AL111" s="20">
        <f t="shared" si="58"/>
        <v>495.18565291531075</v>
      </c>
      <c r="AM111" s="59">
        <f t="shared" si="59"/>
        <v>788.51898624864407</v>
      </c>
      <c r="AN111" s="59">
        <f ca="1">AVERAGE(OFFSET($AM$3,0,0,'Données projet'!$E$10+1,1))-AVERAGE(OFFSET($H$3,0,0,'Données projet'!$E$10+1,1))</f>
        <v>282.98219518929034</v>
      </c>
      <c r="AO111" s="59">
        <f t="shared" si="90"/>
        <v>205.95652510682322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48.209993588749285</v>
      </c>
      <c r="AV111" s="21">
        <f>EXP(-LN(2)/25)*AV110+(1-EXP(-LN(2)/25))/(LN(2)/25)*Calculateur!AQ111*Calculateur!AS111*VLOOKUP('Données projet'!$B$10,Paramètres!$A$1:$I$89,3,0)*0.475*44/12</f>
        <v>12.2658596016914</v>
      </c>
      <c r="AW111" s="21">
        <f>EXP(-LN(2)/2)*AW110+(1-EXP(-LN(2)/2))/(LN(2)/2)*AQ111*AT111*VLOOKUP('Données projet'!$B$10,Paramètres!$A$1:$I$89,3,0)*0.475*44/12</f>
        <v>1.8289142593356316E-11</v>
      </c>
      <c r="AX111" s="21">
        <f t="shared" si="60"/>
        <v>60.475853190458977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295.99999999999977</v>
      </c>
      <c r="BE111" s="13">
        <f>BD111*VLOOKUP('Données projet'!$B$11,Paramètres!$A$1:$I$89,3,0)*VLOOKUP('Données projet'!$B$11,Paramètres!$A$1:$I$89,5,0)</f>
        <v>240.11519999999982</v>
      </c>
      <c r="BF111" s="13">
        <f t="shared" si="91"/>
        <v>58.464315631105265</v>
      </c>
      <c r="BG111" s="20">
        <f t="shared" si="61"/>
        <v>520.02598972417468</v>
      </c>
      <c r="BH111" s="59">
        <f t="shared" si="62"/>
        <v>813.35932305750794</v>
      </c>
      <c r="BI111" s="59">
        <f ca="1">AVERAGE(OFFSET($BH$3,0,0,'Données projet'!$E$11+1,1))-AVERAGE(OFFSET($H$3,0,0,'Données projet'!$E$11+1,1))</f>
        <v>293.14894570672351</v>
      </c>
      <c r="BJ111" s="59">
        <f t="shared" si="92"/>
        <v>252.47559879720762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26.394203989705332</v>
      </c>
      <c r="BQ111" s="21">
        <f>EXP(-LN(2)/25)*BQ110+(1-EXP(-LN(2)/25))/(LN(2)/25)*Calculateur!BL111*Calculateur!BN111*VLOOKUP('Données projet'!$B$11,Paramètres!$A$1:$I$89,3,0)*0.475*44/12</f>
        <v>3.5959294187308641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29.990133408436197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607.99999999999977</v>
      </c>
      <c r="O112" s="13">
        <f>N112*VLOOKUP('Données projet'!$B$9,Paramètres!$A$1:$I$89,3,0)*VLOOKUP('Données projet'!$B$9,Paramètres!$A$1:$I$89,5,0)</f>
        <v>339.87199999999984</v>
      </c>
      <c r="P112" s="13">
        <f t="shared" si="87"/>
        <v>79.473500231862786</v>
      </c>
      <c r="Q112" s="20">
        <f t="shared" si="107"/>
        <v>730.36007957049412</v>
      </c>
      <c r="R112" s="59">
        <f t="shared" si="55"/>
        <v>1023.6934129038275</v>
      </c>
      <c r="S112" s="59">
        <f ca="1">AVERAGE(OFFSET($R$3,0,0,'Données projet'!$E$9+1,1))-AVERAGE(OFFSET($H$3,0,0,'Données projet'!$E$9+1,1))</f>
        <v>381.58561971183832</v>
      </c>
      <c r="T112" s="59">
        <f t="shared" si="88"/>
        <v>444.55874959426347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34.826015619632763</v>
      </c>
      <c r="AA112" s="21">
        <f>EXP(-LN(2)/25)*AA111+(1-EXP(-LN(2)/25))/(LN(2)/25)*Calculateur!V112*Calculateur!X112*VLOOKUP('Données projet'!$B$9,Paramètres!$A$1:$I$89,3,0)*0.475*44/12</f>
        <v>6.5821948958712779</v>
      </c>
      <c r="AB112" s="21">
        <f>EXP(-LN(2)/2)*AB111+(1-EXP(-LN(2)/2))/(LN(2)/2)*V112*Y112*VLOOKUP('Données projet'!$B$9,Paramètres!$A$1:$I$89,3,0)*0.475*44/12</f>
        <v>1.5542156749294893E-12</v>
      </c>
      <c r="AC112" s="22">
        <f t="shared" si="57"/>
        <v>41.408210515505594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366.00000000000028</v>
      </c>
      <c r="AJ112" s="13">
        <f>AI112*VLOOKUP('Données projet'!$B$10,Paramètres!$A$1:$I$89,3,0)*VLOOKUP('Données projet'!$B$10,Paramètres!$A$1:$I$89,5,0)</f>
        <v>228.38400000000016</v>
      </c>
      <c r="AK112" s="13">
        <f t="shared" si="89"/>
        <v>55.933121291087339</v>
      </c>
      <c r="AL112" s="20">
        <f t="shared" si="58"/>
        <v>495.18565291531075</v>
      </c>
      <c r="AM112" s="59">
        <f t="shared" si="59"/>
        <v>788.51898624864407</v>
      </c>
      <c r="AN112" s="59">
        <f ca="1">AVERAGE(OFFSET($AM$3,0,0,'Données projet'!$E$10+1,1))-AVERAGE(OFFSET($H$3,0,0,'Données projet'!$E$10+1,1))</f>
        <v>282.98219518929034</v>
      </c>
      <c r="AO112" s="59">
        <f t="shared" si="90"/>
        <v>205.95652510682322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47.264625019666482</v>
      </c>
      <c r="AV112" s="21">
        <f>EXP(-LN(2)/25)*AV111+(1-EXP(-LN(2)/25))/(LN(2)/25)*Calculateur!AQ112*Calculateur!AS112*VLOOKUP('Données projet'!$B$10,Paramètres!$A$1:$I$89,3,0)*0.475*44/12</f>
        <v>11.930449025849626</v>
      </c>
      <c r="AW112" s="21">
        <f>EXP(-LN(2)/2)*AW111+(1-EXP(-LN(2)/2))/(LN(2)/2)*AQ112*AT112*VLOOKUP('Données projet'!$B$10,Paramètres!$A$1:$I$89,3,0)*0.475*44/12</f>
        <v>1.2932376749849971E-11</v>
      </c>
      <c r="AX112" s="21">
        <f t="shared" si="60"/>
        <v>59.19507404552904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295.99999999999977</v>
      </c>
      <c r="BE112" s="13">
        <f>BD112*VLOOKUP('Données projet'!$B$11,Paramètres!$A$1:$I$89,3,0)*VLOOKUP('Données projet'!$B$11,Paramètres!$A$1:$I$89,5,0)</f>
        <v>240.11519999999982</v>
      </c>
      <c r="BF112" s="13">
        <f t="shared" si="91"/>
        <v>58.464315631105265</v>
      </c>
      <c r="BG112" s="20">
        <f t="shared" si="61"/>
        <v>520.02598972417468</v>
      </c>
      <c r="BH112" s="59">
        <f t="shared" si="62"/>
        <v>813.35932305750794</v>
      </c>
      <c r="BI112" s="59">
        <f ca="1">AVERAGE(OFFSET($BH$3,0,0,'Données projet'!$E$11+1,1))-AVERAGE(OFFSET($H$3,0,0,'Données projet'!$E$11+1,1))</f>
        <v>293.14894570672351</v>
      </c>
      <c r="BJ112" s="59">
        <f t="shared" si="92"/>
        <v>252.47559879720762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25.876629748342012</v>
      </c>
      <c r="BQ112" s="21">
        <f>EXP(-LN(2)/25)*BQ111+(1-EXP(-LN(2)/25))/(LN(2)/25)*Calculateur!BL112*Calculateur!BN112*VLOOKUP('Données projet'!$B$11,Paramètres!$A$1:$I$89,3,0)*0.475*44/12</f>
        <v>3.4975985396739593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29.374228288015971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607.99999999999977</v>
      </c>
      <c r="O113" s="13">
        <f>N113*VLOOKUP('Données projet'!$B$9,Paramètres!$A$1:$I$89,3,0)*VLOOKUP('Données projet'!$B$9,Paramètres!$A$1:$I$89,5,0)</f>
        <v>339.87199999999984</v>
      </c>
      <c r="P113" s="13">
        <f t="shared" si="87"/>
        <v>79.473500231862786</v>
      </c>
      <c r="Q113" s="20">
        <f t="shared" si="107"/>
        <v>730.36007957049412</v>
      </c>
      <c r="R113" s="59">
        <f t="shared" si="55"/>
        <v>1023.6934129038275</v>
      </c>
      <c r="S113" s="59">
        <f ca="1">AVERAGE(OFFSET($R$3,0,0,'Données projet'!$E$9+1,1))-AVERAGE(OFFSET($H$3,0,0,'Données projet'!$E$9+1,1))</f>
        <v>381.58561971183832</v>
      </c>
      <c r="T113" s="59">
        <f t="shared" si="88"/>
        <v>444.55874959426347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34.143098695103845</v>
      </c>
      <c r="AA113" s="21">
        <f>EXP(-LN(2)/25)*AA112+(1-EXP(-LN(2)/25))/(LN(2)/25)*Calculateur!V113*Calculateur!X113*VLOOKUP('Données projet'!$B$9,Paramètres!$A$1:$I$89,3,0)*0.475*44/12</f>
        <v>6.4022044303010919</v>
      </c>
      <c r="AB113" s="21">
        <f>EXP(-LN(2)/2)*AB112+(1-EXP(-LN(2)/2))/(LN(2)/2)*V113*Y113*VLOOKUP('Données projet'!$B$9,Paramètres!$A$1:$I$89,3,0)*0.475*44/12</f>
        <v>1.0989964431690686E-12</v>
      </c>
      <c r="AC113" s="22">
        <f t="shared" si="57"/>
        <v>40.545303125406036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366.00000000000028</v>
      </c>
      <c r="AJ113" s="13">
        <f>AI113*VLOOKUP('Données projet'!$B$10,Paramètres!$A$1:$I$89,3,0)*VLOOKUP('Données projet'!$B$10,Paramètres!$A$1:$I$89,5,0)</f>
        <v>228.38400000000016</v>
      </c>
      <c r="AK113" s="13">
        <f t="shared" si="89"/>
        <v>55.933121291087339</v>
      </c>
      <c r="AL113" s="20">
        <f t="shared" si="58"/>
        <v>495.18565291531075</v>
      </c>
      <c r="AM113" s="59">
        <f t="shared" si="59"/>
        <v>788.51898624864407</v>
      </c>
      <c r="AN113" s="59">
        <f ca="1">AVERAGE(OFFSET($AM$3,0,0,'Données projet'!$E$10+1,1))-AVERAGE(OFFSET($H$3,0,0,'Données projet'!$E$10+1,1))</f>
        <v>282.98219518929034</v>
      </c>
      <c r="AO113" s="59">
        <f t="shared" si="90"/>
        <v>205.95652510682322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46.337794551605498</v>
      </c>
      <c r="AV113" s="21">
        <f>EXP(-LN(2)/25)*AV112+(1-EXP(-LN(2)/25))/(LN(2)/25)*Calculateur!AQ113*Calculateur!AS113*VLOOKUP('Données projet'!$B$10,Paramètres!$A$1:$I$89,3,0)*0.475*44/12</f>
        <v>11.604210269842721</v>
      </c>
      <c r="AW113" s="21">
        <f>EXP(-LN(2)/2)*AW112+(1-EXP(-LN(2)/2))/(LN(2)/2)*AQ113*AT113*VLOOKUP('Données projet'!$B$10,Paramètres!$A$1:$I$89,3,0)*0.475*44/12</f>
        <v>9.1445712966781582E-12</v>
      </c>
      <c r="AX113" s="21">
        <f t="shared" si="60"/>
        <v>57.942004821457367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295.99999999999977</v>
      </c>
      <c r="BE113" s="13">
        <f>BD113*VLOOKUP('Données projet'!$B$11,Paramètres!$A$1:$I$89,3,0)*VLOOKUP('Données projet'!$B$11,Paramètres!$A$1:$I$89,5,0)</f>
        <v>240.11519999999982</v>
      </c>
      <c r="BF113" s="13">
        <f t="shared" si="91"/>
        <v>58.464315631105265</v>
      </c>
      <c r="BG113" s="20">
        <f t="shared" si="61"/>
        <v>520.02598972417468</v>
      </c>
      <c r="BH113" s="59">
        <f t="shared" si="62"/>
        <v>813.35932305750794</v>
      </c>
      <c r="BI113" s="59">
        <f ca="1">AVERAGE(OFFSET($BH$3,0,0,'Données projet'!$E$11+1,1))-AVERAGE(OFFSET($H$3,0,0,'Données projet'!$E$11+1,1))</f>
        <v>293.14894570672351</v>
      </c>
      <c r="BJ113" s="59">
        <f t="shared" si="92"/>
        <v>252.47559879720762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25.369204822162711</v>
      </c>
      <c r="BQ113" s="21">
        <f>EXP(-LN(2)/25)*BQ112+(1-EXP(-LN(2)/25))/(LN(2)/25)*Calculateur!BL113*Calculateur!BN113*VLOOKUP('Données projet'!$B$11,Paramètres!$A$1:$I$89,3,0)*0.475*44/12</f>
        <v>3.4019565236758615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28.771161345838571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607.99999999999977</v>
      </c>
      <c r="O114" s="13">
        <f>N114*VLOOKUP('Données projet'!$B$9,Paramètres!$A$1:$I$89,3,0)*VLOOKUP('Données projet'!$B$9,Paramètres!$A$1:$I$89,5,0)</f>
        <v>339.87199999999984</v>
      </c>
      <c r="P114" s="13">
        <f t="shared" si="87"/>
        <v>79.473500231862786</v>
      </c>
      <c r="Q114" s="20">
        <f t="shared" si="107"/>
        <v>730.36007957049412</v>
      </c>
      <c r="R114" s="59">
        <f t="shared" si="55"/>
        <v>1023.6934129038275</v>
      </c>
      <c r="S114" s="59">
        <f ca="1">AVERAGE(OFFSET($R$3,0,0,'Données projet'!$E$9+1,1))-AVERAGE(OFFSET($H$3,0,0,'Données projet'!$E$9+1,1))</f>
        <v>381.58561971183832</v>
      </c>
      <c r="T114" s="59">
        <f t="shared" si="88"/>
        <v>444.55874959426347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33.473573354926742</v>
      </c>
      <c r="AA114" s="21">
        <f>EXP(-LN(2)/25)*AA113+(1-EXP(-LN(2)/25))/(LN(2)/25)*Calculateur!V114*Calculateur!X114*VLOOKUP('Données projet'!$B$9,Paramètres!$A$1:$I$89,3,0)*0.475*44/12</f>
        <v>6.2271358134772097</v>
      </c>
      <c r="AB114" s="21">
        <f>EXP(-LN(2)/2)*AB113+(1-EXP(-LN(2)/2))/(LN(2)/2)*V114*Y114*VLOOKUP('Données projet'!$B$9,Paramètres!$A$1:$I$89,3,0)*0.475*44/12</f>
        <v>7.7710783746474463E-13</v>
      </c>
      <c r="AC114" s="22">
        <f t="shared" si="57"/>
        <v>39.700709168404728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366.00000000000028</v>
      </c>
      <c r="AJ114" s="13">
        <f>AI114*VLOOKUP('Données projet'!$B$10,Paramètres!$A$1:$I$89,3,0)*VLOOKUP('Données projet'!$B$10,Paramètres!$A$1:$I$89,5,0)</f>
        <v>228.38400000000016</v>
      </c>
      <c r="AK114" s="13">
        <f t="shared" si="89"/>
        <v>55.933121291087339</v>
      </c>
      <c r="AL114" s="20">
        <f t="shared" si="58"/>
        <v>495.18565291531075</v>
      </c>
      <c r="AM114" s="59">
        <f t="shared" si="59"/>
        <v>788.51898624864407</v>
      </c>
      <c r="AN114" s="59">
        <f ca="1">AVERAGE(OFFSET($AM$3,0,0,'Données projet'!$E$10+1,1))-AVERAGE(OFFSET($H$3,0,0,'Données projet'!$E$10+1,1))</f>
        <v>282.98219518929034</v>
      </c>
      <c r="AO114" s="59">
        <f t="shared" si="90"/>
        <v>205.95652510682322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45.429138663712422</v>
      </c>
      <c r="AV114" s="21">
        <f>EXP(-LN(2)/25)*AV113+(1-EXP(-LN(2)/25))/(LN(2)/25)*Calculateur!AQ114*Calculateur!AS114*VLOOKUP('Données projet'!$B$10,Paramètres!$A$1:$I$89,3,0)*0.475*44/12</f>
        <v>11.286892529774976</v>
      </c>
      <c r="AW114" s="21">
        <f>EXP(-LN(2)/2)*AW113+(1-EXP(-LN(2)/2))/(LN(2)/2)*AQ114*AT114*VLOOKUP('Données projet'!$B$10,Paramètres!$A$1:$I$89,3,0)*0.475*44/12</f>
        <v>6.4661883749249857E-12</v>
      </c>
      <c r="AX114" s="21">
        <f t="shared" si="60"/>
        <v>56.716031193493862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295.99999999999977</v>
      </c>
      <c r="BE114" s="13">
        <f>BD114*VLOOKUP('Données projet'!$B$11,Paramètres!$A$1:$I$89,3,0)*VLOOKUP('Données projet'!$B$11,Paramètres!$A$1:$I$89,5,0)</f>
        <v>240.11519999999982</v>
      </c>
      <c r="BF114" s="13">
        <f t="shared" si="91"/>
        <v>58.464315631105265</v>
      </c>
      <c r="BG114" s="20">
        <f t="shared" si="61"/>
        <v>520.02598972417468</v>
      </c>
      <c r="BH114" s="59">
        <f t="shared" si="62"/>
        <v>813.35932305750794</v>
      </c>
      <c r="BI114" s="59">
        <f ca="1">AVERAGE(OFFSET($BH$3,0,0,'Données projet'!$E$11+1,1))-AVERAGE(OFFSET($H$3,0,0,'Données projet'!$E$11+1,1))</f>
        <v>293.14894570672351</v>
      </c>
      <c r="BJ114" s="59">
        <f t="shared" si="92"/>
        <v>252.47559879720762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24.871730189287142</v>
      </c>
      <c r="BQ114" s="21">
        <f>EXP(-LN(2)/25)*BQ113+(1-EXP(-LN(2)/25))/(LN(2)/25)*Calculateur!BL114*Calculateur!BN114*VLOOKUP('Données projet'!$B$11,Paramètres!$A$1:$I$89,3,0)*0.475*44/12</f>
        <v>3.3089298436348269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28.180660032921971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607.99999999999977</v>
      </c>
      <c r="O115" s="13">
        <f>N115*VLOOKUP('Données projet'!$B$9,Paramètres!$A$1:$I$89,3,0)*VLOOKUP('Données projet'!$B$9,Paramètres!$A$1:$I$89,5,0)</f>
        <v>339.87199999999984</v>
      </c>
      <c r="P115" s="13">
        <f t="shared" si="87"/>
        <v>79.473500231862786</v>
      </c>
      <c r="Q115" s="20">
        <f t="shared" si="107"/>
        <v>730.36007957049412</v>
      </c>
      <c r="R115" s="59">
        <f t="shared" si="55"/>
        <v>1023.6934129038275</v>
      </c>
      <c r="S115" s="59">
        <f ca="1">AVERAGE(OFFSET($R$3,0,0,'Données projet'!$E$9+1,1))-AVERAGE(OFFSET($H$3,0,0,'Données projet'!$E$9+1,1))</f>
        <v>381.58561971183832</v>
      </c>
      <c r="T115" s="59">
        <f t="shared" si="88"/>
        <v>444.55874959426347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32.817176998300376</v>
      </c>
      <c r="AA115" s="21">
        <f>EXP(-LN(2)/25)*AA114+(1-EXP(-LN(2)/25))/(LN(2)/25)*Calculateur!V115*Calculateur!X115*VLOOKUP('Données projet'!$B$9,Paramètres!$A$1:$I$89,3,0)*0.475*44/12</f>
        <v>6.0568544571868355</v>
      </c>
      <c r="AB115" s="21">
        <f>EXP(-LN(2)/2)*AB114+(1-EXP(-LN(2)/2))/(LN(2)/2)*V115*Y115*VLOOKUP('Données projet'!$B$9,Paramètres!$A$1:$I$89,3,0)*0.475*44/12</f>
        <v>5.4949822158453431E-13</v>
      </c>
      <c r="AC115" s="22">
        <f t="shared" si="57"/>
        <v>38.87403145548776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366.00000000000028</v>
      </c>
      <c r="AJ115" s="13">
        <f>AI115*VLOOKUP('Données projet'!$B$10,Paramètres!$A$1:$I$89,3,0)*VLOOKUP('Données projet'!$B$10,Paramètres!$A$1:$I$89,5,0)</f>
        <v>228.38400000000016</v>
      </c>
      <c r="AK115" s="13">
        <f t="shared" si="89"/>
        <v>55.933121291087339</v>
      </c>
      <c r="AL115" s="20">
        <f t="shared" si="58"/>
        <v>495.18565291531075</v>
      </c>
      <c r="AM115" s="59">
        <f t="shared" si="59"/>
        <v>788.51898624864407</v>
      </c>
      <c r="AN115" s="59">
        <f ca="1">AVERAGE(OFFSET($AM$3,0,0,'Données projet'!$E$10+1,1))-AVERAGE(OFFSET($H$3,0,0,'Données projet'!$E$10+1,1))</f>
        <v>282.98219518929034</v>
      </c>
      <c r="AO115" s="59">
        <f t="shared" si="90"/>
        <v>205.95652510682322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44.538300963555564</v>
      </c>
      <c r="AV115" s="21">
        <f>EXP(-LN(2)/25)*AV114+(1-EXP(-LN(2)/25))/(LN(2)/25)*Calculateur!AQ115*Calculateur!AS115*VLOOKUP('Données projet'!$B$10,Paramètres!$A$1:$I$89,3,0)*0.475*44/12</f>
        <v>10.978251859996398</v>
      </c>
      <c r="AW115" s="21">
        <f>EXP(-LN(2)/2)*AW114+(1-EXP(-LN(2)/2))/(LN(2)/2)*AQ115*AT115*VLOOKUP('Données projet'!$B$10,Paramètres!$A$1:$I$89,3,0)*0.475*44/12</f>
        <v>4.5722856483390791E-12</v>
      </c>
      <c r="AX115" s="21">
        <f t="shared" si="60"/>
        <v>55.51655282355653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295.99999999999977</v>
      </c>
      <c r="BE115" s="13">
        <f>BD115*VLOOKUP('Données projet'!$B$11,Paramètres!$A$1:$I$89,3,0)*VLOOKUP('Données projet'!$B$11,Paramètres!$A$1:$I$89,5,0)</f>
        <v>240.11519999999982</v>
      </c>
      <c r="BF115" s="13">
        <f t="shared" si="91"/>
        <v>58.464315631105265</v>
      </c>
      <c r="BG115" s="20">
        <f t="shared" si="61"/>
        <v>520.02598972417468</v>
      </c>
      <c r="BH115" s="59">
        <f t="shared" si="62"/>
        <v>813.35932305750794</v>
      </c>
      <c r="BI115" s="59">
        <f ca="1">AVERAGE(OFFSET($BH$3,0,0,'Données projet'!$E$11+1,1))-AVERAGE(OFFSET($H$3,0,0,'Données projet'!$E$11+1,1))</f>
        <v>293.14894570672351</v>
      </c>
      <c r="BJ115" s="59">
        <f t="shared" si="92"/>
        <v>252.47559879720762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24.384010730532697</v>
      </c>
      <c r="BQ115" s="21">
        <f>EXP(-LN(2)/25)*BQ114+(1-EXP(-LN(2)/25))/(LN(2)/25)*Calculateur!BL115*Calculateur!BN115*VLOOKUP('Données projet'!$B$11,Paramètres!$A$1:$I$89,3,0)*0.475*44/12</f>
        <v>3.2184469830515749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27.602457713584272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607.99999999999977</v>
      </c>
      <c r="O116" s="13">
        <f>N116*VLOOKUP('Données projet'!$B$9,Paramètres!$A$1:$I$89,3,0)*VLOOKUP('Données projet'!$B$9,Paramètres!$A$1:$I$89,5,0)</f>
        <v>339.87199999999984</v>
      </c>
      <c r="P116" s="13">
        <f t="shared" si="87"/>
        <v>79.473500231862786</v>
      </c>
      <c r="Q116" s="20">
        <f t="shared" si="107"/>
        <v>730.36007957049412</v>
      </c>
      <c r="R116" s="59">
        <f t="shared" si="55"/>
        <v>1023.6934129038275</v>
      </c>
      <c r="S116" s="59">
        <f ca="1">AVERAGE(OFFSET($R$3,0,0,'Données projet'!$E$9+1,1))-AVERAGE(OFFSET($H$3,0,0,'Données projet'!$E$9+1,1))</f>
        <v>381.58561971183832</v>
      </c>
      <c r="T116" s="59">
        <f t="shared" si="88"/>
        <v>444.55874959426347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32.173652173865207</v>
      </c>
      <c r="AA116" s="21">
        <f>EXP(-LN(2)/25)*AA115+(1-EXP(-LN(2)/25))/(LN(2)/25)*Calculateur!V116*Calculateur!X116*VLOOKUP('Données projet'!$B$9,Paramètres!$A$1:$I$89,3,0)*0.475*44/12</f>
        <v>5.8912294535389282</v>
      </c>
      <c r="AB116" s="21">
        <f>EXP(-LN(2)/2)*AB115+(1-EXP(-LN(2)/2))/(LN(2)/2)*V116*Y116*VLOOKUP('Données projet'!$B$9,Paramètres!$A$1:$I$89,3,0)*0.475*44/12</f>
        <v>3.8855391873237231E-13</v>
      </c>
      <c r="AC116" s="22">
        <f t="shared" si="57"/>
        <v>38.064881627404525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366.00000000000028</v>
      </c>
      <c r="AJ116" s="13">
        <f>AI116*VLOOKUP('Données projet'!$B$10,Paramètres!$A$1:$I$89,3,0)*VLOOKUP('Données projet'!$B$10,Paramètres!$A$1:$I$89,5,0)</f>
        <v>228.38400000000016</v>
      </c>
      <c r="AK116" s="13">
        <f t="shared" si="89"/>
        <v>55.933121291087339</v>
      </c>
      <c r="AL116" s="20">
        <f t="shared" si="58"/>
        <v>495.18565291531075</v>
      </c>
      <c r="AM116" s="59">
        <f t="shared" si="59"/>
        <v>788.51898624864407</v>
      </c>
      <c r="AN116" s="59">
        <f ca="1">AVERAGE(OFFSET($AM$3,0,0,'Données projet'!$E$10+1,1))-AVERAGE(OFFSET($H$3,0,0,'Données projet'!$E$10+1,1))</f>
        <v>282.98219518929034</v>
      </c>
      <c r="AO116" s="59">
        <f t="shared" si="90"/>
        <v>205.95652510682322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43.664932047341438</v>
      </c>
      <c r="AV116" s="21">
        <f>EXP(-LN(2)/25)*AV115+(1-EXP(-LN(2)/25))/(LN(2)/25)*Calculateur!AQ116*Calculateur!AS116*VLOOKUP('Données projet'!$B$10,Paramètres!$A$1:$I$89,3,0)*0.475*44/12</f>
        <v>10.678050985563623</v>
      </c>
      <c r="AW116" s="21">
        <f>EXP(-LN(2)/2)*AW115+(1-EXP(-LN(2)/2))/(LN(2)/2)*AQ116*AT116*VLOOKUP('Données projet'!$B$10,Paramètres!$A$1:$I$89,3,0)*0.475*44/12</f>
        <v>3.2330941874624928E-12</v>
      </c>
      <c r="AX116" s="21">
        <f t="shared" si="60"/>
        <v>54.342983032908293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295.99999999999977</v>
      </c>
      <c r="BE116" s="13">
        <f>BD116*VLOOKUP('Données projet'!$B$11,Paramètres!$A$1:$I$89,3,0)*VLOOKUP('Données projet'!$B$11,Paramètres!$A$1:$I$89,5,0)</f>
        <v>240.11519999999982</v>
      </c>
      <c r="BF116" s="13">
        <f t="shared" si="91"/>
        <v>58.464315631105265</v>
      </c>
      <c r="BG116" s="20">
        <f t="shared" si="61"/>
        <v>520.02598972417468</v>
      </c>
      <c r="BH116" s="59">
        <f t="shared" si="62"/>
        <v>813.35932305750794</v>
      </c>
      <c r="BI116" s="59">
        <f ca="1">AVERAGE(OFFSET($BH$3,0,0,'Données projet'!$E$11+1,1))-AVERAGE(OFFSET($H$3,0,0,'Données projet'!$E$11+1,1))</f>
        <v>293.14894570672351</v>
      </c>
      <c r="BJ116" s="59">
        <f t="shared" si="92"/>
        <v>252.47559879720762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23.905855152884932</v>
      </c>
      <c r="BQ116" s="21">
        <f>EXP(-LN(2)/25)*BQ115+(1-EXP(-LN(2)/25))/(LN(2)/25)*Calculateur!BL116*Calculateur!BN116*VLOOKUP('Données projet'!$B$11,Paramètres!$A$1:$I$89,3,0)*0.475*44/12</f>
        <v>3.1304383810492586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27.036293533934192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607.99999999999977</v>
      </c>
      <c r="O117" s="13">
        <f>N117*VLOOKUP('Données projet'!$B$9,Paramètres!$A$1:$I$89,3,0)*VLOOKUP('Données projet'!$B$9,Paramètres!$A$1:$I$89,5,0)</f>
        <v>339.87199999999984</v>
      </c>
      <c r="P117" s="13">
        <f t="shared" si="87"/>
        <v>79.473500231862786</v>
      </c>
      <c r="Q117" s="20">
        <f t="shared" si="107"/>
        <v>730.36007957049412</v>
      </c>
      <c r="R117" s="59">
        <f t="shared" si="55"/>
        <v>1023.6934129038275</v>
      </c>
      <c r="S117" s="59">
        <f ca="1">AVERAGE(OFFSET($R$3,0,0,'Données projet'!$E$9+1,1))-AVERAGE(OFFSET($H$3,0,0,'Données projet'!$E$9+1,1))</f>
        <v>381.58561971183832</v>
      </c>
      <c r="T117" s="59">
        <f t="shared" si="88"/>
        <v>444.55874959426347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31.542746478725828</v>
      </c>
      <c r="AA117" s="21">
        <f>EXP(-LN(2)/25)*AA116+(1-EXP(-LN(2)/25))/(LN(2)/25)*Calculateur!V117*Calculateur!X117*VLOOKUP('Données projet'!$B$9,Paramètres!$A$1:$I$89,3,0)*0.475*44/12</f>
        <v>5.7301334743256138</v>
      </c>
      <c r="AB117" s="21">
        <f>EXP(-LN(2)/2)*AB116+(1-EXP(-LN(2)/2))/(LN(2)/2)*V117*Y117*VLOOKUP('Données projet'!$B$9,Paramètres!$A$1:$I$89,3,0)*0.475*44/12</f>
        <v>2.7474911079226716E-13</v>
      </c>
      <c r="AC117" s="22">
        <f t="shared" si="57"/>
        <v>37.272879953051721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366.00000000000028</v>
      </c>
      <c r="AJ117" s="13">
        <f>AI117*VLOOKUP('Données projet'!$B$10,Paramètres!$A$1:$I$89,3,0)*VLOOKUP('Données projet'!$B$10,Paramètres!$A$1:$I$89,5,0)</f>
        <v>228.38400000000016</v>
      </c>
      <c r="AK117" s="13">
        <f t="shared" si="89"/>
        <v>55.933121291087339</v>
      </c>
      <c r="AL117" s="20">
        <f t="shared" si="58"/>
        <v>495.18565291531075</v>
      </c>
      <c r="AM117" s="59">
        <f t="shared" si="59"/>
        <v>788.51898624864407</v>
      </c>
      <c r="AN117" s="59">
        <f ca="1">AVERAGE(OFFSET($AM$3,0,0,'Données projet'!$E$10+1,1))-AVERAGE(OFFSET($H$3,0,0,'Données projet'!$E$10+1,1))</f>
        <v>282.98219518929034</v>
      </c>
      <c r="AO117" s="59">
        <f t="shared" si="90"/>
        <v>205.95652510682322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42.808689362871831</v>
      </c>
      <c r="AV117" s="21">
        <f>EXP(-LN(2)/25)*AV116+(1-EXP(-LN(2)/25))/(LN(2)/25)*Calculateur!AQ117*Calculateur!AS117*VLOOKUP('Données projet'!$B$10,Paramètres!$A$1:$I$89,3,0)*0.475*44/12</f>
        <v>10.386059119829088</v>
      </c>
      <c r="AW117" s="21">
        <f>EXP(-LN(2)/2)*AW116+(1-EXP(-LN(2)/2))/(LN(2)/2)*AQ117*AT117*VLOOKUP('Données projet'!$B$10,Paramètres!$A$1:$I$89,3,0)*0.475*44/12</f>
        <v>2.2861428241695395E-12</v>
      </c>
      <c r="AX117" s="21">
        <f t="shared" si="60"/>
        <v>53.194748482703204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295.99999999999977</v>
      </c>
      <c r="BE117" s="13">
        <f>BD117*VLOOKUP('Données projet'!$B$11,Paramètres!$A$1:$I$89,3,0)*VLOOKUP('Données projet'!$B$11,Paramètres!$A$1:$I$89,5,0)</f>
        <v>240.11519999999982</v>
      </c>
      <c r="BF117" s="13">
        <f t="shared" si="91"/>
        <v>58.464315631105265</v>
      </c>
      <c r="BG117" s="20">
        <f t="shared" si="61"/>
        <v>520.02598972417468</v>
      </c>
      <c r="BH117" s="59">
        <f t="shared" si="62"/>
        <v>813.35932305750794</v>
      </c>
      <c r="BI117" s="59">
        <f ca="1">AVERAGE(OFFSET($BH$3,0,0,'Données projet'!$E$11+1,1))-AVERAGE(OFFSET($H$3,0,0,'Données projet'!$E$11+1,1))</f>
        <v>293.14894570672351</v>
      </c>
      <c r="BJ117" s="59">
        <f t="shared" si="92"/>
        <v>252.47559879720762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23.437075914468736</v>
      </c>
      <c r="BQ117" s="21">
        <f>EXP(-LN(2)/25)*BQ116+(1-EXP(-LN(2)/25))/(LN(2)/25)*Calculateur!BL117*Calculateur!BN117*VLOOKUP('Données projet'!$B$11,Paramètres!$A$1:$I$89,3,0)*0.475*44/12</f>
        <v>3.0448363788968669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26.481912293365603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607.99999999999977</v>
      </c>
      <c r="O118" s="13">
        <f>N118*VLOOKUP('Données projet'!$B$9,Paramètres!$A$1:$I$89,3,0)*VLOOKUP('Données projet'!$B$9,Paramètres!$A$1:$I$89,5,0)</f>
        <v>339.87199999999984</v>
      </c>
      <c r="P118" s="13">
        <f t="shared" si="87"/>
        <v>79.473500231862786</v>
      </c>
      <c r="Q118" s="20">
        <f t="shared" si="107"/>
        <v>730.36007957049412</v>
      </c>
      <c r="R118" s="59">
        <f t="shared" si="55"/>
        <v>1023.6934129038275</v>
      </c>
      <c r="S118" s="59">
        <f ca="1">AVERAGE(OFFSET($R$3,0,0,'Données projet'!$E$9+1,1))-AVERAGE(OFFSET($H$3,0,0,'Données projet'!$E$9+1,1))</f>
        <v>381.58561971183832</v>
      </c>
      <c r="T118" s="59">
        <f t="shared" si="88"/>
        <v>444.55874959426347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30.924212459453656</v>
      </c>
      <c r="AA118" s="21">
        <f>EXP(-LN(2)/25)*AA117+(1-EXP(-LN(2)/25))/(LN(2)/25)*Calculateur!V118*Calculateur!X118*VLOOKUP('Données projet'!$B$9,Paramètres!$A$1:$I$89,3,0)*0.475*44/12</f>
        <v>5.5734426731355571</v>
      </c>
      <c r="AB118" s="21">
        <f>EXP(-LN(2)/2)*AB117+(1-EXP(-LN(2)/2))/(LN(2)/2)*V118*Y118*VLOOKUP('Données projet'!$B$9,Paramètres!$A$1:$I$89,3,0)*0.475*44/12</f>
        <v>1.9427695936618616E-13</v>
      </c>
      <c r="AC118" s="22">
        <f t="shared" si="57"/>
        <v>36.497655132589408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366.00000000000028</v>
      </c>
      <c r="AJ118" s="13">
        <f>AI118*VLOOKUP('Données projet'!$B$10,Paramètres!$A$1:$I$89,3,0)*VLOOKUP('Données projet'!$B$10,Paramètres!$A$1:$I$89,5,0)</f>
        <v>228.38400000000016</v>
      </c>
      <c r="AK118" s="13">
        <f t="shared" si="89"/>
        <v>55.933121291087339</v>
      </c>
      <c r="AL118" s="20">
        <f t="shared" si="58"/>
        <v>495.18565291531075</v>
      </c>
      <c r="AM118" s="59">
        <f t="shared" si="59"/>
        <v>788.51898624864407</v>
      </c>
      <c r="AN118" s="59">
        <f ca="1">AVERAGE(OFFSET($AM$3,0,0,'Données projet'!$E$10+1,1))-AVERAGE(OFFSET($H$3,0,0,'Données projet'!$E$10+1,1))</f>
        <v>282.98219518929034</v>
      </c>
      <c r="AO118" s="59">
        <f t="shared" si="90"/>
        <v>205.95652510682322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41.969237075188204</v>
      </c>
      <c r="AV118" s="21">
        <f>EXP(-LN(2)/25)*AV117+(1-EXP(-LN(2)/25))/(LN(2)/25)*Calculateur!AQ118*Calculateur!AS118*VLOOKUP('Données projet'!$B$10,Paramètres!$A$1:$I$89,3,0)*0.475*44/12</f>
        <v>10.102051787018251</v>
      </c>
      <c r="AW118" s="21">
        <f>EXP(-LN(2)/2)*AW117+(1-EXP(-LN(2)/2))/(LN(2)/2)*AQ118*AT118*VLOOKUP('Données projet'!$B$10,Paramètres!$A$1:$I$89,3,0)*0.475*44/12</f>
        <v>1.6165470937312464E-12</v>
      </c>
      <c r="AX118" s="21">
        <f t="shared" si="60"/>
        <v>52.071288862208078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295.99999999999977</v>
      </c>
      <c r="BE118" s="13">
        <f>BD118*VLOOKUP('Données projet'!$B$11,Paramètres!$A$1:$I$89,3,0)*VLOOKUP('Données projet'!$B$11,Paramètres!$A$1:$I$89,5,0)</f>
        <v>240.11519999999982</v>
      </c>
      <c r="BF118" s="13">
        <f t="shared" si="91"/>
        <v>58.464315631105265</v>
      </c>
      <c r="BG118" s="20">
        <f t="shared" si="61"/>
        <v>520.02598972417468</v>
      </c>
      <c r="BH118" s="59">
        <f t="shared" si="62"/>
        <v>813.35932305750794</v>
      </c>
      <c r="BI118" s="59">
        <f ca="1">AVERAGE(OFFSET($BH$3,0,0,'Données projet'!$E$11+1,1))-AVERAGE(OFFSET($H$3,0,0,'Données projet'!$E$11+1,1))</f>
        <v>293.14894570672351</v>
      </c>
      <c r="BJ118" s="59">
        <f t="shared" si="92"/>
        <v>252.47559879720762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22.977489150990777</v>
      </c>
      <c r="BQ118" s="21">
        <f>EXP(-LN(2)/25)*BQ117+(1-EXP(-LN(2)/25))/(LN(2)/25)*Calculateur!BL118*Calculateur!BN118*VLOOKUP('Données projet'!$B$11,Paramètres!$A$1:$I$89,3,0)*0.475*44/12</f>
        <v>2.9615751679949458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25.939064318985722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607.99999999999977</v>
      </c>
      <c r="O119" s="13">
        <f>N119*VLOOKUP('Données projet'!$B$9,Paramètres!$A$1:$I$89,3,0)*VLOOKUP('Données projet'!$B$9,Paramètres!$A$1:$I$89,5,0)</f>
        <v>339.87199999999984</v>
      </c>
      <c r="P119" s="13">
        <f t="shared" si="87"/>
        <v>79.473500231862786</v>
      </c>
      <c r="Q119" s="20">
        <f t="shared" si="107"/>
        <v>730.36007957049412</v>
      </c>
      <c r="R119" s="59">
        <f t="shared" si="55"/>
        <v>1023.6934129038275</v>
      </c>
      <c r="S119" s="59">
        <f ca="1">AVERAGE(OFFSET($R$3,0,0,'Données projet'!$E$9+1,1))-AVERAGE(OFFSET($H$3,0,0,'Données projet'!$E$9+1,1))</f>
        <v>381.58561971183832</v>
      </c>
      <c r="T119" s="59">
        <f t="shared" si="88"/>
        <v>444.55874959426347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30.317807515030911</v>
      </c>
      <c r="AA119" s="21">
        <f>EXP(-LN(2)/25)*AA118+(1-EXP(-LN(2)/25))/(LN(2)/25)*Calculateur!V119*Calculateur!X119*VLOOKUP('Données projet'!$B$9,Paramètres!$A$1:$I$89,3,0)*0.475*44/12</f>
        <v>5.4210365901440536</v>
      </c>
      <c r="AB119" s="21">
        <f>EXP(-LN(2)/2)*AB118+(1-EXP(-LN(2)/2))/(LN(2)/2)*V119*Y119*VLOOKUP('Données projet'!$B$9,Paramètres!$A$1:$I$89,3,0)*0.475*44/12</f>
        <v>1.3737455539613358E-13</v>
      </c>
      <c r="AC119" s="22">
        <f t="shared" si="57"/>
        <v>35.738844105175097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366.00000000000028</v>
      </c>
      <c r="AJ119" s="13">
        <f>AI119*VLOOKUP('Données projet'!$B$10,Paramètres!$A$1:$I$89,3,0)*VLOOKUP('Données projet'!$B$10,Paramètres!$A$1:$I$89,5,0)</f>
        <v>228.38400000000016</v>
      </c>
      <c r="AK119" s="13">
        <f t="shared" si="89"/>
        <v>55.933121291087339</v>
      </c>
      <c r="AL119" s="20">
        <f t="shared" si="58"/>
        <v>495.18565291531075</v>
      </c>
      <c r="AM119" s="59">
        <f t="shared" si="59"/>
        <v>788.51898624864407</v>
      </c>
      <c r="AN119" s="59">
        <f ca="1">AVERAGE(OFFSET($AM$3,0,0,'Données projet'!$E$10+1,1))-AVERAGE(OFFSET($H$3,0,0,'Données projet'!$E$10+1,1))</f>
        <v>282.98219518929034</v>
      </c>
      <c r="AO119" s="59">
        <f t="shared" si="90"/>
        <v>205.95652510682322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41.146245934850718</v>
      </c>
      <c r="AV119" s="21">
        <f>EXP(-LN(2)/25)*AV118+(1-EXP(-LN(2)/25))/(LN(2)/25)*Calculateur!AQ119*Calculateur!AS119*VLOOKUP('Données projet'!$B$10,Paramètres!$A$1:$I$89,3,0)*0.475*44/12</f>
        <v>9.8258106496584219</v>
      </c>
      <c r="AW119" s="21">
        <f>EXP(-LN(2)/2)*AW118+(1-EXP(-LN(2)/2))/(LN(2)/2)*AQ119*AT119*VLOOKUP('Données projet'!$B$10,Paramètres!$A$1:$I$89,3,0)*0.475*44/12</f>
        <v>1.1430714120847698E-12</v>
      </c>
      <c r="AX119" s="21">
        <f t="shared" si="60"/>
        <v>50.972056584510284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295.99999999999977</v>
      </c>
      <c r="BE119" s="13">
        <f>BD119*VLOOKUP('Données projet'!$B$11,Paramètres!$A$1:$I$89,3,0)*VLOOKUP('Données projet'!$B$11,Paramètres!$A$1:$I$89,5,0)</f>
        <v>240.11519999999982</v>
      </c>
      <c r="BF119" s="13">
        <f t="shared" si="91"/>
        <v>58.464315631105265</v>
      </c>
      <c r="BG119" s="20">
        <f t="shared" si="61"/>
        <v>520.02598972417468</v>
      </c>
      <c r="BH119" s="59">
        <f t="shared" si="62"/>
        <v>813.35932305750794</v>
      </c>
      <c r="BI119" s="59">
        <f ca="1">AVERAGE(OFFSET($BH$3,0,0,'Données projet'!$E$11+1,1))-AVERAGE(OFFSET($H$3,0,0,'Données projet'!$E$11+1,1))</f>
        <v>293.14894570672351</v>
      </c>
      <c r="BJ119" s="59">
        <f t="shared" si="92"/>
        <v>252.47559879720762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22.526914603624377</v>
      </c>
      <c r="BQ119" s="21">
        <f>EXP(-LN(2)/25)*BQ118+(1-EXP(-LN(2)/25))/(LN(2)/25)*Calculateur!BL119*Calculateur!BN119*VLOOKUP('Données projet'!$B$11,Paramètres!$A$1:$I$89,3,0)*0.475*44/12</f>
        <v>2.8805907392836545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25.407505342908031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607.99999999999977</v>
      </c>
      <c r="O120" s="13">
        <f>N120*VLOOKUP('Données projet'!$B$9,Paramètres!$A$1:$I$89,3,0)*VLOOKUP('Données projet'!$B$9,Paramètres!$A$1:$I$89,5,0)</f>
        <v>339.87199999999984</v>
      </c>
      <c r="P120" s="13">
        <f t="shared" si="87"/>
        <v>79.473500231862786</v>
      </c>
      <c r="Q120" s="20">
        <f t="shared" si="107"/>
        <v>730.36007957049412</v>
      </c>
      <c r="R120" s="59">
        <f t="shared" si="55"/>
        <v>1023.6934129038275</v>
      </c>
      <c r="S120" s="59">
        <f ca="1">AVERAGE(OFFSET($R$3,0,0,'Données projet'!$E$9+1,1))-AVERAGE(OFFSET($H$3,0,0,'Données projet'!$E$9+1,1))</f>
        <v>381.58561971183832</v>
      </c>
      <c r="T120" s="59">
        <f t="shared" si="88"/>
        <v>444.55874959426347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29.723293801697803</v>
      </c>
      <c r="AA120" s="21">
        <f>EXP(-LN(2)/25)*AA119+(1-EXP(-LN(2)/25))/(LN(2)/25)*Calculateur!V120*Calculateur!X120*VLOOKUP('Données projet'!$B$9,Paramètres!$A$1:$I$89,3,0)*0.475*44/12</f>
        <v>5.2727980595066404</v>
      </c>
      <c r="AB120" s="21">
        <f>EXP(-LN(2)/2)*AB119+(1-EXP(-LN(2)/2))/(LN(2)/2)*V120*Y120*VLOOKUP('Données projet'!$B$9,Paramètres!$A$1:$I$89,3,0)*0.475*44/12</f>
        <v>9.7138479683093079E-14</v>
      </c>
      <c r="AC120" s="22">
        <f t="shared" si="57"/>
        <v>34.99609186120454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366.00000000000028</v>
      </c>
      <c r="AJ120" s="13">
        <f>AI120*VLOOKUP('Données projet'!$B$10,Paramètres!$A$1:$I$89,3,0)*VLOOKUP('Données projet'!$B$10,Paramètres!$A$1:$I$89,5,0)</f>
        <v>228.38400000000016</v>
      </c>
      <c r="AK120" s="13">
        <f t="shared" si="89"/>
        <v>55.933121291087339</v>
      </c>
      <c r="AL120" s="20">
        <f t="shared" si="58"/>
        <v>495.18565291531075</v>
      </c>
      <c r="AM120" s="59">
        <f t="shared" si="59"/>
        <v>788.51898624864407</v>
      </c>
      <c r="AN120" s="59">
        <f ca="1">AVERAGE(OFFSET($AM$3,0,0,'Données projet'!$E$10+1,1))-AVERAGE(OFFSET($H$3,0,0,'Données projet'!$E$10+1,1))</f>
        <v>282.98219518929034</v>
      </c>
      <c r="AO120" s="59">
        <f t="shared" si="90"/>
        <v>205.95652510682322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40.33939314880022</v>
      </c>
      <c r="AV120" s="21">
        <f>EXP(-LN(2)/25)*AV119+(1-EXP(-LN(2)/25))/(LN(2)/25)*Calculateur!AQ120*Calculateur!AS120*VLOOKUP('Données projet'!$B$10,Paramètres!$A$1:$I$89,3,0)*0.475*44/12</f>
        <v>9.5571233407265872</v>
      </c>
      <c r="AW120" s="21">
        <f>EXP(-LN(2)/2)*AW119+(1-EXP(-LN(2)/2))/(LN(2)/2)*AQ120*AT120*VLOOKUP('Données projet'!$B$10,Paramètres!$A$1:$I$89,3,0)*0.475*44/12</f>
        <v>8.0827354686562321E-13</v>
      </c>
      <c r="AX120" s="21">
        <f t="shared" si="60"/>
        <v>49.896516489527613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295.99999999999977</v>
      </c>
      <c r="BE120" s="13">
        <f>BD120*VLOOKUP('Données projet'!$B$11,Paramètres!$A$1:$I$89,3,0)*VLOOKUP('Données projet'!$B$11,Paramètres!$A$1:$I$89,5,0)</f>
        <v>240.11519999999982</v>
      </c>
      <c r="BF120" s="13">
        <f t="shared" si="91"/>
        <v>58.464315631105265</v>
      </c>
      <c r="BG120" s="20">
        <f t="shared" si="61"/>
        <v>520.02598972417468</v>
      </c>
      <c r="BH120" s="59">
        <f t="shared" si="62"/>
        <v>813.35932305750794</v>
      </c>
      <c r="BI120" s="59">
        <f ca="1">AVERAGE(OFFSET($BH$3,0,0,'Données projet'!$E$11+1,1))-AVERAGE(OFFSET($H$3,0,0,'Données projet'!$E$11+1,1))</f>
        <v>293.14894570672351</v>
      </c>
      <c r="BJ120" s="59">
        <f t="shared" si="92"/>
        <v>252.47559879720762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22.085175548308491</v>
      </c>
      <c r="BQ120" s="21">
        <f>EXP(-LN(2)/25)*BQ119+(1-EXP(-LN(2)/25))/(LN(2)/25)*Calculateur!BL120*Calculateur!BN120*VLOOKUP('Données projet'!$B$11,Paramètres!$A$1:$I$89,3,0)*0.475*44/12</f>
        <v>2.8018208340342596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24.886996382342751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607.99999999999977</v>
      </c>
      <c r="O121" s="13">
        <f>N121*VLOOKUP('Données projet'!$B$9,Paramètres!$A$1:$I$89,3,0)*VLOOKUP('Données projet'!$B$9,Paramètres!$A$1:$I$89,5,0)</f>
        <v>339.87199999999984</v>
      </c>
      <c r="P121" s="13">
        <f t="shared" si="87"/>
        <v>79.473500231862786</v>
      </c>
      <c r="Q121" s="20">
        <f t="shared" si="107"/>
        <v>730.36007957049412</v>
      </c>
      <c r="R121" s="59">
        <f t="shared" si="55"/>
        <v>1023.6934129038275</v>
      </c>
      <c r="S121" s="59">
        <f ca="1">AVERAGE(OFFSET($R$3,0,0,'Données projet'!$E$9+1,1))-AVERAGE(OFFSET($H$3,0,0,'Données projet'!$E$9+1,1))</f>
        <v>381.58561971183832</v>
      </c>
      <c r="T121" s="59">
        <f t="shared" si="88"/>
        <v>444.55874959426347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29.140438139665598</v>
      </c>
      <c r="AA121" s="21">
        <f>EXP(-LN(2)/25)*AA120+(1-EXP(-LN(2)/25))/(LN(2)/25)*Calculateur!V121*Calculateur!X121*VLOOKUP('Données projet'!$B$9,Paramètres!$A$1:$I$89,3,0)*0.475*44/12</f>
        <v>5.1286131192850322</v>
      </c>
      <c r="AB121" s="21">
        <f>EXP(-LN(2)/2)*AB120+(1-EXP(-LN(2)/2))/(LN(2)/2)*V121*Y121*VLOOKUP('Données projet'!$B$9,Paramètres!$A$1:$I$89,3,0)*0.475*44/12</f>
        <v>6.8687277698066789E-14</v>
      </c>
      <c r="AC121" s="22">
        <f t="shared" si="57"/>
        <v>34.269051258950704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366.00000000000028</v>
      </c>
      <c r="AJ121" s="13">
        <f>AI121*VLOOKUP('Données projet'!$B$10,Paramètres!$A$1:$I$89,3,0)*VLOOKUP('Données projet'!$B$10,Paramètres!$A$1:$I$89,5,0)</f>
        <v>228.38400000000016</v>
      </c>
      <c r="AK121" s="13">
        <f t="shared" si="89"/>
        <v>55.933121291087339</v>
      </c>
      <c r="AL121" s="20">
        <f t="shared" si="58"/>
        <v>495.18565291531075</v>
      </c>
      <c r="AM121" s="59">
        <f t="shared" si="59"/>
        <v>788.51898624864407</v>
      </c>
      <c r="AN121" s="59">
        <f ca="1">AVERAGE(OFFSET($AM$3,0,0,'Données projet'!$E$10+1,1))-AVERAGE(OFFSET($H$3,0,0,'Données projet'!$E$10+1,1))</f>
        <v>282.98219518929034</v>
      </c>
      <c r="AO121" s="59">
        <f t="shared" si="90"/>
        <v>205.95652510682322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39.548362253752565</v>
      </c>
      <c r="AV121" s="21">
        <f>EXP(-LN(2)/25)*AV120+(1-EXP(-LN(2)/25))/(LN(2)/25)*Calculateur!AQ121*Calculateur!AS121*VLOOKUP('Données projet'!$B$10,Paramètres!$A$1:$I$89,3,0)*0.475*44/12</f>
        <v>9.2957833003871446</v>
      </c>
      <c r="AW121" s="21">
        <f>EXP(-LN(2)/2)*AW120+(1-EXP(-LN(2)/2))/(LN(2)/2)*AQ121*AT121*VLOOKUP('Données projet'!$B$10,Paramètres!$A$1:$I$89,3,0)*0.475*44/12</f>
        <v>5.7153570604238489E-13</v>
      </c>
      <c r="AX121" s="21">
        <f t="shared" si="60"/>
        <v>48.844145554140276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295.99999999999977</v>
      </c>
      <c r="BE121" s="13">
        <f>BD121*VLOOKUP('Données projet'!$B$11,Paramètres!$A$1:$I$89,3,0)*VLOOKUP('Données projet'!$B$11,Paramètres!$A$1:$I$89,5,0)</f>
        <v>240.11519999999982</v>
      </c>
      <c r="BF121" s="13">
        <f t="shared" si="91"/>
        <v>58.464315631105265</v>
      </c>
      <c r="BG121" s="20">
        <f t="shared" si="61"/>
        <v>520.02598972417468</v>
      </c>
      <c r="BH121" s="59">
        <f t="shared" si="62"/>
        <v>813.35932305750794</v>
      </c>
      <c r="BI121" s="59">
        <f ca="1">AVERAGE(OFFSET($BH$3,0,0,'Données projet'!$E$11+1,1))-AVERAGE(OFFSET($H$3,0,0,'Données projet'!$E$11+1,1))</f>
        <v>293.14894570672351</v>
      </c>
      <c r="BJ121" s="59">
        <f t="shared" si="92"/>
        <v>252.47559879720762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21.652098726433131</v>
      </c>
      <c r="BQ121" s="21">
        <f>EXP(-LN(2)/25)*BQ120+(1-EXP(-LN(2)/25))/(LN(2)/25)*Calculateur!BL121*Calculateur!BN121*VLOOKUP('Données projet'!$B$11,Paramètres!$A$1:$I$89,3,0)*0.475*44/12</f>
        <v>2.7252048959862387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24.377303622419369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607.99999999999977</v>
      </c>
      <c r="O122" s="13">
        <f>N122*VLOOKUP('Données projet'!$B$9,Paramètres!$A$1:$I$89,3,0)*VLOOKUP('Données projet'!$B$9,Paramètres!$A$1:$I$89,5,0)</f>
        <v>339.87199999999984</v>
      </c>
      <c r="P122" s="13">
        <f t="shared" si="87"/>
        <v>79.473500231862786</v>
      </c>
      <c r="Q122" s="20">
        <f t="shared" si="107"/>
        <v>730.36007957049412</v>
      </c>
      <c r="R122" s="59">
        <f t="shared" si="55"/>
        <v>1023.6934129038275</v>
      </c>
      <c r="S122" s="59">
        <f ca="1">AVERAGE(OFFSET($R$3,0,0,'Données projet'!$E$9+1,1))-AVERAGE(OFFSET($H$3,0,0,'Données projet'!$E$9+1,1))</f>
        <v>381.58561971183832</v>
      </c>
      <c r="T122" s="59">
        <f t="shared" si="88"/>
        <v>444.55874959426347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28.569011921658994</v>
      </c>
      <c r="AA122" s="21">
        <f>EXP(-LN(2)/25)*AA121+(1-EXP(-LN(2)/25))/(LN(2)/25)*Calculateur!V122*Calculateur!X122*VLOOKUP('Données projet'!$B$9,Paramètres!$A$1:$I$89,3,0)*0.475*44/12</f>
        <v>4.9883709238361407</v>
      </c>
      <c r="AB122" s="21">
        <f>EXP(-LN(2)/2)*AB121+(1-EXP(-LN(2)/2))/(LN(2)/2)*V122*Y122*VLOOKUP('Données projet'!$B$9,Paramètres!$A$1:$I$89,3,0)*0.475*44/12</f>
        <v>4.8569239841546539E-14</v>
      </c>
      <c r="AC122" s="22">
        <f t="shared" si="57"/>
        <v>33.557382845495184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366.00000000000028</v>
      </c>
      <c r="AJ122" s="13">
        <f>AI122*VLOOKUP('Données projet'!$B$10,Paramètres!$A$1:$I$89,3,0)*VLOOKUP('Données projet'!$B$10,Paramètres!$A$1:$I$89,5,0)</f>
        <v>228.38400000000016</v>
      </c>
      <c r="AK122" s="13">
        <f t="shared" si="89"/>
        <v>55.933121291087339</v>
      </c>
      <c r="AL122" s="20">
        <f t="shared" si="58"/>
        <v>495.18565291531075</v>
      </c>
      <c r="AM122" s="59">
        <f t="shared" si="59"/>
        <v>788.51898624864407</v>
      </c>
      <c r="AN122" s="59">
        <f ca="1">AVERAGE(OFFSET($AM$3,0,0,'Données projet'!$E$10+1,1))-AVERAGE(OFFSET($H$3,0,0,'Données projet'!$E$10+1,1))</f>
        <v>282.98219518929034</v>
      </c>
      <c r="AO122" s="59">
        <f t="shared" si="90"/>
        <v>205.95652510682322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38.772842992075589</v>
      </c>
      <c r="AV122" s="21">
        <f>EXP(-LN(2)/25)*AV121+(1-EXP(-LN(2)/25))/(LN(2)/25)*Calculateur!AQ122*Calculateur!AS122*VLOOKUP('Données projet'!$B$10,Paramètres!$A$1:$I$89,3,0)*0.475*44/12</f>
        <v>9.0415896171940595</v>
      </c>
      <c r="AW122" s="21">
        <f>EXP(-LN(2)/2)*AW121+(1-EXP(-LN(2)/2))/(LN(2)/2)*AQ122*AT122*VLOOKUP('Données projet'!$B$10,Paramètres!$A$1:$I$89,3,0)*0.475*44/12</f>
        <v>4.041367734328116E-13</v>
      </c>
      <c r="AX122" s="21">
        <f t="shared" si="60"/>
        <v>47.81443260927005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295.99999999999977</v>
      </c>
      <c r="BE122" s="13">
        <f>BD122*VLOOKUP('Données projet'!$B$11,Paramètres!$A$1:$I$89,3,0)*VLOOKUP('Données projet'!$B$11,Paramètres!$A$1:$I$89,5,0)</f>
        <v>240.11519999999982</v>
      </c>
      <c r="BF122" s="13">
        <f t="shared" si="91"/>
        <v>58.464315631105265</v>
      </c>
      <c r="BG122" s="20">
        <f t="shared" si="61"/>
        <v>520.02598972417468</v>
      </c>
      <c r="BH122" s="59">
        <f t="shared" si="62"/>
        <v>813.35932305750794</v>
      </c>
      <c r="BI122" s="59">
        <f ca="1">AVERAGE(OFFSET($BH$3,0,0,'Données projet'!$E$11+1,1))-AVERAGE(OFFSET($H$3,0,0,'Données projet'!$E$11+1,1))</f>
        <v>293.14894570672351</v>
      </c>
      <c r="BJ122" s="59">
        <f t="shared" si="92"/>
        <v>252.47559879720762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21.227514276883969</v>
      </c>
      <c r="BQ122" s="21">
        <f>EXP(-LN(2)/25)*BQ121+(1-EXP(-LN(2)/25))/(LN(2)/25)*Calculateur!BL122*Calculateur!BN122*VLOOKUP('Données projet'!$B$11,Paramètres!$A$1:$I$89,3,0)*0.475*44/12</f>
        <v>2.6506840247931982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23.878198301677166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607.99999999999977</v>
      </c>
      <c r="O123" s="13">
        <f>N123*VLOOKUP('Données projet'!$B$9,Paramètres!$A$1:$I$89,3,0)*VLOOKUP('Données projet'!$B$9,Paramètres!$A$1:$I$89,5,0)</f>
        <v>339.87199999999984</v>
      </c>
      <c r="P123" s="13">
        <f t="shared" si="87"/>
        <v>79.473500231862786</v>
      </c>
      <c r="Q123" s="20">
        <f t="shared" si="107"/>
        <v>730.36007957049412</v>
      </c>
      <c r="R123" s="59">
        <f t="shared" si="55"/>
        <v>1023.6934129038275</v>
      </c>
      <c r="S123" s="59">
        <f ca="1">AVERAGE(OFFSET($R$3,0,0,'Données projet'!$E$9+1,1))-AVERAGE(OFFSET($H$3,0,0,'Données projet'!$E$9+1,1))</f>
        <v>381.58561971183832</v>
      </c>
      <c r="T123" s="59">
        <f t="shared" si="88"/>
        <v>444.55874959426347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28.00879102325192</v>
      </c>
      <c r="AA123" s="21">
        <f>EXP(-LN(2)/25)*AA122+(1-EXP(-LN(2)/25))/(LN(2)/25)*Calculateur!V123*Calculateur!X123*VLOOKUP('Données projet'!$B$9,Paramètres!$A$1:$I$89,3,0)*0.475*44/12</f>
        <v>4.8519636585968158</v>
      </c>
      <c r="AB123" s="21">
        <f>EXP(-LN(2)/2)*AB122+(1-EXP(-LN(2)/2))/(LN(2)/2)*V123*Y123*VLOOKUP('Données projet'!$B$9,Paramètres!$A$1:$I$89,3,0)*0.475*44/12</f>
        <v>3.4343638849033394E-14</v>
      </c>
      <c r="AC123" s="22">
        <f t="shared" si="57"/>
        <v>32.860754681848768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366.00000000000028</v>
      </c>
      <c r="AJ123" s="13">
        <f>AI123*VLOOKUP('Données projet'!$B$10,Paramètres!$A$1:$I$89,3,0)*VLOOKUP('Données projet'!$B$10,Paramètres!$A$1:$I$89,5,0)</f>
        <v>228.38400000000016</v>
      </c>
      <c r="AK123" s="13">
        <f t="shared" si="89"/>
        <v>55.933121291087339</v>
      </c>
      <c r="AL123" s="20">
        <f t="shared" si="58"/>
        <v>495.18565291531075</v>
      </c>
      <c r="AM123" s="59">
        <f t="shared" si="59"/>
        <v>788.51898624864407</v>
      </c>
      <c r="AN123" s="59">
        <f ca="1">AVERAGE(OFFSET($AM$3,0,0,'Données projet'!$E$10+1,1))-AVERAGE(OFFSET($H$3,0,0,'Données projet'!$E$10+1,1))</f>
        <v>282.98219518929034</v>
      </c>
      <c r="AO123" s="59">
        <f t="shared" si="90"/>
        <v>205.95652510682322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38.012531190100056</v>
      </c>
      <c r="AV123" s="21">
        <f>EXP(-LN(2)/25)*AV122+(1-EXP(-LN(2)/25))/(LN(2)/25)*Calculateur!AQ123*Calculateur!AS123*VLOOKUP('Données projet'!$B$10,Paramètres!$A$1:$I$89,3,0)*0.475*44/12</f>
        <v>8.7943468736353552</v>
      </c>
      <c r="AW123" s="21">
        <f>EXP(-LN(2)/2)*AW122+(1-EXP(-LN(2)/2))/(LN(2)/2)*AQ123*AT123*VLOOKUP('Données projet'!$B$10,Paramètres!$A$1:$I$89,3,0)*0.475*44/12</f>
        <v>2.8576785302119244E-13</v>
      </c>
      <c r="AX123" s="21">
        <f t="shared" si="60"/>
        <v>46.806878063735695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295.99999999999977</v>
      </c>
      <c r="BE123" s="13">
        <f>BD123*VLOOKUP('Données projet'!$B$11,Paramètres!$A$1:$I$89,3,0)*VLOOKUP('Données projet'!$B$11,Paramètres!$A$1:$I$89,5,0)</f>
        <v>240.11519999999982</v>
      </c>
      <c r="BF123" s="13">
        <f t="shared" si="91"/>
        <v>58.464315631105265</v>
      </c>
      <c r="BG123" s="20">
        <f t="shared" si="61"/>
        <v>520.02598972417468</v>
      </c>
      <c r="BH123" s="59">
        <f t="shared" si="62"/>
        <v>813.35932305750794</v>
      </c>
      <c r="BI123" s="59">
        <f ca="1">AVERAGE(OFFSET($BH$3,0,0,'Données projet'!$E$11+1,1))-AVERAGE(OFFSET($H$3,0,0,'Données projet'!$E$11+1,1))</f>
        <v>293.14894570672351</v>
      </c>
      <c r="BJ123" s="59">
        <f t="shared" si="92"/>
        <v>252.47559879720762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20.811255669419523</v>
      </c>
      <c r="BQ123" s="21">
        <f>EXP(-LN(2)/25)*BQ122+(1-EXP(-LN(2)/25))/(LN(2)/25)*Calculateur!BL123*Calculateur!BN123*VLOOKUP('Données projet'!$B$11,Paramètres!$A$1:$I$89,3,0)*0.475*44/12</f>
        <v>2.5782009307418137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23.389456600161338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607.99999999999977</v>
      </c>
      <c r="O124" s="13">
        <f>N124*VLOOKUP('Données projet'!$B$9,Paramètres!$A$1:$I$89,3,0)*VLOOKUP('Données projet'!$B$9,Paramètres!$A$1:$I$89,5,0)</f>
        <v>339.87199999999984</v>
      </c>
      <c r="P124" s="13">
        <f t="shared" si="87"/>
        <v>79.473500231862786</v>
      </c>
      <c r="Q124" s="20">
        <f t="shared" si="107"/>
        <v>730.36007957049412</v>
      </c>
      <c r="R124" s="59">
        <f t="shared" si="55"/>
        <v>1023.6934129038275</v>
      </c>
      <c r="S124" s="59">
        <f ca="1">AVERAGE(OFFSET($R$3,0,0,'Données projet'!$E$9+1,1))-AVERAGE(OFFSET($H$3,0,0,'Données projet'!$E$9+1,1))</f>
        <v>381.58561971183832</v>
      </c>
      <c r="T124" s="59">
        <f t="shared" si="88"/>
        <v>444.55874959426347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27.459555714961603</v>
      </c>
      <c r="AA124" s="21">
        <f>EXP(-LN(2)/25)*AA123+(1-EXP(-LN(2)/25))/(LN(2)/25)*Calculateur!V124*Calculateur!X124*VLOOKUP('Données projet'!$B$9,Paramètres!$A$1:$I$89,3,0)*0.475*44/12</f>
        <v>4.7192864571988062</v>
      </c>
      <c r="AB124" s="21">
        <f>EXP(-LN(2)/2)*AB123+(1-EXP(-LN(2)/2))/(LN(2)/2)*V124*Y124*VLOOKUP('Données projet'!$B$9,Paramètres!$A$1:$I$89,3,0)*0.475*44/12</f>
        <v>2.428461992077327E-14</v>
      </c>
      <c r="AC124" s="22">
        <f t="shared" si="57"/>
        <v>32.178842172160429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366.00000000000028</v>
      </c>
      <c r="AJ124" s="13">
        <f>AI124*VLOOKUP('Données projet'!$B$10,Paramètres!$A$1:$I$89,3,0)*VLOOKUP('Données projet'!$B$10,Paramètres!$A$1:$I$89,5,0)</f>
        <v>228.38400000000016</v>
      </c>
      <c r="AK124" s="13">
        <f t="shared" si="89"/>
        <v>55.933121291087339</v>
      </c>
      <c r="AL124" s="20">
        <f t="shared" si="58"/>
        <v>495.18565291531075</v>
      </c>
      <c r="AM124" s="59">
        <f t="shared" si="59"/>
        <v>788.51898624864407</v>
      </c>
      <c r="AN124" s="59">
        <f ca="1">AVERAGE(OFFSET($AM$3,0,0,'Données projet'!$E$10+1,1))-AVERAGE(OFFSET($H$3,0,0,'Données projet'!$E$10+1,1))</f>
        <v>282.98219518929034</v>
      </c>
      <c r="AO124" s="59">
        <f t="shared" si="90"/>
        <v>205.95652510682322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37.267128638816857</v>
      </c>
      <c r="AV124" s="21">
        <f>EXP(-LN(2)/25)*AV123+(1-EXP(-LN(2)/25))/(LN(2)/25)*Calculateur!AQ124*Calculateur!AS124*VLOOKUP('Données projet'!$B$10,Paramètres!$A$1:$I$89,3,0)*0.475*44/12</f>
        <v>8.5538649959011934</v>
      </c>
      <c r="AW124" s="21">
        <f>EXP(-LN(2)/2)*AW123+(1-EXP(-LN(2)/2))/(LN(2)/2)*AQ124*AT124*VLOOKUP('Données projet'!$B$10,Paramètres!$A$1:$I$89,3,0)*0.475*44/12</f>
        <v>2.020683867164058E-13</v>
      </c>
      <c r="AX124" s="21">
        <f t="shared" si="60"/>
        <v>45.820993634718249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295.99999999999977</v>
      </c>
      <c r="BE124" s="13">
        <f>BD124*VLOOKUP('Données projet'!$B$11,Paramètres!$A$1:$I$89,3,0)*VLOOKUP('Données projet'!$B$11,Paramètres!$A$1:$I$89,5,0)</f>
        <v>240.11519999999982</v>
      </c>
      <c r="BF124" s="13">
        <f t="shared" si="91"/>
        <v>58.464315631105265</v>
      </c>
      <c r="BG124" s="20">
        <f t="shared" si="61"/>
        <v>520.02598972417468</v>
      </c>
      <c r="BH124" s="59">
        <f t="shared" si="62"/>
        <v>813.35932305750794</v>
      </c>
      <c r="BI124" s="59">
        <f ca="1">AVERAGE(OFFSET($BH$3,0,0,'Données projet'!$E$11+1,1))-AVERAGE(OFFSET($H$3,0,0,'Données projet'!$E$11+1,1))</f>
        <v>293.14894570672351</v>
      </c>
      <c r="BJ124" s="59">
        <f t="shared" si="92"/>
        <v>252.47559879720762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20.403159639354776</v>
      </c>
      <c r="BQ124" s="21">
        <f>EXP(-LN(2)/25)*BQ123+(1-EXP(-LN(2)/25))/(LN(2)/25)*Calculateur!BL124*Calculateur!BN124*VLOOKUP('Données projet'!$B$11,Paramètres!$A$1:$I$89,3,0)*0.475*44/12</f>
        <v>2.5076998907089845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22.91085953006376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607.99999999999977</v>
      </c>
      <c r="O125" s="13">
        <f>N125*VLOOKUP('Données projet'!$B$9,Paramètres!$A$1:$I$89,3,0)*VLOOKUP('Données projet'!$B$9,Paramètres!$A$1:$I$89,5,0)</f>
        <v>339.87199999999984</v>
      </c>
      <c r="P125" s="13">
        <f t="shared" si="87"/>
        <v>79.473500231862786</v>
      </c>
      <c r="Q125" s="20">
        <f t="shared" si="107"/>
        <v>730.36007957049412</v>
      </c>
      <c r="R125" s="59">
        <f t="shared" si="55"/>
        <v>1023.6934129038275</v>
      </c>
      <c r="S125" s="59">
        <f ca="1">AVERAGE(OFFSET($R$3,0,0,'Données projet'!$E$9+1,1))-AVERAGE(OFFSET($H$3,0,0,'Données projet'!$E$9+1,1))</f>
        <v>381.58561971183832</v>
      </c>
      <c r="T125" s="59">
        <f t="shared" si="88"/>
        <v>444.55874959426347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26.921090576066398</v>
      </c>
      <c r="AA125" s="21">
        <f>EXP(-LN(2)/25)*AA124+(1-EXP(-LN(2)/25))/(LN(2)/25)*Calculateur!V125*Calculateur!X125*VLOOKUP('Données projet'!$B$9,Paramètres!$A$1:$I$89,3,0)*0.475*44/12</f>
        <v>4.5902373208502159</v>
      </c>
      <c r="AB125" s="21">
        <f>EXP(-LN(2)/2)*AB124+(1-EXP(-LN(2)/2))/(LN(2)/2)*V125*Y125*VLOOKUP('Données projet'!$B$9,Paramètres!$A$1:$I$89,3,0)*0.475*44/12</f>
        <v>1.7171819424516697E-14</v>
      </c>
      <c r="AC125" s="22">
        <f t="shared" si="57"/>
        <v>31.511327896916629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366.00000000000028</v>
      </c>
      <c r="AJ125" s="13">
        <f>AI125*VLOOKUP('Données projet'!$B$10,Paramètres!$A$1:$I$89,3,0)*VLOOKUP('Données projet'!$B$10,Paramètres!$A$1:$I$89,5,0)</f>
        <v>228.38400000000016</v>
      </c>
      <c r="AK125" s="13">
        <f t="shared" si="89"/>
        <v>55.933121291087339</v>
      </c>
      <c r="AL125" s="20">
        <f t="shared" si="58"/>
        <v>495.18565291531075</v>
      </c>
      <c r="AM125" s="59">
        <f t="shared" si="59"/>
        <v>788.51898624864407</v>
      </c>
      <c r="AN125" s="59">
        <f ca="1">AVERAGE(OFFSET($AM$3,0,0,'Données projet'!$E$10+1,1))-AVERAGE(OFFSET($H$3,0,0,'Données projet'!$E$10+1,1))</f>
        <v>282.98219518929034</v>
      </c>
      <c r="AO125" s="59">
        <f t="shared" si="90"/>
        <v>205.95652510682322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36.536342976913659</v>
      </c>
      <c r="AV125" s="21">
        <f>EXP(-LN(2)/25)*AV124+(1-EXP(-LN(2)/25))/(LN(2)/25)*Calculateur!AQ125*Calculateur!AS125*VLOOKUP('Données projet'!$B$10,Paramètres!$A$1:$I$89,3,0)*0.475*44/12</f>
        <v>8.3199591077600648</v>
      </c>
      <c r="AW125" s="21">
        <f>EXP(-LN(2)/2)*AW124+(1-EXP(-LN(2)/2))/(LN(2)/2)*AQ125*AT125*VLOOKUP('Données projet'!$B$10,Paramètres!$A$1:$I$89,3,0)*0.475*44/12</f>
        <v>1.4288392651059622E-13</v>
      </c>
      <c r="AX125" s="21">
        <f t="shared" si="60"/>
        <v>44.856302084673864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295.99999999999977</v>
      </c>
      <c r="BE125" s="13">
        <f>BD125*VLOOKUP('Données projet'!$B$11,Paramètres!$A$1:$I$89,3,0)*VLOOKUP('Données projet'!$B$11,Paramètres!$A$1:$I$89,5,0)</f>
        <v>240.11519999999982</v>
      </c>
      <c r="BF125" s="13">
        <f t="shared" si="91"/>
        <v>58.464315631105265</v>
      </c>
      <c r="BG125" s="20">
        <f t="shared" si="61"/>
        <v>520.02598972417468</v>
      </c>
      <c r="BH125" s="59">
        <f t="shared" si="62"/>
        <v>813.35932305750794</v>
      </c>
      <c r="BI125" s="59">
        <f ca="1">AVERAGE(OFFSET($BH$3,0,0,'Données projet'!$E$11+1,1))-AVERAGE(OFFSET($H$3,0,0,'Données projet'!$E$11+1,1))</f>
        <v>293.14894570672351</v>
      </c>
      <c r="BJ125" s="59">
        <f t="shared" si="92"/>
        <v>252.47559879720762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20.003066123525596</v>
      </c>
      <c r="BQ125" s="21">
        <f>EXP(-LN(2)/25)*BQ124+(1-EXP(-LN(2)/25))/(LN(2)/25)*Calculateur!BL125*Calculateur!BN125*VLOOKUP('Données projet'!$B$11,Paramètres!$A$1:$I$89,3,0)*0.475*44/12</f>
        <v>2.4391267053233414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22.442192828848938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607.99999999999977</v>
      </c>
      <c r="O126" s="13">
        <f>N126*VLOOKUP('Données projet'!$B$9,Paramètres!$A$1:$I$89,3,0)*VLOOKUP('Données projet'!$B$9,Paramètres!$A$1:$I$89,5,0)</f>
        <v>339.87199999999984</v>
      </c>
      <c r="P126" s="13">
        <f t="shared" si="87"/>
        <v>79.473500231862786</v>
      </c>
      <c r="Q126" s="20">
        <f t="shared" si="107"/>
        <v>730.36007957049412</v>
      </c>
      <c r="R126" s="59">
        <f t="shared" si="55"/>
        <v>1023.6934129038275</v>
      </c>
      <c r="S126" s="59">
        <f ca="1">AVERAGE(OFFSET($R$3,0,0,'Données projet'!$E$9+1,1))-AVERAGE(OFFSET($H$3,0,0,'Données projet'!$E$9+1,1))</f>
        <v>381.58561971183832</v>
      </c>
      <c r="T126" s="59">
        <f t="shared" si="88"/>
        <v>444.55874959426347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26.393184410113623</v>
      </c>
      <c r="AA126" s="21">
        <f>EXP(-LN(2)/25)*AA125+(1-EXP(-LN(2)/25))/(LN(2)/25)*Calculateur!V126*Calculateur!X126*VLOOKUP('Données projet'!$B$9,Paramètres!$A$1:$I$89,3,0)*0.475*44/12</f>
        <v>4.4647170399214771</v>
      </c>
      <c r="AB126" s="21">
        <f>EXP(-LN(2)/2)*AB125+(1-EXP(-LN(2)/2))/(LN(2)/2)*V126*Y126*VLOOKUP('Données projet'!$B$9,Paramètres!$A$1:$I$89,3,0)*0.475*44/12</f>
        <v>1.2142309960386635E-14</v>
      </c>
      <c r="AC126" s="22">
        <f t="shared" si="57"/>
        <v>30.857901450035111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366.00000000000028</v>
      </c>
      <c r="AJ126" s="13">
        <f>AI126*VLOOKUP('Données projet'!$B$10,Paramètres!$A$1:$I$89,3,0)*VLOOKUP('Données projet'!$B$10,Paramètres!$A$1:$I$89,5,0)</f>
        <v>228.38400000000016</v>
      </c>
      <c r="AK126" s="13">
        <f t="shared" si="89"/>
        <v>55.933121291087339</v>
      </c>
      <c r="AL126" s="20">
        <f t="shared" si="58"/>
        <v>495.18565291531075</v>
      </c>
      <c r="AM126" s="59">
        <f t="shared" si="59"/>
        <v>788.51898624864407</v>
      </c>
      <c r="AN126" s="59">
        <f ca="1">AVERAGE(OFFSET($AM$3,0,0,'Données projet'!$E$10+1,1))-AVERAGE(OFFSET($H$3,0,0,'Données projet'!$E$10+1,1))</f>
        <v>282.98219518929034</v>
      </c>
      <c r="AO126" s="59">
        <f t="shared" si="90"/>
        <v>205.95652510682322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35.819887576105138</v>
      </c>
      <c r="AV126" s="21">
        <f>EXP(-LN(2)/25)*AV125+(1-EXP(-LN(2)/25))/(LN(2)/25)*Calculateur!AQ126*Calculateur!AS126*VLOOKUP('Données projet'!$B$10,Paramètres!$A$1:$I$89,3,0)*0.475*44/12</f>
        <v>8.0924493884307314</v>
      </c>
      <c r="AW126" s="21">
        <f>EXP(-LN(2)/2)*AW125+(1-EXP(-LN(2)/2))/(LN(2)/2)*AQ126*AT126*VLOOKUP('Données projet'!$B$10,Paramètres!$A$1:$I$89,3,0)*0.475*44/12</f>
        <v>1.010341933582029E-13</v>
      </c>
      <c r="AX126" s="21">
        <f t="shared" si="60"/>
        <v>43.912336964535967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295.99999999999977</v>
      </c>
      <c r="BE126" s="13">
        <f>BD126*VLOOKUP('Données projet'!$B$11,Paramètres!$A$1:$I$89,3,0)*VLOOKUP('Données projet'!$B$11,Paramètres!$A$1:$I$89,5,0)</f>
        <v>240.11519999999982</v>
      </c>
      <c r="BF126" s="13">
        <f t="shared" si="91"/>
        <v>58.464315631105265</v>
      </c>
      <c r="BG126" s="20">
        <f t="shared" si="61"/>
        <v>520.02598972417468</v>
      </c>
      <c r="BH126" s="59">
        <f t="shared" si="62"/>
        <v>813.35932305750794</v>
      </c>
      <c r="BI126" s="59">
        <f ca="1">AVERAGE(OFFSET($BH$3,0,0,'Données projet'!$E$11+1,1))-AVERAGE(OFFSET($H$3,0,0,'Données projet'!$E$11+1,1))</f>
        <v>293.14894570672351</v>
      </c>
      <c r="BJ126" s="59">
        <f t="shared" si="92"/>
        <v>252.47559879720762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19.610818197508877</v>
      </c>
      <c r="BQ126" s="21">
        <f>EXP(-LN(2)/25)*BQ125+(1-EXP(-LN(2)/25))/(LN(2)/25)*Calculateur!BL126*Calculateur!BN126*VLOOKUP('Données projet'!$B$11,Paramètres!$A$1:$I$89,3,0)*0.475*44/12</f>
        <v>2.3724286572981761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21.983246854807053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607.99999999999977</v>
      </c>
      <c r="O127" s="13">
        <f>N127*VLOOKUP('Données projet'!$B$9,Paramètres!$A$1:$I$89,3,0)*VLOOKUP('Données projet'!$B$9,Paramètres!$A$1:$I$89,5,0)</f>
        <v>339.87199999999984</v>
      </c>
      <c r="P127" s="13">
        <f t="shared" si="87"/>
        <v>79.473500231862786</v>
      </c>
      <c r="Q127" s="20">
        <f t="shared" si="107"/>
        <v>730.36007957049412</v>
      </c>
      <c r="R127" s="59">
        <f t="shared" si="55"/>
        <v>1023.6934129038275</v>
      </c>
      <c r="S127" s="59">
        <f ca="1">AVERAGE(OFFSET($R$3,0,0,'Données projet'!$E$9+1,1))-AVERAGE(OFFSET($H$3,0,0,'Données projet'!$E$9+1,1))</f>
        <v>381.58561971183832</v>
      </c>
      <c r="T127" s="59">
        <f t="shared" si="88"/>
        <v>444.55874959426347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25.875630162084214</v>
      </c>
      <c r="AA127" s="21">
        <f>EXP(-LN(2)/25)*AA126+(1-EXP(-LN(2)/25))/(LN(2)/25)*Calculateur!V127*Calculateur!X127*VLOOKUP('Données projet'!$B$9,Paramètres!$A$1:$I$89,3,0)*0.475*44/12</f>
        <v>4.3426291176755596</v>
      </c>
      <c r="AB127" s="21">
        <f>EXP(-LN(2)/2)*AB126+(1-EXP(-LN(2)/2))/(LN(2)/2)*V127*Y127*VLOOKUP('Données projet'!$B$9,Paramètres!$A$1:$I$89,3,0)*0.475*44/12</f>
        <v>8.5859097122583486E-15</v>
      </c>
      <c r="AC127" s="22">
        <f t="shared" si="57"/>
        <v>30.218259279759781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366.00000000000028</v>
      </c>
      <c r="AJ127" s="13">
        <f>AI127*VLOOKUP('Données projet'!$B$10,Paramètres!$A$1:$I$89,3,0)*VLOOKUP('Données projet'!$B$10,Paramètres!$A$1:$I$89,5,0)</f>
        <v>228.38400000000016</v>
      </c>
      <c r="AK127" s="13">
        <f t="shared" si="89"/>
        <v>55.933121291087339</v>
      </c>
      <c r="AL127" s="20">
        <f t="shared" si="58"/>
        <v>495.18565291531075</v>
      </c>
      <c r="AM127" s="59">
        <f t="shared" si="59"/>
        <v>788.51898624864407</v>
      </c>
      <c r="AN127" s="59">
        <f ca="1">AVERAGE(OFFSET($AM$3,0,0,'Données projet'!$E$10+1,1))-AVERAGE(OFFSET($H$3,0,0,'Données projet'!$E$10+1,1))</f>
        <v>282.98219518929034</v>
      </c>
      <c r="AO127" s="59">
        <f t="shared" si="90"/>
        <v>205.95652510682322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35.117481428711827</v>
      </c>
      <c r="AV127" s="21">
        <f>EXP(-LN(2)/25)*AV126+(1-EXP(-LN(2)/25))/(LN(2)/25)*Calculateur!AQ127*Calculateur!AS127*VLOOKUP('Données projet'!$B$10,Paramètres!$A$1:$I$89,3,0)*0.475*44/12</f>
        <v>7.8711609343406757</v>
      </c>
      <c r="AW127" s="21">
        <f>EXP(-LN(2)/2)*AW126+(1-EXP(-LN(2)/2))/(LN(2)/2)*AQ127*AT127*VLOOKUP('Données projet'!$B$10,Paramètres!$A$1:$I$89,3,0)*0.475*44/12</f>
        <v>7.1441963255298111E-14</v>
      </c>
      <c r="AX127" s="21">
        <f t="shared" si="60"/>
        <v>42.988642363052577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295.99999999999977</v>
      </c>
      <c r="BE127" s="13">
        <f>BD127*VLOOKUP('Données projet'!$B$11,Paramètres!$A$1:$I$89,3,0)*VLOOKUP('Données projet'!$B$11,Paramètres!$A$1:$I$89,5,0)</f>
        <v>240.11519999999982</v>
      </c>
      <c r="BF127" s="13">
        <f t="shared" si="91"/>
        <v>58.464315631105265</v>
      </c>
      <c r="BG127" s="20">
        <f t="shared" si="61"/>
        <v>520.02598972417468</v>
      </c>
      <c r="BH127" s="59">
        <f t="shared" si="62"/>
        <v>813.35932305750794</v>
      </c>
      <c r="BI127" s="59">
        <f ca="1">AVERAGE(OFFSET($BH$3,0,0,'Données projet'!$E$11+1,1))-AVERAGE(OFFSET($H$3,0,0,'Données projet'!$E$11+1,1))</f>
        <v>293.14894570672351</v>
      </c>
      <c r="BJ127" s="59">
        <f t="shared" si="92"/>
        <v>252.47559879720762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19.226262014073736</v>
      </c>
      <c r="BQ127" s="21">
        <f>EXP(-LN(2)/25)*BQ126+(1-EXP(-LN(2)/25))/(LN(2)/25)*Calculateur!BL127*Calculateur!BN127*VLOOKUP('Données projet'!$B$11,Paramètres!$A$1:$I$89,3,0)*0.475*44/12</f>
        <v>2.3075544709037565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21.533816484977493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607.99999999999977</v>
      </c>
      <c r="O128" s="13">
        <f>N128*VLOOKUP('Données projet'!$B$9,Paramètres!$A$1:$I$89,3,0)*VLOOKUP('Données projet'!$B$9,Paramètres!$A$1:$I$89,5,0)</f>
        <v>339.87199999999984</v>
      </c>
      <c r="P128" s="13">
        <f t="shared" si="87"/>
        <v>79.473500231862786</v>
      </c>
      <c r="Q128" s="20">
        <f t="shared" si="107"/>
        <v>730.36007957049412</v>
      </c>
      <c r="R128" s="59">
        <f t="shared" si="55"/>
        <v>1023.6934129038275</v>
      </c>
      <c r="S128" s="59">
        <f ca="1">AVERAGE(OFFSET($R$3,0,0,'Données projet'!$E$9+1,1))-AVERAGE(OFFSET($H$3,0,0,'Données projet'!$E$9+1,1))</f>
        <v>381.58561971183832</v>
      </c>
      <c r="T128" s="59">
        <f t="shared" si="88"/>
        <v>444.55874959426347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25.368224837181742</v>
      </c>
      <c r="AA128" s="21">
        <f>EXP(-LN(2)/25)*AA127+(1-EXP(-LN(2)/25))/(LN(2)/25)*Calculateur!V128*Calculateur!X128*VLOOKUP('Données projet'!$B$9,Paramètres!$A$1:$I$89,3,0)*0.475*44/12</f>
        <v>4.223879696083781</v>
      </c>
      <c r="AB128" s="21">
        <f>EXP(-LN(2)/2)*AB127+(1-EXP(-LN(2)/2))/(LN(2)/2)*V128*Y128*VLOOKUP('Données projet'!$B$9,Paramètres!$A$1:$I$89,3,0)*0.475*44/12</f>
        <v>6.0711549801933174E-15</v>
      </c>
      <c r="AC128" s="22">
        <f t="shared" si="57"/>
        <v>29.59210453326553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366.00000000000028</v>
      </c>
      <c r="AJ128" s="13">
        <f>AI128*VLOOKUP('Données projet'!$B$10,Paramètres!$A$1:$I$89,3,0)*VLOOKUP('Données projet'!$B$10,Paramètres!$A$1:$I$89,5,0)</f>
        <v>228.38400000000016</v>
      </c>
      <c r="AK128" s="13">
        <f t="shared" si="89"/>
        <v>55.933121291087339</v>
      </c>
      <c r="AL128" s="20">
        <f t="shared" si="58"/>
        <v>495.18565291531075</v>
      </c>
      <c r="AM128" s="59">
        <f t="shared" si="59"/>
        <v>788.51898624864407</v>
      </c>
      <c r="AN128" s="59">
        <f ca="1">AVERAGE(OFFSET($AM$3,0,0,'Données projet'!$E$10+1,1))-AVERAGE(OFFSET($H$3,0,0,'Données projet'!$E$10+1,1))</f>
        <v>282.98219518929034</v>
      </c>
      <c r="AO128" s="59">
        <f t="shared" si="90"/>
        <v>205.95652510682322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34.428849037443456</v>
      </c>
      <c r="AV128" s="21">
        <f>EXP(-LN(2)/25)*AV127+(1-EXP(-LN(2)/25))/(LN(2)/25)*Calculateur!AQ128*Calculateur!AS128*VLOOKUP('Données projet'!$B$10,Paramètres!$A$1:$I$89,3,0)*0.475*44/12</f>
        <v>7.6559236246647657</v>
      </c>
      <c r="AW128" s="21">
        <f>EXP(-LN(2)/2)*AW127+(1-EXP(-LN(2)/2))/(LN(2)/2)*AQ128*AT128*VLOOKUP('Données projet'!$B$10,Paramètres!$A$1:$I$89,3,0)*0.475*44/12</f>
        <v>5.0517096679101451E-14</v>
      </c>
      <c r="AX128" s="21">
        <f t="shared" si="60"/>
        <v>42.084772662108271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295.99999999999977</v>
      </c>
      <c r="BE128" s="13">
        <f>BD128*VLOOKUP('Données projet'!$B$11,Paramètres!$A$1:$I$89,3,0)*VLOOKUP('Données projet'!$B$11,Paramètres!$A$1:$I$89,5,0)</f>
        <v>240.11519999999982</v>
      </c>
      <c r="BF128" s="13">
        <f t="shared" si="91"/>
        <v>58.464315631105265</v>
      </c>
      <c r="BG128" s="20">
        <f t="shared" si="61"/>
        <v>520.02598972417468</v>
      </c>
      <c r="BH128" s="59">
        <f t="shared" si="62"/>
        <v>813.35932305750794</v>
      </c>
      <c r="BI128" s="59">
        <f ca="1">AVERAGE(OFFSET($BH$3,0,0,'Données projet'!$E$11+1,1))-AVERAGE(OFFSET($H$3,0,0,'Données projet'!$E$11+1,1))</f>
        <v>293.14894570672351</v>
      </c>
      <c r="BJ128" s="59">
        <f t="shared" si="92"/>
        <v>252.47559879720762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18.849246742839647</v>
      </c>
      <c r="BQ128" s="21">
        <f>EXP(-LN(2)/25)*BQ127+(1-EXP(-LN(2)/25))/(LN(2)/25)*Calculateur!BL128*Calculateur!BN128*VLOOKUP('Données projet'!$B$11,Paramètres!$A$1:$I$89,3,0)*0.475*44/12</f>
        <v>2.2444542725478778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21.093701015387524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607.99999999999977</v>
      </c>
      <c r="O129" s="13">
        <f>N129*VLOOKUP('Données projet'!$B$9,Paramètres!$A$1:$I$89,3,0)*VLOOKUP('Données projet'!$B$9,Paramètres!$A$1:$I$89,5,0)</f>
        <v>339.87199999999984</v>
      </c>
      <c r="P129" s="13">
        <f t="shared" si="87"/>
        <v>79.473500231862786</v>
      </c>
      <c r="Q129" s="20">
        <f t="shared" si="107"/>
        <v>730.36007957049412</v>
      </c>
      <c r="R129" s="59">
        <f t="shared" si="55"/>
        <v>1023.6934129038275</v>
      </c>
      <c r="S129" s="59">
        <f ca="1">AVERAGE(OFFSET($R$3,0,0,'Données projet'!$E$9+1,1))-AVERAGE(OFFSET($H$3,0,0,'Données projet'!$E$9+1,1))</f>
        <v>381.58561971183832</v>
      </c>
      <c r="T129" s="59">
        <f t="shared" si="88"/>
        <v>444.55874959426347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24.870769421213918</v>
      </c>
      <c r="AA129" s="21">
        <f>EXP(-LN(2)/25)*AA128+(1-EXP(-LN(2)/25))/(LN(2)/25)*Calculateur!V129*Calculateur!X129*VLOOKUP('Données projet'!$B$9,Paramètres!$A$1:$I$89,3,0)*0.475*44/12</f>
        <v>4.108377483670191</v>
      </c>
      <c r="AB129" s="21">
        <f>EXP(-LN(2)/2)*AB128+(1-EXP(-LN(2)/2))/(LN(2)/2)*V129*Y129*VLOOKUP('Données projet'!$B$9,Paramètres!$A$1:$I$89,3,0)*0.475*44/12</f>
        <v>4.2929548561291743E-15</v>
      </c>
      <c r="AC129" s="22">
        <f t="shared" si="57"/>
        <v>28.979146904884114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366.00000000000028</v>
      </c>
      <c r="AJ129" s="13">
        <f>AI129*VLOOKUP('Données projet'!$B$10,Paramètres!$A$1:$I$89,3,0)*VLOOKUP('Données projet'!$B$10,Paramètres!$A$1:$I$89,5,0)</f>
        <v>228.38400000000016</v>
      </c>
      <c r="AK129" s="13">
        <f t="shared" si="89"/>
        <v>55.933121291087339</v>
      </c>
      <c r="AL129" s="20">
        <f t="shared" si="58"/>
        <v>495.18565291531075</v>
      </c>
      <c r="AM129" s="59">
        <f t="shared" si="59"/>
        <v>788.51898624864407</v>
      </c>
      <c r="AN129" s="59">
        <f ca="1">AVERAGE(OFFSET($AM$3,0,0,'Données projet'!$E$10+1,1))-AVERAGE(OFFSET($H$3,0,0,'Données projet'!$E$10+1,1))</f>
        <v>282.98219518929034</v>
      </c>
      <c r="AO129" s="59">
        <f t="shared" si="90"/>
        <v>205.95652510682322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33.753720307343571</v>
      </c>
      <c r="AV129" s="21">
        <f>EXP(-LN(2)/25)*AV128+(1-EXP(-LN(2)/25))/(LN(2)/25)*Calculateur!AQ129*Calculateur!AS129*VLOOKUP('Données projet'!$B$10,Paramètres!$A$1:$I$89,3,0)*0.475*44/12</f>
        <v>7.4465719905407823</v>
      </c>
      <c r="AW129" s="21">
        <f>EXP(-LN(2)/2)*AW128+(1-EXP(-LN(2)/2))/(LN(2)/2)*AQ129*AT129*VLOOKUP('Données projet'!$B$10,Paramètres!$A$1:$I$89,3,0)*0.475*44/12</f>
        <v>3.5720981627649055E-14</v>
      </c>
      <c r="AX129" s="21">
        <f t="shared" si="60"/>
        <v>41.200292297884388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295.99999999999977</v>
      </c>
      <c r="BE129" s="13">
        <f>BD129*VLOOKUP('Données projet'!$B$11,Paramètres!$A$1:$I$89,3,0)*VLOOKUP('Données projet'!$B$11,Paramètres!$A$1:$I$89,5,0)</f>
        <v>240.11519999999982</v>
      </c>
      <c r="BF129" s="13">
        <f t="shared" si="91"/>
        <v>58.464315631105265</v>
      </c>
      <c r="BG129" s="20">
        <f t="shared" si="61"/>
        <v>520.02598972417468</v>
      </c>
      <c r="BH129" s="59">
        <f t="shared" si="62"/>
        <v>813.35932305750794</v>
      </c>
      <c r="BI129" s="59">
        <f ca="1">AVERAGE(OFFSET($BH$3,0,0,'Données projet'!$E$11+1,1))-AVERAGE(OFFSET($H$3,0,0,'Données projet'!$E$11+1,1))</f>
        <v>293.14894570672351</v>
      </c>
      <c r="BJ129" s="59">
        <f t="shared" si="92"/>
        <v>252.47559879720762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18.479624511117848</v>
      </c>
      <c r="BQ129" s="21">
        <f>EXP(-LN(2)/25)*BQ128+(1-EXP(-LN(2)/25))/(LN(2)/25)*Calculateur!BL129*Calculateur!BN129*VLOOKUP('Données projet'!$B$11,Paramètres!$A$1:$I$89,3,0)*0.475*44/12</f>
        <v>2.1830795524343358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20.662704063552184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607.99999999999977</v>
      </c>
      <c r="O130" s="13">
        <f>N130*VLOOKUP('Données projet'!$B$9,Paramètres!$A$1:$I$89,3,0)*VLOOKUP('Données projet'!$B$9,Paramètres!$A$1:$I$89,5,0)</f>
        <v>339.87199999999984</v>
      </c>
      <c r="P130" s="13">
        <f t="shared" si="87"/>
        <v>79.473500231862786</v>
      </c>
      <c r="Q130" s="20">
        <f t="shared" si="107"/>
        <v>730.36007957049412</v>
      </c>
      <c r="R130" s="59">
        <f t="shared" si="55"/>
        <v>1023.6934129038275</v>
      </c>
      <c r="S130" s="59">
        <f ca="1">AVERAGE(OFFSET($R$3,0,0,'Données projet'!$E$9+1,1))-AVERAGE(OFFSET($H$3,0,0,'Données projet'!$E$9+1,1))</f>
        <v>381.58561971183832</v>
      </c>
      <c r="T130" s="59">
        <f t="shared" si="88"/>
        <v>444.55874959426347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24.38306880253538</v>
      </c>
      <c r="AA130" s="21">
        <f>EXP(-LN(2)/25)*AA129+(1-EXP(-LN(2)/25))/(LN(2)/25)*Calculateur!V130*Calculateur!X130*VLOOKUP('Données projet'!$B$9,Paramètres!$A$1:$I$89,3,0)*0.475*44/12</f>
        <v>3.9960336853290475</v>
      </c>
      <c r="AB130" s="21">
        <f>EXP(-LN(2)/2)*AB129+(1-EXP(-LN(2)/2))/(LN(2)/2)*V130*Y130*VLOOKUP('Données projet'!$B$9,Paramètres!$A$1:$I$89,3,0)*0.475*44/12</f>
        <v>3.0355774900966587E-15</v>
      </c>
      <c r="AC130" s="22">
        <f t="shared" si="57"/>
        <v>28.379102487864433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366.00000000000028</v>
      </c>
      <c r="AJ130" s="13">
        <f>AI130*VLOOKUP('Données projet'!$B$10,Paramètres!$A$1:$I$89,3,0)*VLOOKUP('Données projet'!$B$10,Paramètres!$A$1:$I$89,5,0)</f>
        <v>228.38400000000016</v>
      </c>
      <c r="AK130" s="13">
        <f t="shared" si="89"/>
        <v>55.933121291087339</v>
      </c>
      <c r="AL130" s="20">
        <f t="shared" si="58"/>
        <v>495.18565291531075</v>
      </c>
      <c r="AM130" s="59">
        <f t="shared" si="59"/>
        <v>788.51898624864407</v>
      </c>
      <c r="AN130" s="59">
        <f ca="1">AVERAGE(OFFSET($AM$3,0,0,'Données projet'!$E$10+1,1))-AVERAGE(OFFSET($H$3,0,0,'Données projet'!$E$10+1,1))</f>
        <v>282.98219518929034</v>
      </c>
      <c r="AO130" s="59">
        <f t="shared" si="90"/>
        <v>205.95652510682322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33.091830439853084</v>
      </c>
      <c r="AV130" s="21">
        <f>EXP(-LN(2)/25)*AV129+(1-EXP(-LN(2)/25))/(LN(2)/25)*Calculateur!AQ130*Calculateur!AS130*VLOOKUP('Données projet'!$B$10,Paramètres!$A$1:$I$89,3,0)*0.475*44/12</f>
        <v>7.2429450878612434</v>
      </c>
      <c r="AW130" s="21">
        <f>EXP(-LN(2)/2)*AW129+(1-EXP(-LN(2)/2))/(LN(2)/2)*AQ130*AT130*VLOOKUP('Données projet'!$B$10,Paramètres!$A$1:$I$89,3,0)*0.475*44/12</f>
        <v>2.5258548339550725E-14</v>
      </c>
      <c r="AX130" s="21">
        <f t="shared" si="60"/>
        <v>40.334775527714356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295.99999999999977</v>
      </c>
      <c r="BE130" s="13">
        <f>BD130*VLOOKUP('Données projet'!$B$11,Paramètres!$A$1:$I$89,3,0)*VLOOKUP('Données projet'!$B$11,Paramètres!$A$1:$I$89,5,0)</f>
        <v>240.11519999999982</v>
      </c>
      <c r="BF130" s="13">
        <f t="shared" si="91"/>
        <v>58.464315631105265</v>
      </c>
      <c r="BG130" s="20">
        <f t="shared" si="61"/>
        <v>520.02598972417468</v>
      </c>
      <c r="BH130" s="59">
        <f t="shared" si="62"/>
        <v>813.35932305750794</v>
      </c>
      <c r="BI130" s="59">
        <f ca="1">AVERAGE(OFFSET($BH$3,0,0,'Données projet'!$E$11+1,1))-AVERAGE(OFFSET($H$3,0,0,'Données projet'!$E$11+1,1))</f>
        <v>293.14894570672351</v>
      </c>
      <c r="BJ130" s="59">
        <f t="shared" si="92"/>
        <v>252.47559879720762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18.117250345912815</v>
      </c>
      <c r="BQ130" s="21">
        <f>EXP(-LN(2)/25)*BQ129+(1-EXP(-LN(2)/25))/(LN(2)/25)*Calculateur!BL130*Calculateur!BN130*VLOOKUP('Données projet'!$B$11,Paramètres!$A$1:$I$89,3,0)*0.475*44/12</f>
        <v>2.1233831272698547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20.240633473182669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607.99999999999977</v>
      </c>
      <c r="O131" s="13">
        <f>N131*VLOOKUP('Données projet'!$B$9,Paramètres!$A$1:$I$89,3,0)*VLOOKUP('Données projet'!$B$9,Paramètres!$A$1:$I$89,5,0)</f>
        <v>339.87199999999984</v>
      </c>
      <c r="P131" s="13">
        <f t="shared" si="87"/>
        <v>79.473500231862786</v>
      </c>
      <c r="Q131" s="20">
        <f t="shared" ref="Q131:Q153" si="108">(O131+P131)*0.475*44/12</f>
        <v>730.36007957049412</v>
      </c>
      <c r="R131" s="59">
        <f t="shared" ref="R131:R194" si="109">Q131+(I131+J131)*44/12</f>
        <v>1023.6934129038275</v>
      </c>
      <c r="S131" s="59">
        <f ca="1">AVERAGE(OFFSET($R$3,0,0,'Données projet'!$E$9+1,1))-AVERAGE(OFFSET($H$3,0,0,'Données projet'!$E$9+1,1))</f>
        <v>381.58561971183832</v>
      </c>
      <c r="T131" s="59">
        <f t="shared" si="88"/>
        <v>444.55874959426347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23.904931695521121</v>
      </c>
      <c r="AA131" s="21">
        <f>EXP(-LN(2)/25)*AA130+(1-EXP(-LN(2)/25))/(LN(2)/25)*Calculateur!V131*Calculateur!X131*VLOOKUP('Données projet'!$B$9,Paramètres!$A$1:$I$89,3,0)*0.475*44/12</f>
        <v>3.8867619340614463</v>
      </c>
      <c r="AB131" s="21">
        <f>EXP(-LN(2)/2)*AB130+(1-EXP(-LN(2)/2))/(LN(2)/2)*V131*Y131*VLOOKUP('Données projet'!$B$9,Paramètres!$A$1:$I$89,3,0)*0.475*44/12</f>
        <v>2.1464774280645872E-15</v>
      </c>
      <c r="AC131" s="22">
        <f t="shared" si="57"/>
        <v>27.791693629582571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366.00000000000028</v>
      </c>
      <c r="AJ131" s="13">
        <f>AI131*VLOOKUP('Données projet'!$B$10,Paramètres!$A$1:$I$89,3,0)*VLOOKUP('Données projet'!$B$10,Paramètres!$A$1:$I$89,5,0)</f>
        <v>228.38400000000016</v>
      </c>
      <c r="AK131" s="13">
        <f t="shared" si="89"/>
        <v>55.933121291087339</v>
      </c>
      <c r="AL131" s="20">
        <f t="shared" si="58"/>
        <v>495.18565291531075</v>
      </c>
      <c r="AM131" s="59">
        <f t="shared" si="59"/>
        <v>788.51898624864407</v>
      </c>
      <c r="AN131" s="59">
        <f ca="1">AVERAGE(OFFSET($AM$3,0,0,'Données projet'!$E$10+1,1))-AVERAGE(OFFSET($H$3,0,0,'Données projet'!$E$10+1,1))</f>
        <v>282.98219518929034</v>
      </c>
      <c r="AO131" s="59">
        <f t="shared" si="90"/>
        <v>205.95652510682322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32.442919828951126</v>
      </c>
      <c r="AV131" s="21">
        <f>EXP(-LN(2)/25)*AV130+(1-EXP(-LN(2)/25))/(LN(2)/25)*Calculateur!AQ131*Calculateur!AS131*VLOOKUP('Données projet'!$B$10,Paramètres!$A$1:$I$89,3,0)*0.475*44/12</f>
        <v>7.0448863735437497</v>
      </c>
      <c r="AW131" s="21">
        <f>EXP(-LN(2)/2)*AW130+(1-EXP(-LN(2)/2))/(LN(2)/2)*AQ131*AT131*VLOOKUP('Données projet'!$B$10,Paramètres!$A$1:$I$89,3,0)*0.475*44/12</f>
        <v>1.7860490813824528E-14</v>
      </c>
      <c r="AX131" s="21">
        <f t="shared" si="60"/>
        <v>39.487806202494895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295.99999999999977</v>
      </c>
      <c r="BE131" s="13">
        <f>BD131*VLOOKUP('Données projet'!$B$11,Paramètres!$A$1:$I$89,3,0)*VLOOKUP('Données projet'!$B$11,Paramètres!$A$1:$I$89,5,0)</f>
        <v>240.11519999999982</v>
      </c>
      <c r="BF131" s="13">
        <f t="shared" si="91"/>
        <v>58.464315631105265</v>
      </c>
      <c r="BG131" s="20">
        <f t="shared" si="61"/>
        <v>520.02598972417468</v>
      </c>
      <c r="BH131" s="59">
        <f t="shared" si="62"/>
        <v>813.35932305750794</v>
      </c>
      <c r="BI131" s="59">
        <f ca="1">AVERAGE(OFFSET($BH$3,0,0,'Données projet'!$E$11+1,1))-AVERAGE(OFFSET($H$3,0,0,'Données projet'!$E$11+1,1))</f>
        <v>293.14894570672351</v>
      </c>
      <c r="BJ131" s="59">
        <f t="shared" si="92"/>
        <v>252.47559879720762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17.761982117061038</v>
      </c>
      <c r="BQ131" s="21">
        <f>EXP(-LN(2)/25)*BQ130+(1-EXP(-LN(2)/25))/(LN(2)/25)*Calculateur!BL131*Calculateur!BN131*VLOOKUP('Données projet'!$B$11,Paramètres!$A$1:$I$89,3,0)*0.475*44/12</f>
        <v>2.0653191039907948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19.827301221051833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607.99999999999977</v>
      </c>
      <c r="O132" s="13">
        <f>N132*VLOOKUP('Données projet'!$B$9,Paramètres!$A$1:$I$89,3,0)*VLOOKUP('Données projet'!$B$9,Paramètres!$A$1:$I$89,5,0)</f>
        <v>339.87199999999984</v>
      </c>
      <c r="P132" s="13">
        <f t="shared" si="87"/>
        <v>79.473500231862786</v>
      </c>
      <c r="Q132" s="20">
        <f t="shared" si="108"/>
        <v>730.36007957049412</v>
      </c>
      <c r="R132" s="59">
        <f t="shared" si="109"/>
        <v>1023.6934129038275</v>
      </c>
      <c r="S132" s="59">
        <f ca="1">AVERAGE(OFFSET($R$3,0,0,'Données projet'!$E$9+1,1))-AVERAGE(OFFSET($H$3,0,0,'Données projet'!$E$9+1,1))</f>
        <v>381.58561971183832</v>
      </c>
      <c r="T132" s="59">
        <f t="shared" si="88"/>
        <v>444.55874959426347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23.436170565540575</v>
      </c>
      <c r="AA132" s="21">
        <f>EXP(-LN(2)/25)*AA131+(1-EXP(-LN(2)/25))/(LN(2)/25)*Calculateur!V132*Calculateur!X132*VLOOKUP('Données projet'!$B$9,Paramètres!$A$1:$I$89,3,0)*0.475*44/12</f>
        <v>3.7804782245786095</v>
      </c>
      <c r="AB132" s="21">
        <f>EXP(-LN(2)/2)*AB131+(1-EXP(-LN(2)/2))/(LN(2)/2)*V132*Y132*VLOOKUP('Données projet'!$B$9,Paramètres!$A$1:$I$89,3,0)*0.475*44/12</f>
        <v>1.5177887450483294E-15</v>
      </c>
      <c r="AC132" s="22">
        <f t="shared" ref="AC132:AC153" si="111">SUM(Z132:AB132)</f>
        <v>27.216648790119184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366.00000000000028</v>
      </c>
      <c r="AJ132" s="13">
        <f>AI132*VLOOKUP('Données projet'!$B$10,Paramètres!$A$1:$I$89,3,0)*VLOOKUP('Données projet'!$B$10,Paramètres!$A$1:$I$89,5,0)</f>
        <v>228.38400000000016</v>
      </c>
      <c r="AK132" s="13">
        <f t="shared" si="89"/>
        <v>55.933121291087339</v>
      </c>
      <c r="AL132" s="20">
        <f t="shared" ref="AL132:AL153" si="112">(AJ132+AK132)*0.475*44/12</f>
        <v>495.18565291531075</v>
      </c>
      <c r="AM132" s="59">
        <f t="shared" ref="AM132:AM195" si="113">AL132+(AD132+AE132)*44/12</f>
        <v>788.51898624864407</v>
      </c>
      <c r="AN132" s="59">
        <f ca="1">AVERAGE(OFFSET($AM$3,0,0,'Données projet'!$E$10+1,1))-AVERAGE(OFFSET($H$3,0,0,'Données projet'!$E$10+1,1))</f>
        <v>282.98219518929034</v>
      </c>
      <c r="AO132" s="59">
        <f t="shared" si="90"/>
        <v>205.95652510682322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31.806733959332565</v>
      </c>
      <c r="AV132" s="21">
        <f>EXP(-LN(2)/25)*AV131+(1-EXP(-LN(2)/25))/(LN(2)/25)*Calculateur!AQ132*Calculateur!AS132*VLOOKUP('Données projet'!$B$10,Paramètres!$A$1:$I$89,3,0)*0.475*44/12</f>
        <v>6.8522435851847225</v>
      </c>
      <c r="AW132" s="21">
        <f>EXP(-LN(2)/2)*AW131+(1-EXP(-LN(2)/2))/(LN(2)/2)*AQ132*AT132*VLOOKUP('Données projet'!$B$10,Paramètres!$A$1:$I$89,3,0)*0.475*44/12</f>
        <v>1.2629274169775363E-14</v>
      </c>
      <c r="AX132" s="21">
        <f t="shared" ref="AX132:AX153" si="114">SUM(AU132:AW132)</f>
        <v>38.658977544517299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295.99999999999977</v>
      </c>
      <c r="BE132" s="13">
        <f>BD132*VLOOKUP('Données projet'!$B$11,Paramètres!$A$1:$I$89,3,0)*VLOOKUP('Données projet'!$B$11,Paramètres!$A$1:$I$89,5,0)</f>
        <v>240.11519999999982</v>
      </c>
      <c r="BF132" s="13">
        <f t="shared" si="91"/>
        <v>58.464315631105265</v>
      </c>
      <c r="BG132" s="20">
        <f t="shared" ref="BG132:BG153" si="115">(BE132+BF132)*0.475*44/12</f>
        <v>520.02598972417468</v>
      </c>
      <c r="BH132" s="59">
        <f t="shared" ref="BH132:BH195" si="116">BG132+(AY132+AZ132)*44/12</f>
        <v>813.35932305750794</v>
      </c>
      <c r="BI132" s="59">
        <f ca="1">AVERAGE(OFFSET($BH$3,0,0,'Données projet'!$E$11+1,1))-AVERAGE(OFFSET($H$3,0,0,'Données projet'!$E$11+1,1))</f>
        <v>293.14894570672351</v>
      </c>
      <c r="BJ132" s="59">
        <f t="shared" si="92"/>
        <v>252.47559879720762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17.413680481484821</v>
      </c>
      <c r="BQ132" s="21">
        <f>EXP(-LN(2)/25)*BQ131+(1-EXP(-LN(2)/25))/(LN(2)/25)*Calculateur!BL132*Calculateur!BN132*VLOOKUP('Données projet'!$B$11,Paramètres!$A$1:$I$89,3,0)*0.475*44/12</f>
        <v>2.0088428444817552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19.422523325966576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607.99999999999977</v>
      </c>
      <c r="O133" s="13">
        <f>N133*VLOOKUP('Données projet'!$B$9,Paramètres!$A$1:$I$89,3,0)*VLOOKUP('Données projet'!$B$9,Paramètres!$A$1:$I$89,5,0)</f>
        <v>339.87199999999984</v>
      </c>
      <c r="P133" s="13">
        <f t="shared" ref="P133:P196" si="141">EXP(-1.0587+0.8836*LN(O133)+0.284)</f>
        <v>79.473500231862786</v>
      </c>
      <c r="Q133" s="20">
        <f t="shared" si="108"/>
        <v>730.36007957049412</v>
      </c>
      <c r="R133" s="59">
        <f t="shared" si="109"/>
        <v>1023.6934129038275</v>
      </c>
      <c r="S133" s="59">
        <f ca="1">AVERAGE(OFFSET($R$3,0,0,'Données projet'!$E$9+1,1))-AVERAGE(OFFSET($H$3,0,0,'Données projet'!$E$9+1,1))</f>
        <v>381.58561971183832</v>
      </c>
      <c r="T133" s="59">
        <f t="shared" ref="T133:T196" si="142">$T$3</f>
        <v>444.55874959426347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22.97660155540289</v>
      </c>
      <c r="AA133" s="21">
        <f>EXP(-LN(2)/25)*AA132+(1-EXP(-LN(2)/25))/(LN(2)/25)*Calculateur!V133*Calculateur!X133*VLOOKUP('Données projet'!$B$9,Paramètres!$A$1:$I$89,3,0)*0.475*44/12</f>
        <v>3.6771008487207979</v>
      </c>
      <c r="AB133" s="21">
        <f>EXP(-LN(2)/2)*AB132+(1-EXP(-LN(2)/2))/(LN(2)/2)*V133*Y133*VLOOKUP('Données projet'!$B$9,Paramètres!$A$1:$I$89,3,0)*0.475*44/12</f>
        <v>1.0732387140322936E-15</v>
      </c>
      <c r="AC133" s="22">
        <f t="shared" si="111"/>
        <v>26.653702404123688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366.00000000000028</v>
      </c>
      <c r="AJ133" s="13">
        <f>AI133*VLOOKUP('Données projet'!$B$10,Paramètres!$A$1:$I$89,3,0)*VLOOKUP('Données projet'!$B$10,Paramètres!$A$1:$I$89,5,0)</f>
        <v>228.38400000000016</v>
      </c>
      <c r="AK133" s="13">
        <f t="shared" ref="AK133:AK153" si="143">EXP(-1.0587+0.8836*LN(AJ133)+0.284)</f>
        <v>55.933121291087339</v>
      </c>
      <c r="AL133" s="20">
        <f t="shared" si="112"/>
        <v>495.18565291531075</v>
      </c>
      <c r="AM133" s="59">
        <f t="shared" si="113"/>
        <v>788.51898624864407</v>
      </c>
      <c r="AN133" s="59">
        <f ca="1">AVERAGE(OFFSET($AM$3,0,0,'Données projet'!$E$10+1,1))-AVERAGE(OFFSET($H$3,0,0,'Données projet'!$E$10+1,1))</f>
        <v>282.98219518929034</v>
      </c>
      <c r="AO133" s="59">
        <f t="shared" ref="AO133:AO196" si="144">$AO$3</f>
        <v>205.95652510682322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31.183023306582157</v>
      </c>
      <c r="AV133" s="21">
        <f>EXP(-LN(2)/25)*AV132+(1-EXP(-LN(2)/25))/(LN(2)/25)*Calculateur!AQ133*Calculateur!AS133*VLOOKUP('Données projet'!$B$10,Paramètres!$A$1:$I$89,3,0)*0.475*44/12</f>
        <v>6.6648686240040176</v>
      </c>
      <c r="AW133" s="21">
        <f>EXP(-LN(2)/2)*AW132+(1-EXP(-LN(2)/2))/(LN(2)/2)*AQ133*AT133*VLOOKUP('Données projet'!$B$10,Paramètres!$A$1:$I$89,3,0)*0.475*44/12</f>
        <v>8.9302454069122639E-15</v>
      </c>
      <c r="AX133" s="21">
        <f t="shared" si="114"/>
        <v>37.847891930586179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295.99999999999977</v>
      </c>
      <c r="BE133" s="13">
        <f>BD133*VLOOKUP('Données projet'!$B$11,Paramètres!$A$1:$I$89,3,0)*VLOOKUP('Données projet'!$B$11,Paramètres!$A$1:$I$89,5,0)</f>
        <v>240.11519999999982</v>
      </c>
      <c r="BF133" s="13">
        <f t="shared" ref="BF133:BF153" si="145">EXP(-1.0587+0.8836*LN(BE133)+0.284)</f>
        <v>58.464315631105265</v>
      </c>
      <c r="BG133" s="20">
        <f t="shared" si="115"/>
        <v>520.02598972417468</v>
      </c>
      <c r="BH133" s="59">
        <f t="shared" si="116"/>
        <v>813.35932305750794</v>
      </c>
      <c r="BI133" s="59">
        <f ca="1">AVERAGE(OFFSET($BH$3,0,0,'Données projet'!$E$11+1,1))-AVERAGE(OFFSET($H$3,0,0,'Données projet'!$E$11+1,1))</f>
        <v>293.14894570672351</v>
      </c>
      <c r="BJ133" s="59">
        <f t="shared" ref="BJ133:BJ196" si="146">$BJ$3</f>
        <v>252.47559879720762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17.072208828539232</v>
      </c>
      <c r="BQ133" s="21">
        <f>EXP(-LN(2)/25)*BQ132+(1-EXP(-LN(2)/25))/(LN(2)/25)*Calculateur!BL133*Calculateur!BN133*VLOOKUP('Données projet'!$B$11,Paramètres!$A$1:$I$89,3,0)*0.475*44/12</f>
        <v>1.9539109312589478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19.026119759798178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607.99999999999977</v>
      </c>
      <c r="O134" s="13">
        <f>N134*VLOOKUP('Données projet'!$B$9,Paramètres!$A$1:$I$89,3,0)*VLOOKUP('Données projet'!$B$9,Paramètres!$A$1:$I$89,5,0)</f>
        <v>339.87199999999984</v>
      </c>
      <c r="P134" s="13">
        <f t="shared" si="141"/>
        <v>79.473500231862786</v>
      </c>
      <c r="Q134" s="20">
        <f t="shared" si="108"/>
        <v>730.36007957049412</v>
      </c>
      <c r="R134" s="59">
        <f t="shared" si="109"/>
        <v>1023.6934129038275</v>
      </c>
      <c r="S134" s="59">
        <f ca="1">AVERAGE(OFFSET($R$3,0,0,'Données projet'!$E$9+1,1))-AVERAGE(OFFSET($H$3,0,0,'Données projet'!$E$9+1,1))</f>
        <v>381.58561971183832</v>
      </c>
      <c r="T134" s="59">
        <f t="shared" si="142"/>
        <v>444.55874959426347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22.526044413244588</v>
      </c>
      <c r="AA134" s="21">
        <f>EXP(-LN(2)/25)*AA133+(1-EXP(-LN(2)/25))/(LN(2)/25)*Calculateur!V134*Calculateur!X134*VLOOKUP('Données projet'!$B$9,Paramètres!$A$1:$I$89,3,0)*0.475*44/12</f>
        <v>3.5765503326421983</v>
      </c>
      <c r="AB134" s="21">
        <f>EXP(-LN(2)/2)*AB133+(1-EXP(-LN(2)/2))/(LN(2)/2)*V134*Y134*VLOOKUP('Données projet'!$B$9,Paramètres!$A$1:$I$89,3,0)*0.475*44/12</f>
        <v>7.5889437252416468E-16</v>
      </c>
      <c r="AC134" s="22">
        <f t="shared" si="111"/>
        <v>26.102594745886787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366.00000000000028</v>
      </c>
      <c r="AJ134" s="13">
        <f>AI134*VLOOKUP('Données projet'!$B$10,Paramètres!$A$1:$I$89,3,0)*VLOOKUP('Données projet'!$B$10,Paramètres!$A$1:$I$89,5,0)</f>
        <v>228.38400000000016</v>
      </c>
      <c r="AK134" s="13">
        <f t="shared" si="143"/>
        <v>55.933121291087339</v>
      </c>
      <c r="AL134" s="20">
        <f t="shared" si="112"/>
        <v>495.18565291531075</v>
      </c>
      <c r="AM134" s="59">
        <f t="shared" si="113"/>
        <v>788.51898624864407</v>
      </c>
      <c r="AN134" s="59">
        <f ca="1">AVERAGE(OFFSET($AM$3,0,0,'Données projet'!$E$10+1,1))-AVERAGE(OFFSET($H$3,0,0,'Données projet'!$E$10+1,1))</f>
        <v>282.98219518929034</v>
      </c>
      <c r="AO134" s="59">
        <f t="shared" si="144"/>
        <v>205.95652510682322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30.571543239306251</v>
      </c>
      <c r="AV134" s="21">
        <f>EXP(-LN(2)/25)*AV133+(1-EXP(-LN(2)/25))/(LN(2)/25)*Calculateur!AQ134*Calculateur!AS134*VLOOKUP('Données projet'!$B$10,Paramètres!$A$1:$I$89,3,0)*0.475*44/12</f>
        <v>6.4826174409904196</v>
      </c>
      <c r="AW134" s="21">
        <f>EXP(-LN(2)/2)*AW133+(1-EXP(-LN(2)/2))/(LN(2)/2)*AQ134*AT134*VLOOKUP('Données projet'!$B$10,Paramètres!$A$1:$I$89,3,0)*0.475*44/12</f>
        <v>6.3146370848876813E-15</v>
      </c>
      <c r="AX134" s="21">
        <f t="shared" si="114"/>
        <v>37.054160680296675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295.99999999999977</v>
      </c>
      <c r="BE134" s="13">
        <f>BD134*VLOOKUP('Données projet'!$B$11,Paramètres!$A$1:$I$89,3,0)*VLOOKUP('Données projet'!$B$11,Paramètres!$A$1:$I$89,5,0)</f>
        <v>240.11519999999982</v>
      </c>
      <c r="BF134" s="13">
        <f t="shared" si="145"/>
        <v>58.464315631105265</v>
      </c>
      <c r="BG134" s="20">
        <f t="shared" si="115"/>
        <v>520.02598972417468</v>
      </c>
      <c r="BH134" s="59">
        <f t="shared" si="116"/>
        <v>813.35932305750794</v>
      </c>
      <c r="BI134" s="59">
        <f ca="1">AVERAGE(OFFSET($BH$3,0,0,'Données projet'!$E$11+1,1))-AVERAGE(OFFSET($H$3,0,0,'Données projet'!$E$11+1,1))</f>
        <v>293.14894570672351</v>
      </c>
      <c r="BJ134" s="59">
        <f t="shared" si="146"/>
        <v>252.47559879720762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16.737433226430763</v>
      </c>
      <c r="BQ134" s="21">
        <f>EXP(-LN(2)/25)*BQ133+(1-EXP(-LN(2)/25))/(LN(2)/25)*Calculateur!BL134*Calculateur!BN134*VLOOKUP('Données projet'!$B$11,Paramètres!$A$1:$I$89,3,0)*0.475*44/12</f>
        <v>1.9004811340919616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18.637914360522725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607.99999999999977</v>
      </c>
      <c r="O135" s="13">
        <f>N135*VLOOKUP('Données projet'!$B$9,Paramètres!$A$1:$I$89,3,0)*VLOOKUP('Données projet'!$B$9,Paramètres!$A$1:$I$89,5,0)</f>
        <v>339.87199999999984</v>
      </c>
      <c r="P135" s="13">
        <f t="shared" si="141"/>
        <v>79.473500231862786</v>
      </c>
      <c r="Q135" s="20">
        <f t="shared" si="108"/>
        <v>730.36007957049412</v>
      </c>
      <c r="R135" s="59">
        <f t="shared" si="109"/>
        <v>1023.6934129038275</v>
      </c>
      <c r="S135" s="59">
        <f ca="1">AVERAGE(OFFSET($R$3,0,0,'Données projet'!$E$9+1,1))-AVERAGE(OFFSET($H$3,0,0,'Données projet'!$E$9+1,1))</f>
        <v>381.58561971183832</v>
      </c>
      <c r="T135" s="59">
        <f t="shared" si="142"/>
        <v>444.55874959426347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22.084322421831288</v>
      </c>
      <c r="AA135" s="21">
        <f>EXP(-LN(2)/25)*AA134+(1-EXP(-LN(2)/25))/(LN(2)/25)*Calculateur!V135*Calculateur!X135*VLOOKUP('Données projet'!$B$9,Paramètres!$A$1:$I$89,3,0)*0.475*44/12</f>
        <v>3.4787493757134897</v>
      </c>
      <c r="AB135" s="21">
        <f>EXP(-LN(2)/2)*AB134+(1-EXP(-LN(2)/2))/(LN(2)/2)*V135*Y135*VLOOKUP('Données projet'!$B$9,Paramètres!$A$1:$I$89,3,0)*0.475*44/12</f>
        <v>5.3661935701614679E-16</v>
      </c>
      <c r="AC135" s="22">
        <f t="shared" si="111"/>
        <v>25.563071797544779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366.00000000000028</v>
      </c>
      <c r="AJ135" s="13">
        <f>AI135*VLOOKUP('Données projet'!$B$10,Paramètres!$A$1:$I$89,3,0)*VLOOKUP('Données projet'!$B$10,Paramètres!$A$1:$I$89,5,0)</f>
        <v>228.38400000000016</v>
      </c>
      <c r="AK135" s="13">
        <f t="shared" si="143"/>
        <v>55.933121291087339</v>
      </c>
      <c r="AL135" s="20">
        <f t="shared" si="112"/>
        <v>495.18565291531075</v>
      </c>
      <c r="AM135" s="59">
        <f t="shared" si="113"/>
        <v>788.51898624864407</v>
      </c>
      <c r="AN135" s="59">
        <f ca="1">AVERAGE(OFFSET($AM$3,0,0,'Données projet'!$E$10+1,1))-AVERAGE(OFFSET($H$3,0,0,'Données projet'!$E$10+1,1))</f>
        <v>282.98219518929034</v>
      </c>
      <c r="AO135" s="59">
        <f t="shared" si="144"/>
        <v>205.95652510682322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29.972053923183612</v>
      </c>
      <c r="AV135" s="21">
        <f>EXP(-LN(2)/25)*AV134+(1-EXP(-LN(2)/25))/(LN(2)/25)*Calculateur!AQ135*Calculateur!AS135*VLOOKUP('Données projet'!$B$10,Paramètres!$A$1:$I$89,3,0)*0.475*44/12</f>
        <v>6.3053499261605017</v>
      </c>
      <c r="AW135" s="21">
        <f>EXP(-LN(2)/2)*AW134+(1-EXP(-LN(2)/2))/(LN(2)/2)*AQ135*AT135*VLOOKUP('Données projet'!$B$10,Paramètres!$A$1:$I$89,3,0)*0.475*44/12</f>
        <v>4.4651227034561319E-15</v>
      </c>
      <c r="AX135" s="21">
        <f t="shared" si="114"/>
        <v>36.277403849344118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295.99999999999977</v>
      </c>
      <c r="BE135" s="13">
        <f>BD135*VLOOKUP('Données projet'!$B$11,Paramètres!$A$1:$I$89,3,0)*VLOOKUP('Données projet'!$B$11,Paramètres!$A$1:$I$89,5,0)</f>
        <v>240.11519999999982</v>
      </c>
      <c r="BF135" s="13">
        <f t="shared" si="145"/>
        <v>58.464315631105265</v>
      </c>
      <c r="BG135" s="20">
        <f t="shared" si="115"/>
        <v>520.02598972417468</v>
      </c>
      <c r="BH135" s="59">
        <f t="shared" si="116"/>
        <v>813.35932305750794</v>
      </c>
      <c r="BI135" s="59">
        <f ca="1">AVERAGE(OFFSET($BH$3,0,0,'Données projet'!$E$11+1,1))-AVERAGE(OFFSET($H$3,0,0,'Données projet'!$E$11+1,1))</f>
        <v>293.14894570672351</v>
      </c>
      <c r="BJ135" s="59">
        <f t="shared" si="146"/>
        <v>252.47559879720762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16.409222369686685</v>
      </c>
      <c r="BQ135" s="21">
        <f>EXP(-LN(2)/25)*BQ134+(1-EXP(-LN(2)/25))/(LN(2)/25)*Calculateur!BL135*Calculateur!BN135*VLOOKUP('Données projet'!$B$11,Paramètres!$A$1:$I$89,3,0)*0.475*44/12</f>
        <v>1.8485123775382577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18.257734747224941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607.99999999999977</v>
      </c>
      <c r="O136" s="13">
        <f>N136*VLOOKUP('Données projet'!$B$9,Paramètres!$A$1:$I$89,3,0)*VLOOKUP('Données projet'!$B$9,Paramètres!$A$1:$I$89,5,0)</f>
        <v>339.87199999999984</v>
      </c>
      <c r="P136" s="13">
        <f t="shared" si="141"/>
        <v>79.473500231862786</v>
      </c>
      <c r="Q136" s="20">
        <f t="shared" si="108"/>
        <v>730.36007957049412</v>
      </c>
      <c r="R136" s="59">
        <f t="shared" si="109"/>
        <v>1023.6934129038275</v>
      </c>
      <c r="S136" s="59">
        <f ca="1">AVERAGE(OFFSET($R$3,0,0,'Données projet'!$E$9+1,1))-AVERAGE(OFFSET($H$3,0,0,'Données projet'!$E$9+1,1))</f>
        <v>381.58561971183832</v>
      </c>
      <c r="T136" s="59">
        <f t="shared" si="142"/>
        <v>444.55874959426347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21.651262329245792</v>
      </c>
      <c r="AA136" s="21">
        <f>EXP(-LN(2)/25)*AA135+(1-EXP(-LN(2)/25))/(LN(2)/25)*Calculateur!V136*Calculateur!X136*VLOOKUP('Données projet'!$B$9,Paramètres!$A$1:$I$89,3,0)*0.475*44/12</f>
        <v>3.3836227910951253</v>
      </c>
      <c r="AB136" s="21">
        <f>EXP(-LN(2)/2)*AB135+(1-EXP(-LN(2)/2))/(LN(2)/2)*V136*Y136*VLOOKUP('Données projet'!$B$9,Paramètres!$A$1:$I$89,3,0)*0.475*44/12</f>
        <v>3.7944718626208234E-16</v>
      </c>
      <c r="AC136" s="22">
        <f t="shared" si="111"/>
        <v>25.034885120340917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366.00000000000028</v>
      </c>
      <c r="AJ136" s="13">
        <f>AI136*VLOOKUP('Données projet'!$B$10,Paramètres!$A$1:$I$89,3,0)*VLOOKUP('Données projet'!$B$10,Paramètres!$A$1:$I$89,5,0)</f>
        <v>228.38400000000016</v>
      </c>
      <c r="AK136" s="13">
        <f t="shared" si="143"/>
        <v>55.933121291087339</v>
      </c>
      <c r="AL136" s="20">
        <f t="shared" si="112"/>
        <v>495.18565291531075</v>
      </c>
      <c r="AM136" s="59">
        <f t="shared" si="113"/>
        <v>788.51898624864407</v>
      </c>
      <c r="AN136" s="59">
        <f ca="1">AVERAGE(OFFSET($AM$3,0,0,'Données projet'!$E$10+1,1))-AVERAGE(OFFSET($H$3,0,0,'Données projet'!$E$10+1,1))</f>
        <v>282.98219518929034</v>
      </c>
      <c r="AO136" s="59">
        <f t="shared" si="144"/>
        <v>205.95652510682322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29.38432022689776</v>
      </c>
      <c r="AV136" s="21">
        <f>EXP(-LN(2)/25)*AV135+(1-EXP(-LN(2)/25))/(LN(2)/25)*Calculateur!AQ136*Calculateur!AS136*VLOOKUP('Données projet'!$B$10,Paramètres!$A$1:$I$89,3,0)*0.475*44/12</f>
        <v>6.1329298008457016</v>
      </c>
      <c r="AW136" s="21">
        <f>EXP(-LN(2)/2)*AW135+(1-EXP(-LN(2)/2))/(LN(2)/2)*AQ136*AT136*VLOOKUP('Données projet'!$B$10,Paramètres!$A$1:$I$89,3,0)*0.475*44/12</f>
        <v>3.1573185424438407E-15</v>
      </c>
      <c r="AX136" s="21">
        <f t="shared" si="114"/>
        <v>35.517250027743458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295.99999999999977</v>
      </c>
      <c r="BE136" s="13">
        <f>BD136*VLOOKUP('Données projet'!$B$11,Paramètres!$A$1:$I$89,3,0)*VLOOKUP('Données projet'!$B$11,Paramètres!$A$1:$I$89,5,0)</f>
        <v>240.11519999999982</v>
      </c>
      <c r="BF136" s="13">
        <f t="shared" si="145"/>
        <v>58.464315631105265</v>
      </c>
      <c r="BG136" s="20">
        <f t="shared" si="115"/>
        <v>520.02598972417468</v>
      </c>
      <c r="BH136" s="59">
        <f t="shared" si="116"/>
        <v>813.35932305750794</v>
      </c>
      <c r="BI136" s="59">
        <f ca="1">AVERAGE(OFFSET($BH$3,0,0,'Données projet'!$E$11+1,1))-AVERAGE(OFFSET($H$3,0,0,'Données projet'!$E$11+1,1))</f>
        <v>293.14894570672351</v>
      </c>
      <c r="BJ136" s="59">
        <f t="shared" si="146"/>
        <v>252.47559879720762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16.087447527654504</v>
      </c>
      <c r="BQ136" s="21">
        <f>EXP(-LN(2)/25)*BQ135+(1-EXP(-LN(2)/25))/(LN(2)/25)*Calculateur!BL136*Calculateur!BN136*VLOOKUP('Données projet'!$B$11,Paramètres!$A$1:$I$89,3,0)*0.475*44/12</f>
        <v>1.797964709365433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17.885412237019938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607.99999999999977</v>
      </c>
      <c r="O137" s="13">
        <f>N137*VLOOKUP('Données projet'!$B$9,Paramètres!$A$1:$I$89,3,0)*VLOOKUP('Données projet'!$B$9,Paramètres!$A$1:$I$89,5,0)</f>
        <v>339.87199999999984</v>
      </c>
      <c r="P137" s="13">
        <f t="shared" si="141"/>
        <v>79.473500231862786</v>
      </c>
      <c r="Q137" s="20">
        <f t="shared" si="108"/>
        <v>730.36007957049412</v>
      </c>
      <c r="R137" s="59">
        <f t="shared" si="109"/>
        <v>1023.6934129038275</v>
      </c>
      <c r="S137" s="59">
        <f ca="1">AVERAGE(OFFSET($R$3,0,0,'Données projet'!$E$9+1,1))-AVERAGE(OFFSET($H$3,0,0,'Données projet'!$E$9+1,1))</f>
        <v>381.58561971183832</v>
      </c>
      <c r="T137" s="59">
        <f t="shared" si="142"/>
        <v>444.55874959426347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21.226694280935323</v>
      </c>
      <c r="AA137" s="21">
        <f>EXP(-LN(2)/25)*AA136+(1-EXP(-LN(2)/25))/(LN(2)/25)*Calculateur!V137*Calculateur!X137*VLOOKUP('Données projet'!$B$9,Paramètres!$A$1:$I$89,3,0)*0.475*44/12</f>
        <v>3.2910974479356399</v>
      </c>
      <c r="AB137" s="21">
        <f>EXP(-LN(2)/2)*AB136+(1-EXP(-LN(2)/2))/(LN(2)/2)*V137*Y137*VLOOKUP('Données projet'!$B$9,Paramètres!$A$1:$I$89,3,0)*0.475*44/12</f>
        <v>2.6830967850807339E-16</v>
      </c>
      <c r="AC137" s="22">
        <f t="shared" si="111"/>
        <v>24.517791728870964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366.00000000000028</v>
      </c>
      <c r="AJ137" s="13">
        <f>AI137*VLOOKUP('Données projet'!$B$10,Paramètres!$A$1:$I$89,3,0)*VLOOKUP('Données projet'!$B$10,Paramètres!$A$1:$I$89,5,0)</f>
        <v>228.38400000000016</v>
      </c>
      <c r="AK137" s="13">
        <f t="shared" si="143"/>
        <v>55.933121291087339</v>
      </c>
      <c r="AL137" s="20">
        <f t="shared" si="112"/>
        <v>495.18565291531075</v>
      </c>
      <c r="AM137" s="59">
        <f t="shared" si="113"/>
        <v>788.51898624864407</v>
      </c>
      <c r="AN137" s="59">
        <f ca="1">AVERAGE(OFFSET($AM$3,0,0,'Données projet'!$E$10+1,1))-AVERAGE(OFFSET($H$3,0,0,'Données projet'!$E$10+1,1))</f>
        <v>282.98219518929034</v>
      </c>
      <c r="AO137" s="59">
        <f t="shared" si="144"/>
        <v>205.95652510682322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28.808111629913917</v>
      </c>
      <c r="AV137" s="21">
        <f>EXP(-LN(2)/25)*AV136+(1-EXP(-LN(2)/25))/(LN(2)/25)*Calculateur!AQ137*Calculateur!AS137*VLOOKUP('Données projet'!$B$10,Paramètres!$A$1:$I$89,3,0)*0.475*44/12</f>
        <v>5.9652245129248147</v>
      </c>
      <c r="AW137" s="21">
        <f>EXP(-LN(2)/2)*AW136+(1-EXP(-LN(2)/2))/(LN(2)/2)*AQ137*AT137*VLOOKUP('Données projet'!$B$10,Paramètres!$A$1:$I$89,3,0)*0.475*44/12</f>
        <v>2.232561351728066E-15</v>
      </c>
      <c r="AX137" s="21">
        <f t="shared" si="114"/>
        <v>34.77333614283873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295.99999999999977</v>
      </c>
      <c r="BE137" s="13">
        <f>BD137*VLOOKUP('Données projet'!$B$11,Paramètres!$A$1:$I$89,3,0)*VLOOKUP('Données projet'!$B$11,Paramètres!$A$1:$I$89,5,0)</f>
        <v>240.11519999999982</v>
      </c>
      <c r="BF137" s="13">
        <f t="shared" si="145"/>
        <v>58.464315631105265</v>
      </c>
      <c r="BG137" s="20">
        <f t="shared" si="115"/>
        <v>520.02598972417468</v>
      </c>
      <c r="BH137" s="59">
        <f t="shared" si="116"/>
        <v>813.35932305750794</v>
      </c>
      <c r="BI137" s="59">
        <f ca="1">AVERAGE(OFFSET($BH$3,0,0,'Données projet'!$E$11+1,1))-AVERAGE(OFFSET($H$3,0,0,'Données projet'!$E$11+1,1))</f>
        <v>293.14894570672351</v>
      </c>
      <c r="BJ137" s="59">
        <f t="shared" si="146"/>
        <v>252.47559879720762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15.771982494011299</v>
      </c>
      <c r="BQ137" s="21">
        <f>EXP(-LN(2)/25)*BQ136+(1-EXP(-LN(2)/25))/(LN(2)/25)*Calculateur!BL137*Calculateur!BN137*VLOOKUP('Données projet'!$B$11,Paramètres!$A$1:$I$89,3,0)*0.475*44/12</f>
        <v>1.7487992698369805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17.52078176384828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607.99999999999977</v>
      </c>
      <c r="O138" s="13">
        <f>N138*VLOOKUP('Données projet'!$B$9,Paramètres!$A$1:$I$89,3,0)*VLOOKUP('Données projet'!$B$9,Paramètres!$A$1:$I$89,5,0)</f>
        <v>339.87199999999984</v>
      </c>
      <c r="P138" s="13">
        <f t="shared" si="141"/>
        <v>79.473500231862786</v>
      </c>
      <c r="Q138" s="20">
        <f t="shared" si="108"/>
        <v>730.36007957049412</v>
      </c>
      <c r="R138" s="59">
        <f t="shared" si="109"/>
        <v>1023.6934129038275</v>
      </c>
      <c r="S138" s="59">
        <f ca="1">AVERAGE(OFFSET($R$3,0,0,'Données projet'!$E$9+1,1))-AVERAGE(OFFSET($H$3,0,0,'Données projet'!$E$9+1,1))</f>
        <v>381.58561971183832</v>
      </c>
      <c r="T138" s="59">
        <f t="shared" si="142"/>
        <v>444.55874959426347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20.810451753091282</v>
      </c>
      <c r="AA138" s="21">
        <f>EXP(-LN(2)/25)*AA137+(1-EXP(-LN(2)/25))/(LN(2)/25)*Calculateur!V138*Calculateur!X138*VLOOKUP('Données projet'!$B$9,Paramètres!$A$1:$I$89,3,0)*0.475*44/12</f>
        <v>3.2011022151505468</v>
      </c>
      <c r="AB138" s="21">
        <f>EXP(-LN(2)/2)*AB137+(1-EXP(-LN(2)/2))/(LN(2)/2)*V138*Y138*VLOOKUP('Données projet'!$B$9,Paramètres!$A$1:$I$89,3,0)*0.475*44/12</f>
        <v>1.8972359313104117E-16</v>
      </c>
      <c r="AC138" s="22">
        <f t="shared" si="111"/>
        <v>24.011553968241827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366.00000000000028</v>
      </c>
      <c r="AJ138" s="13">
        <f>AI138*VLOOKUP('Données projet'!$B$10,Paramètres!$A$1:$I$89,3,0)*VLOOKUP('Données projet'!$B$10,Paramètres!$A$1:$I$89,5,0)</f>
        <v>228.38400000000016</v>
      </c>
      <c r="AK138" s="13">
        <f t="shared" si="143"/>
        <v>55.933121291087339</v>
      </c>
      <c r="AL138" s="20">
        <f t="shared" si="112"/>
        <v>495.18565291531075</v>
      </c>
      <c r="AM138" s="59">
        <f t="shared" si="113"/>
        <v>788.51898624864407</v>
      </c>
      <c r="AN138" s="59">
        <f ca="1">AVERAGE(OFFSET($AM$3,0,0,'Données projet'!$E$10+1,1))-AVERAGE(OFFSET($H$3,0,0,'Données projet'!$E$10+1,1))</f>
        <v>282.98219518929034</v>
      </c>
      <c r="AO138" s="59">
        <f t="shared" si="144"/>
        <v>205.95652510682322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28.243202132064386</v>
      </c>
      <c r="AV138" s="21">
        <f>EXP(-LN(2)/25)*AV137+(1-EXP(-LN(2)/25))/(LN(2)/25)*Calculateur!AQ138*Calculateur!AS138*VLOOKUP('Données projet'!$B$10,Paramètres!$A$1:$I$89,3,0)*0.475*44/12</f>
        <v>5.8021051349213622</v>
      </c>
      <c r="AW138" s="21">
        <f>EXP(-LN(2)/2)*AW137+(1-EXP(-LN(2)/2))/(LN(2)/2)*AQ138*AT138*VLOOKUP('Données projet'!$B$10,Paramètres!$A$1:$I$89,3,0)*0.475*44/12</f>
        <v>1.5786592712219203E-15</v>
      </c>
      <c r="AX138" s="21">
        <f t="shared" si="114"/>
        <v>34.045307266985745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295.99999999999977</v>
      </c>
      <c r="BE138" s="13">
        <f>BD138*VLOOKUP('Données projet'!$B$11,Paramètres!$A$1:$I$89,3,0)*VLOOKUP('Données projet'!$B$11,Paramètres!$A$1:$I$89,5,0)</f>
        <v>240.11519999999982</v>
      </c>
      <c r="BF138" s="13">
        <f t="shared" si="145"/>
        <v>58.464315631105265</v>
      </c>
      <c r="BG138" s="20">
        <f t="shared" si="115"/>
        <v>520.02598972417468</v>
      </c>
      <c r="BH138" s="59">
        <f t="shared" si="116"/>
        <v>813.35932305750794</v>
      </c>
      <c r="BI138" s="59">
        <f ca="1">AVERAGE(OFFSET($BH$3,0,0,'Données projet'!$E$11+1,1))-AVERAGE(OFFSET($H$3,0,0,'Données projet'!$E$11+1,1))</f>
        <v>293.14894570672351</v>
      </c>
      <c r="BJ138" s="59">
        <f t="shared" si="146"/>
        <v>252.47559879720762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15.462703537263167</v>
      </c>
      <c r="BQ138" s="21">
        <f>EXP(-LN(2)/25)*BQ137+(1-EXP(-LN(2)/25))/(LN(2)/25)*Calculateur!BL138*Calculateur!BN138*VLOOKUP('Données projet'!$B$11,Paramètres!$A$1:$I$89,3,0)*0.475*44/12</f>
        <v>1.7009782618379317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17.163681799101099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607.99999999999977</v>
      </c>
      <c r="O139" s="13">
        <f>N139*VLOOKUP('Données projet'!$B$9,Paramètres!$A$1:$I$89,3,0)*VLOOKUP('Données projet'!$B$9,Paramètres!$A$1:$I$89,5,0)</f>
        <v>339.87199999999984</v>
      </c>
      <c r="P139" s="13">
        <f t="shared" si="141"/>
        <v>79.473500231862786</v>
      </c>
      <c r="Q139" s="20">
        <f t="shared" si="108"/>
        <v>730.36007957049412</v>
      </c>
      <c r="R139" s="59">
        <f t="shared" si="109"/>
        <v>1023.6934129038275</v>
      </c>
      <c r="S139" s="59">
        <f ca="1">AVERAGE(OFFSET($R$3,0,0,'Données projet'!$E$9+1,1))-AVERAGE(OFFSET($H$3,0,0,'Données projet'!$E$9+1,1))</f>
        <v>381.58561971183832</v>
      </c>
      <c r="T139" s="59">
        <f t="shared" si="142"/>
        <v>444.55874959426347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20.40237148733539</v>
      </c>
      <c r="AA139" s="21">
        <f>EXP(-LN(2)/25)*AA138+(1-EXP(-LN(2)/25))/(LN(2)/25)*Calculateur!V139*Calculateur!X139*VLOOKUP('Données projet'!$B$9,Paramètres!$A$1:$I$89,3,0)*0.475*44/12</f>
        <v>3.1135679067386057</v>
      </c>
      <c r="AB139" s="21">
        <f>EXP(-LN(2)/2)*AB138+(1-EXP(-LN(2)/2))/(LN(2)/2)*V139*Y139*VLOOKUP('Données projet'!$B$9,Paramètres!$A$1:$I$89,3,0)*0.475*44/12</f>
        <v>1.341548392540367E-16</v>
      </c>
      <c r="AC139" s="22">
        <f t="shared" si="111"/>
        <v>23.515939394073996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366.00000000000028</v>
      </c>
      <c r="AJ139" s="13">
        <f>AI139*VLOOKUP('Données projet'!$B$10,Paramètres!$A$1:$I$89,3,0)*VLOOKUP('Données projet'!$B$10,Paramètres!$A$1:$I$89,5,0)</f>
        <v>228.38400000000016</v>
      </c>
      <c r="AK139" s="13">
        <f t="shared" si="143"/>
        <v>55.933121291087339</v>
      </c>
      <c r="AL139" s="20">
        <f t="shared" si="112"/>
        <v>495.18565291531075</v>
      </c>
      <c r="AM139" s="59">
        <f t="shared" si="113"/>
        <v>788.51898624864407</v>
      </c>
      <c r="AN139" s="59">
        <f ca="1">AVERAGE(OFFSET($AM$3,0,0,'Données projet'!$E$10+1,1))-AVERAGE(OFFSET($H$3,0,0,'Données projet'!$E$10+1,1))</f>
        <v>282.98219518929034</v>
      </c>
      <c r="AO139" s="59">
        <f t="shared" si="144"/>
        <v>205.95652510682322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27.689370164906915</v>
      </c>
      <c r="AV139" s="21">
        <f>EXP(-LN(2)/25)*AV138+(1-EXP(-LN(2)/25))/(LN(2)/25)*Calculateur!AQ139*Calculateur!AS139*VLOOKUP('Données projet'!$B$10,Paramètres!$A$1:$I$89,3,0)*0.475*44/12</f>
        <v>5.6434462648874897</v>
      </c>
      <c r="AW139" s="21">
        <f>EXP(-LN(2)/2)*AW138+(1-EXP(-LN(2)/2))/(LN(2)/2)*AQ139*AT139*VLOOKUP('Données projet'!$B$10,Paramètres!$A$1:$I$89,3,0)*0.475*44/12</f>
        <v>1.116280675864033E-15</v>
      </c>
      <c r="AX139" s="21">
        <f t="shared" si="114"/>
        <v>33.332816429794406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295.99999999999977</v>
      </c>
      <c r="BE139" s="13">
        <f>BD139*VLOOKUP('Données projet'!$B$11,Paramètres!$A$1:$I$89,3,0)*VLOOKUP('Données projet'!$B$11,Paramètres!$A$1:$I$89,5,0)</f>
        <v>240.11519999999982</v>
      </c>
      <c r="BF139" s="13">
        <f t="shared" si="145"/>
        <v>58.464315631105265</v>
      </c>
      <c r="BG139" s="20">
        <f t="shared" si="115"/>
        <v>520.02598972417468</v>
      </c>
      <c r="BH139" s="59">
        <f t="shared" si="116"/>
        <v>813.35932305750794</v>
      </c>
      <c r="BI139" s="59">
        <f ca="1">AVERAGE(OFFSET($BH$3,0,0,'Données projet'!$E$11+1,1))-AVERAGE(OFFSET($H$3,0,0,'Données projet'!$E$11+1,1))</f>
        <v>293.14894570672351</v>
      </c>
      <c r="BJ139" s="59">
        <f t="shared" si="146"/>
        <v>252.47559879720762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15.159489352215328</v>
      </c>
      <c r="BQ139" s="21">
        <f>EXP(-LN(2)/25)*BQ138+(1-EXP(-LN(2)/25))/(LN(2)/25)*Calculateur!BL139*Calculateur!BN139*VLOOKUP('Données projet'!$B$11,Paramètres!$A$1:$I$89,3,0)*0.475*44/12</f>
        <v>1.6544649218174143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16.813954274032742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607.99999999999977</v>
      </c>
      <c r="O140" s="13">
        <f>N140*VLOOKUP('Données projet'!$B$9,Paramètres!$A$1:$I$89,3,0)*VLOOKUP('Données projet'!$B$9,Paramètres!$A$1:$I$89,5,0)</f>
        <v>339.87199999999984</v>
      </c>
      <c r="P140" s="13">
        <f t="shared" si="141"/>
        <v>79.473500231862786</v>
      </c>
      <c r="Q140" s="20">
        <f t="shared" si="108"/>
        <v>730.36007957049412</v>
      </c>
      <c r="R140" s="59">
        <f t="shared" si="109"/>
        <v>1023.6934129038275</v>
      </c>
      <c r="S140" s="59">
        <f ca="1">AVERAGE(OFFSET($R$3,0,0,'Données projet'!$E$9+1,1))-AVERAGE(OFFSET($H$3,0,0,'Données projet'!$E$9+1,1))</f>
        <v>381.58561971183832</v>
      </c>
      <c r="T140" s="59">
        <f t="shared" si="142"/>
        <v>444.55874959426347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20.002293426686585</v>
      </c>
      <c r="AA140" s="21">
        <f>EXP(-LN(2)/25)*AA139+(1-EXP(-LN(2)/25))/(LN(2)/25)*Calculateur!V140*Calculateur!X140*VLOOKUP('Données projet'!$B$9,Paramètres!$A$1:$I$89,3,0)*0.475*44/12</f>
        <v>3.0284272285934186</v>
      </c>
      <c r="AB140" s="21">
        <f>EXP(-LN(2)/2)*AB139+(1-EXP(-LN(2)/2))/(LN(2)/2)*V140*Y140*VLOOKUP('Données projet'!$B$9,Paramètres!$A$1:$I$89,3,0)*0.475*44/12</f>
        <v>9.4861796565520585E-17</v>
      </c>
      <c r="AC140" s="22">
        <f t="shared" si="111"/>
        <v>23.030720655280003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366.00000000000028</v>
      </c>
      <c r="AJ140" s="13">
        <f>AI140*VLOOKUP('Données projet'!$B$10,Paramètres!$A$1:$I$89,3,0)*VLOOKUP('Données projet'!$B$10,Paramètres!$A$1:$I$89,5,0)</f>
        <v>228.38400000000016</v>
      </c>
      <c r="AK140" s="13">
        <f t="shared" si="143"/>
        <v>55.933121291087339</v>
      </c>
      <c r="AL140" s="20">
        <f t="shared" si="112"/>
        <v>495.18565291531075</v>
      </c>
      <c r="AM140" s="59">
        <f t="shared" si="113"/>
        <v>788.51898624864407</v>
      </c>
      <c r="AN140" s="59">
        <f ca="1">AVERAGE(OFFSET($AM$3,0,0,'Données projet'!$E$10+1,1))-AVERAGE(OFFSET($H$3,0,0,'Données projet'!$E$10+1,1))</f>
        <v>282.98219518929034</v>
      </c>
      <c r="AO140" s="59">
        <f t="shared" si="144"/>
        <v>205.95652510682322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27.146398504821256</v>
      </c>
      <c r="AV140" s="21">
        <f>EXP(-LN(2)/25)*AV139+(1-EXP(-LN(2)/25))/(LN(2)/25)*Calculateur!AQ140*Calculateur!AS140*VLOOKUP('Données projet'!$B$10,Paramètres!$A$1:$I$89,3,0)*0.475*44/12</f>
        <v>5.4891259299982007</v>
      </c>
      <c r="AW140" s="21">
        <f>EXP(-LN(2)/2)*AW139+(1-EXP(-LN(2)/2))/(LN(2)/2)*AQ140*AT140*VLOOKUP('Données projet'!$B$10,Paramètres!$A$1:$I$89,3,0)*0.475*44/12</f>
        <v>7.8932963561096016E-16</v>
      </c>
      <c r="AX140" s="21">
        <f t="shared" si="114"/>
        <v>32.635524434819459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295.99999999999977</v>
      </c>
      <c r="BE140" s="13">
        <f>BD140*VLOOKUP('Données projet'!$B$11,Paramètres!$A$1:$I$89,3,0)*VLOOKUP('Données projet'!$B$11,Paramètres!$A$1:$I$89,5,0)</f>
        <v>240.11519999999982</v>
      </c>
      <c r="BF140" s="13">
        <f t="shared" si="145"/>
        <v>58.464315631105265</v>
      </c>
      <c r="BG140" s="20">
        <f t="shared" si="115"/>
        <v>520.02598972417468</v>
      </c>
      <c r="BH140" s="59">
        <f t="shared" si="116"/>
        <v>813.35932305750794</v>
      </c>
      <c r="BI140" s="59">
        <f ca="1">AVERAGE(OFFSET($BH$3,0,0,'Données projet'!$E$11+1,1))-AVERAGE(OFFSET($H$3,0,0,'Données projet'!$E$11+1,1))</f>
        <v>293.14894570672351</v>
      </c>
      <c r="BJ140" s="59">
        <f t="shared" si="146"/>
        <v>252.47559879720762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14.862221012393887</v>
      </c>
      <c r="BQ140" s="21">
        <f>EXP(-LN(2)/25)*BQ139+(1-EXP(-LN(2)/25))/(LN(2)/25)*Calculateur!BL140*Calculateur!BN140*VLOOKUP('Données projet'!$B$11,Paramètres!$A$1:$I$89,3,0)*0.475*44/12</f>
        <v>1.6092234915257881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16.471444503919674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607.99999999999977</v>
      </c>
      <c r="O141" s="13">
        <f>N141*VLOOKUP('Données projet'!$B$9,Paramètres!$A$1:$I$89,3,0)*VLOOKUP('Données projet'!$B$9,Paramètres!$A$1:$I$89,5,0)</f>
        <v>339.87199999999984</v>
      </c>
      <c r="P141" s="13">
        <f t="shared" si="141"/>
        <v>79.473500231862786</v>
      </c>
      <c r="Q141" s="20">
        <f t="shared" si="108"/>
        <v>730.36007957049412</v>
      </c>
      <c r="R141" s="59">
        <f t="shared" si="109"/>
        <v>1023.6934129038275</v>
      </c>
      <c r="S141" s="59">
        <f ca="1">AVERAGE(OFFSET($R$3,0,0,'Données projet'!$E$9+1,1))-AVERAGE(OFFSET($H$3,0,0,'Données projet'!$E$9+1,1))</f>
        <v>381.58561971183832</v>
      </c>
      <c r="T141" s="59">
        <f t="shared" si="142"/>
        <v>444.55874959426347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19.610060652783581</v>
      </c>
      <c r="AA141" s="21">
        <f>EXP(-LN(2)/25)*AA140+(1-EXP(-LN(2)/25))/(LN(2)/25)*Calculateur!V141*Calculateur!X141*VLOOKUP('Données projet'!$B$9,Paramètres!$A$1:$I$89,3,0)*0.475*44/12</f>
        <v>2.945614726769465</v>
      </c>
      <c r="AB141" s="21">
        <f>EXP(-LN(2)/2)*AB140+(1-EXP(-LN(2)/2))/(LN(2)/2)*V141*Y141*VLOOKUP('Données projet'!$B$9,Paramètres!$A$1:$I$89,3,0)*0.475*44/12</f>
        <v>6.7077419627018348E-17</v>
      </c>
      <c r="AC141" s="22">
        <f t="shared" si="111"/>
        <v>22.555675379553044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366.00000000000028</v>
      </c>
      <c r="AJ141" s="13">
        <f>AI141*VLOOKUP('Données projet'!$B$10,Paramètres!$A$1:$I$89,3,0)*VLOOKUP('Données projet'!$B$10,Paramètres!$A$1:$I$89,5,0)</f>
        <v>228.38400000000016</v>
      </c>
      <c r="AK141" s="13">
        <f t="shared" si="143"/>
        <v>55.933121291087339</v>
      </c>
      <c r="AL141" s="20">
        <f t="shared" si="112"/>
        <v>495.18565291531075</v>
      </c>
      <c r="AM141" s="59">
        <f t="shared" si="113"/>
        <v>788.51898624864407</v>
      </c>
      <c r="AN141" s="59">
        <f ca="1">AVERAGE(OFFSET($AM$3,0,0,'Données projet'!$E$10+1,1))-AVERAGE(OFFSET($H$3,0,0,'Données projet'!$E$10+1,1))</f>
        <v>282.98219518929034</v>
      </c>
      <c r="AO141" s="59">
        <f t="shared" si="144"/>
        <v>205.95652510682322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26.614074187809866</v>
      </c>
      <c r="AV141" s="21">
        <f>EXP(-LN(2)/25)*AV140+(1-EXP(-LN(2)/25))/(LN(2)/25)*Calculateur!AQ141*Calculateur!AS141*VLOOKUP('Données projet'!$B$10,Paramètres!$A$1:$I$89,3,0)*0.475*44/12</f>
        <v>5.339025492781813</v>
      </c>
      <c r="AW141" s="21">
        <f>EXP(-LN(2)/2)*AW140+(1-EXP(-LN(2)/2))/(LN(2)/2)*AQ141*AT141*VLOOKUP('Données projet'!$B$10,Paramètres!$A$1:$I$89,3,0)*0.475*44/12</f>
        <v>5.5814033793201649E-16</v>
      </c>
      <c r="AX141" s="21">
        <f t="shared" si="114"/>
        <v>31.953099680591677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295.99999999999977</v>
      </c>
      <c r="BE141" s="13">
        <f>BD141*VLOOKUP('Données projet'!$B$11,Paramètres!$A$1:$I$89,3,0)*VLOOKUP('Données projet'!$B$11,Paramètres!$A$1:$I$89,5,0)</f>
        <v>240.11519999999982</v>
      </c>
      <c r="BF141" s="13">
        <f t="shared" si="145"/>
        <v>58.464315631105265</v>
      </c>
      <c r="BG141" s="20">
        <f t="shared" si="115"/>
        <v>520.02598972417468</v>
      </c>
      <c r="BH141" s="59">
        <f t="shared" si="116"/>
        <v>813.35932305750794</v>
      </c>
      <c r="BI141" s="59">
        <f ca="1">AVERAGE(OFFSET($BH$3,0,0,'Données projet'!$E$11+1,1))-AVERAGE(OFFSET($H$3,0,0,'Données projet'!$E$11+1,1))</f>
        <v>293.14894570672351</v>
      </c>
      <c r="BJ141" s="59">
        <f t="shared" si="146"/>
        <v>252.47559879720762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14.57078192340056</v>
      </c>
      <c r="BQ141" s="21">
        <f>EXP(-LN(2)/25)*BQ140+(1-EXP(-LN(2)/25))/(LN(2)/25)*Calculateur!BL141*Calculateur!BN141*VLOOKUP('Données projet'!$B$11,Paramètres!$A$1:$I$89,3,0)*0.475*44/12</f>
        <v>1.56521919052463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16.13600111392519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607.99999999999977</v>
      </c>
      <c r="O142" s="13">
        <f>N142*VLOOKUP('Données projet'!$B$9,Paramètres!$A$1:$I$89,3,0)*VLOOKUP('Données projet'!$B$9,Paramètres!$A$1:$I$89,5,0)</f>
        <v>339.87199999999984</v>
      </c>
      <c r="P142" s="13">
        <f t="shared" si="141"/>
        <v>79.473500231862786</v>
      </c>
      <c r="Q142" s="20">
        <f t="shared" si="108"/>
        <v>730.36007957049412</v>
      </c>
      <c r="R142" s="59">
        <f t="shared" si="109"/>
        <v>1023.6934129038275</v>
      </c>
      <c r="S142" s="59">
        <f ca="1">AVERAGE(OFFSET($R$3,0,0,'Données projet'!$E$9+1,1))-AVERAGE(OFFSET($H$3,0,0,'Données projet'!$E$9+1,1))</f>
        <v>381.58561971183832</v>
      </c>
      <c r="T142" s="59">
        <f t="shared" si="142"/>
        <v>444.55874959426347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19.225519324338446</v>
      </c>
      <c r="AA142" s="21">
        <f>EXP(-LN(2)/25)*AA141+(1-EXP(-LN(2)/25))/(LN(2)/25)*Calculateur!V142*Calculateur!X142*VLOOKUP('Données projet'!$B$9,Paramètres!$A$1:$I$89,3,0)*0.475*44/12</f>
        <v>2.8650667371628078</v>
      </c>
      <c r="AB142" s="21">
        <f>EXP(-LN(2)/2)*AB141+(1-EXP(-LN(2)/2))/(LN(2)/2)*V142*Y142*VLOOKUP('Données projet'!$B$9,Paramètres!$A$1:$I$89,3,0)*0.475*44/12</f>
        <v>4.7430898282760292E-17</v>
      </c>
      <c r="AC142" s="22">
        <f t="shared" si="111"/>
        <v>22.090586061501256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366.00000000000028</v>
      </c>
      <c r="AJ142" s="13">
        <f>AI142*VLOOKUP('Données projet'!$B$10,Paramètres!$A$1:$I$89,3,0)*VLOOKUP('Données projet'!$B$10,Paramètres!$A$1:$I$89,5,0)</f>
        <v>228.38400000000016</v>
      </c>
      <c r="AK142" s="13">
        <f t="shared" si="143"/>
        <v>55.933121291087339</v>
      </c>
      <c r="AL142" s="20">
        <f t="shared" si="112"/>
        <v>495.18565291531075</v>
      </c>
      <c r="AM142" s="59">
        <f t="shared" si="113"/>
        <v>788.51898624864407</v>
      </c>
      <c r="AN142" s="59">
        <f ca="1">AVERAGE(OFFSET($AM$3,0,0,'Données projet'!$E$10+1,1))-AVERAGE(OFFSET($H$3,0,0,'Données projet'!$E$10+1,1))</f>
        <v>282.98219518929034</v>
      </c>
      <c r="AO142" s="59">
        <f t="shared" si="144"/>
        <v>205.95652510682322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26.092188425969294</v>
      </c>
      <c r="AV142" s="21">
        <f>EXP(-LN(2)/25)*AV141+(1-EXP(-LN(2)/25))/(LN(2)/25)*Calculateur!AQ142*Calculateur!AS142*VLOOKUP('Données projet'!$B$10,Paramètres!$A$1:$I$89,3,0)*0.475*44/12</f>
        <v>5.193029559914546</v>
      </c>
      <c r="AW142" s="21">
        <f>EXP(-LN(2)/2)*AW141+(1-EXP(-LN(2)/2))/(LN(2)/2)*AQ142*AT142*VLOOKUP('Données projet'!$B$10,Paramètres!$A$1:$I$89,3,0)*0.475*44/12</f>
        <v>3.9466481780548008E-16</v>
      </c>
      <c r="AX142" s="21">
        <f t="shared" si="114"/>
        <v>31.28521798588384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295.99999999999977</v>
      </c>
      <c r="BE142" s="13">
        <f>BD142*VLOOKUP('Données projet'!$B$11,Paramètres!$A$1:$I$89,3,0)*VLOOKUP('Données projet'!$B$11,Paramètres!$A$1:$I$89,5,0)</f>
        <v>240.11519999999982</v>
      </c>
      <c r="BF142" s="13">
        <f t="shared" si="145"/>
        <v>58.464315631105265</v>
      </c>
      <c r="BG142" s="20">
        <f t="shared" si="115"/>
        <v>520.02598972417468</v>
      </c>
      <c r="BH142" s="59">
        <f t="shared" si="116"/>
        <v>813.35932305750794</v>
      </c>
      <c r="BI142" s="59">
        <f ca="1">AVERAGE(OFFSET($BH$3,0,0,'Données projet'!$E$11+1,1))-AVERAGE(OFFSET($H$3,0,0,'Données projet'!$E$11+1,1))</f>
        <v>293.14894570672351</v>
      </c>
      <c r="BJ142" s="59">
        <f t="shared" si="146"/>
        <v>252.47559879720762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14.2850577771821</v>
      </c>
      <c r="BQ142" s="21">
        <f>EXP(-LN(2)/25)*BQ141+(1-EXP(-LN(2)/25))/(LN(2)/25)*Calculateur!BL142*Calculateur!BN142*VLOOKUP('Données projet'!$B$11,Paramètres!$A$1:$I$89,3,0)*0.475*44/12</f>
        <v>1.5224181894484341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15.807475966630534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607.99999999999977</v>
      </c>
      <c r="O143" s="13">
        <f>N143*VLOOKUP('Données projet'!$B$9,Paramètres!$A$1:$I$89,3,0)*VLOOKUP('Données projet'!$B$9,Paramètres!$A$1:$I$89,5,0)</f>
        <v>339.87199999999984</v>
      </c>
      <c r="P143" s="13">
        <f t="shared" si="141"/>
        <v>79.473500231862786</v>
      </c>
      <c r="Q143" s="20">
        <f t="shared" si="108"/>
        <v>730.36007957049412</v>
      </c>
      <c r="R143" s="59">
        <f t="shared" si="109"/>
        <v>1023.6934129038275</v>
      </c>
      <c r="S143" s="59">
        <f ca="1">AVERAGE(OFFSET($R$3,0,0,'Données projet'!$E$9+1,1))-AVERAGE(OFFSET($H$3,0,0,'Données projet'!$E$9+1,1))</f>
        <v>381.58561971183832</v>
      </c>
      <c r="T143" s="59">
        <f t="shared" si="142"/>
        <v>444.55874959426347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18.848518616797069</v>
      </c>
      <c r="AA143" s="21">
        <f>EXP(-LN(2)/25)*AA142+(1-EXP(-LN(2)/25))/(LN(2)/25)*Calculateur!V143*Calculateur!X143*VLOOKUP('Données projet'!$B$9,Paramètres!$A$1:$I$89,3,0)*0.475*44/12</f>
        <v>2.7867213365677794</v>
      </c>
      <c r="AB143" s="21">
        <f>EXP(-LN(2)/2)*AB142+(1-EXP(-LN(2)/2))/(LN(2)/2)*V143*Y143*VLOOKUP('Données projet'!$B$9,Paramètres!$A$1:$I$89,3,0)*0.475*44/12</f>
        <v>3.3538709813509174E-17</v>
      </c>
      <c r="AC143" s="22">
        <f t="shared" si="111"/>
        <v>21.635239953364849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366.00000000000028</v>
      </c>
      <c r="AJ143" s="13">
        <f>AI143*VLOOKUP('Données projet'!$B$10,Paramètres!$A$1:$I$89,3,0)*VLOOKUP('Données projet'!$B$10,Paramètres!$A$1:$I$89,5,0)</f>
        <v>228.38400000000016</v>
      </c>
      <c r="AK143" s="13">
        <f t="shared" si="143"/>
        <v>55.933121291087339</v>
      </c>
      <c r="AL143" s="20">
        <f t="shared" si="112"/>
        <v>495.18565291531075</v>
      </c>
      <c r="AM143" s="59">
        <f t="shared" si="113"/>
        <v>788.51898624864407</v>
      </c>
      <c r="AN143" s="59">
        <f ca="1">AVERAGE(OFFSET($AM$3,0,0,'Données projet'!$E$10+1,1))-AVERAGE(OFFSET($H$3,0,0,'Données projet'!$E$10+1,1))</f>
        <v>282.98219518929034</v>
      </c>
      <c r="AO143" s="59">
        <f t="shared" si="144"/>
        <v>205.95652510682322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25.580536525599534</v>
      </c>
      <c r="AV143" s="21">
        <f>EXP(-LN(2)/25)*AV142+(1-EXP(-LN(2)/25))/(LN(2)/25)*Calculateur!AQ143*Calculateur!AS143*VLOOKUP('Données projet'!$B$10,Paramètres!$A$1:$I$89,3,0)*0.475*44/12</f>
        <v>5.0510258935091272</v>
      </c>
      <c r="AW143" s="21">
        <f>EXP(-LN(2)/2)*AW142+(1-EXP(-LN(2)/2))/(LN(2)/2)*AQ143*AT143*VLOOKUP('Données projet'!$B$10,Paramètres!$A$1:$I$89,3,0)*0.475*44/12</f>
        <v>2.7907016896600825E-16</v>
      </c>
      <c r="AX143" s="21">
        <f t="shared" si="114"/>
        <v>30.631562419108661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295.99999999999977</v>
      </c>
      <c r="BE143" s="13">
        <f>BD143*VLOOKUP('Données projet'!$B$11,Paramètres!$A$1:$I$89,3,0)*VLOOKUP('Données projet'!$B$11,Paramètres!$A$1:$I$89,5,0)</f>
        <v>240.11519999999982</v>
      </c>
      <c r="BF143" s="13">
        <f t="shared" si="145"/>
        <v>58.464315631105265</v>
      </c>
      <c r="BG143" s="20">
        <f t="shared" si="115"/>
        <v>520.02598972417468</v>
      </c>
      <c r="BH143" s="59">
        <f t="shared" si="116"/>
        <v>813.35932305750794</v>
      </c>
      <c r="BI143" s="59">
        <f ca="1">AVERAGE(OFFSET($BH$3,0,0,'Données projet'!$E$11+1,1))-AVERAGE(OFFSET($H$3,0,0,'Données projet'!$E$11+1,1))</f>
        <v>293.14894570672351</v>
      </c>
      <c r="BJ143" s="59">
        <f t="shared" si="146"/>
        <v>252.47559879720762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14.004936507196463</v>
      </c>
      <c r="BQ143" s="21">
        <f>EXP(-LN(2)/25)*BQ142+(1-EXP(-LN(2)/25))/(LN(2)/25)*Calculateur!BL143*Calculateur!BN143*VLOOKUP('Données projet'!$B$11,Paramètres!$A$1:$I$89,3,0)*0.475*44/12</f>
        <v>1.4807875839974736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15.485724091193937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607.99999999999977</v>
      </c>
      <c r="O144" s="13">
        <f>N144*VLOOKUP('Données projet'!$B$9,Paramètres!$A$1:$I$89,3,0)*VLOOKUP('Données projet'!$B$9,Paramètres!$A$1:$I$89,5,0)</f>
        <v>339.87199999999984</v>
      </c>
      <c r="P144" s="13">
        <f t="shared" si="141"/>
        <v>79.473500231862786</v>
      </c>
      <c r="Q144" s="20">
        <f t="shared" si="108"/>
        <v>730.36007957049412</v>
      </c>
      <c r="R144" s="59">
        <f t="shared" si="109"/>
        <v>1023.6934129038275</v>
      </c>
      <c r="S144" s="59">
        <f ca="1">AVERAGE(OFFSET($R$3,0,0,'Données projet'!$E$9+1,1))-AVERAGE(OFFSET($H$3,0,0,'Données projet'!$E$9+1,1))</f>
        <v>381.58561971183832</v>
      </c>
      <c r="T144" s="59">
        <f t="shared" si="142"/>
        <v>444.55874959426347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18.478910663182852</v>
      </c>
      <c r="AA144" s="21">
        <f>EXP(-LN(2)/25)*AA143+(1-EXP(-LN(2)/25))/(LN(2)/25)*Calculateur!V144*Calculateur!X144*VLOOKUP('Données projet'!$B$9,Paramètres!$A$1:$I$89,3,0)*0.475*44/12</f>
        <v>2.7105182950720277</v>
      </c>
      <c r="AB144" s="21">
        <f>EXP(-LN(2)/2)*AB143+(1-EXP(-LN(2)/2))/(LN(2)/2)*V144*Y144*VLOOKUP('Données projet'!$B$9,Paramètres!$A$1:$I$89,3,0)*0.475*44/12</f>
        <v>2.3715449141380146E-17</v>
      </c>
      <c r="AC144" s="22">
        <f t="shared" si="111"/>
        <v>21.189428958254879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366.00000000000028</v>
      </c>
      <c r="AJ144" s="13">
        <f>AI144*VLOOKUP('Données projet'!$B$10,Paramètres!$A$1:$I$89,3,0)*VLOOKUP('Données projet'!$B$10,Paramètres!$A$1:$I$89,5,0)</f>
        <v>228.38400000000016</v>
      </c>
      <c r="AK144" s="13">
        <f t="shared" si="143"/>
        <v>55.933121291087339</v>
      </c>
      <c r="AL144" s="20">
        <f t="shared" si="112"/>
        <v>495.18565291531075</v>
      </c>
      <c r="AM144" s="59">
        <f t="shared" si="113"/>
        <v>788.51898624864407</v>
      </c>
      <c r="AN144" s="59">
        <f ca="1">AVERAGE(OFFSET($AM$3,0,0,'Données projet'!$E$10+1,1))-AVERAGE(OFFSET($H$3,0,0,'Données projet'!$E$10+1,1))</f>
        <v>282.98219518929034</v>
      </c>
      <c r="AO144" s="59">
        <f t="shared" si="144"/>
        <v>205.95652510682322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25.078917806919179</v>
      </c>
      <c r="AV144" s="21">
        <f>EXP(-LN(2)/25)*AV143+(1-EXP(-LN(2)/25))/(LN(2)/25)*Calculateur!AQ144*Calculateur!AS144*VLOOKUP('Données projet'!$B$10,Paramètres!$A$1:$I$89,3,0)*0.475*44/12</f>
        <v>4.9129053248292127</v>
      </c>
      <c r="AW144" s="21">
        <f>EXP(-LN(2)/2)*AW143+(1-EXP(-LN(2)/2))/(LN(2)/2)*AQ144*AT144*VLOOKUP('Données projet'!$B$10,Paramètres!$A$1:$I$89,3,0)*0.475*44/12</f>
        <v>1.9733240890274004E-16</v>
      </c>
      <c r="AX144" s="21">
        <f t="shared" si="114"/>
        <v>29.99182313174839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295.99999999999977</v>
      </c>
      <c r="BE144" s="13">
        <f>BD144*VLOOKUP('Données projet'!$B$11,Paramètres!$A$1:$I$89,3,0)*VLOOKUP('Données projet'!$B$11,Paramètres!$A$1:$I$89,5,0)</f>
        <v>240.11519999999982</v>
      </c>
      <c r="BF144" s="13">
        <f t="shared" si="145"/>
        <v>58.464315631105265</v>
      </c>
      <c r="BG144" s="20">
        <f t="shared" si="115"/>
        <v>520.02598972417468</v>
      </c>
      <c r="BH144" s="59">
        <f t="shared" si="116"/>
        <v>813.35932305750794</v>
      </c>
      <c r="BI144" s="59">
        <f ca="1">AVERAGE(OFFSET($BH$3,0,0,'Données projet'!$E$11+1,1))-AVERAGE(OFFSET($H$3,0,0,'Données projet'!$E$11+1,1))</f>
        <v>293.14894570672351</v>
      </c>
      <c r="BJ144" s="59">
        <f t="shared" si="146"/>
        <v>252.47559879720762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13.730308244458142</v>
      </c>
      <c r="BQ144" s="21">
        <f>EXP(-LN(2)/25)*BQ143+(1-EXP(-LN(2)/25))/(LN(2)/25)*Calculateur!BL144*Calculateur!BN144*VLOOKUP('Données projet'!$B$11,Paramètres!$A$1:$I$89,3,0)*0.475*44/12</f>
        <v>1.4402953696418279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15.170603614099969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607.99999999999977</v>
      </c>
      <c r="O145" s="13">
        <f>N145*VLOOKUP('Données projet'!$B$9,Paramètres!$A$1:$I$89,3,0)*VLOOKUP('Données projet'!$B$9,Paramètres!$A$1:$I$89,5,0)</f>
        <v>339.87199999999984</v>
      </c>
      <c r="P145" s="13">
        <f t="shared" si="141"/>
        <v>79.473500231862786</v>
      </c>
      <c r="Q145" s="20">
        <f t="shared" si="108"/>
        <v>730.36007957049412</v>
      </c>
      <c r="R145" s="59">
        <f t="shared" si="109"/>
        <v>1023.6934129038275</v>
      </c>
      <c r="S145" s="59">
        <f ca="1">AVERAGE(OFFSET($R$3,0,0,'Données projet'!$E$9+1,1))-AVERAGE(OFFSET($H$3,0,0,'Données projet'!$E$9+1,1))</f>
        <v>381.58561971183832</v>
      </c>
      <c r="T145" s="59">
        <f t="shared" si="142"/>
        <v>444.55874959426347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18.11655049610042</v>
      </c>
      <c r="AA145" s="21">
        <f>EXP(-LN(2)/25)*AA144+(1-EXP(-LN(2)/25))/(LN(2)/25)*Calculateur!V145*Calculateur!X145*VLOOKUP('Données projet'!$B$9,Paramètres!$A$1:$I$89,3,0)*0.475*44/12</f>
        <v>2.6363990297533211</v>
      </c>
      <c r="AB145" s="21">
        <f>EXP(-LN(2)/2)*AB144+(1-EXP(-LN(2)/2))/(LN(2)/2)*V145*Y145*VLOOKUP('Données projet'!$B$9,Paramètres!$A$1:$I$89,3,0)*0.475*44/12</f>
        <v>1.6769354906754587E-17</v>
      </c>
      <c r="AC145" s="22">
        <f t="shared" si="111"/>
        <v>20.75294952585374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366.00000000000028</v>
      </c>
      <c r="AJ145" s="13">
        <f>AI145*VLOOKUP('Données projet'!$B$10,Paramètres!$A$1:$I$89,3,0)*VLOOKUP('Données projet'!$B$10,Paramètres!$A$1:$I$89,5,0)</f>
        <v>228.38400000000016</v>
      </c>
      <c r="AK145" s="13">
        <f t="shared" si="143"/>
        <v>55.933121291087339</v>
      </c>
      <c r="AL145" s="20">
        <f t="shared" si="112"/>
        <v>495.18565291531075</v>
      </c>
      <c r="AM145" s="59">
        <f t="shared" si="113"/>
        <v>788.51898624864407</v>
      </c>
      <c r="AN145" s="59">
        <f ca="1">AVERAGE(OFFSET($AM$3,0,0,'Données projet'!$E$10+1,1))-AVERAGE(OFFSET($H$3,0,0,'Données projet'!$E$10+1,1))</f>
        <v>282.98219518929034</v>
      </c>
      <c r="AO145" s="59">
        <f t="shared" si="144"/>
        <v>205.95652510682322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24.587135525354938</v>
      </c>
      <c r="AV145" s="21">
        <f>EXP(-LN(2)/25)*AV144+(1-EXP(-LN(2)/25))/(LN(2)/25)*Calculateur!AQ145*Calculateur!AS145*VLOOKUP('Données projet'!$B$10,Paramètres!$A$1:$I$89,3,0)*0.475*44/12</f>
        <v>4.7785616703632954</v>
      </c>
      <c r="AW145" s="21">
        <f>EXP(-LN(2)/2)*AW144+(1-EXP(-LN(2)/2))/(LN(2)/2)*AQ145*AT145*VLOOKUP('Données projet'!$B$10,Paramètres!$A$1:$I$89,3,0)*0.475*44/12</f>
        <v>1.3953508448300412E-16</v>
      </c>
      <c r="AX145" s="21">
        <f t="shared" si="114"/>
        <v>29.365697195718234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295.99999999999977</v>
      </c>
      <c r="BE145" s="13">
        <f>BD145*VLOOKUP('Données projet'!$B$11,Paramètres!$A$1:$I$89,3,0)*VLOOKUP('Données projet'!$B$11,Paramètres!$A$1:$I$89,5,0)</f>
        <v>240.11519999999982</v>
      </c>
      <c r="BF145" s="13">
        <f t="shared" si="145"/>
        <v>58.464315631105265</v>
      </c>
      <c r="BG145" s="20">
        <f t="shared" si="115"/>
        <v>520.02598972417468</v>
      </c>
      <c r="BH145" s="59">
        <f t="shared" si="116"/>
        <v>813.35932305750794</v>
      </c>
      <c r="BI145" s="59">
        <f ca="1">AVERAGE(OFFSET($BH$3,0,0,'Données projet'!$E$11+1,1))-AVERAGE(OFFSET($H$3,0,0,'Données projet'!$E$11+1,1))</f>
        <v>293.14894570672351</v>
      </c>
      <c r="BJ145" s="59">
        <f t="shared" si="146"/>
        <v>252.47559879720762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13.461065274445417</v>
      </c>
      <c r="BQ145" s="21">
        <f>EXP(-LN(2)/25)*BQ144+(1-EXP(-LN(2)/25))/(LN(2)/25)*Calculateur!BL145*Calculateur!BN145*VLOOKUP('Données projet'!$B$11,Paramètres!$A$1:$I$89,3,0)*0.475*44/12</f>
        <v>1.4009104170171305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14.861975691462547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607.99999999999977</v>
      </c>
      <c r="O146" s="13">
        <f>N146*VLOOKUP('Données projet'!$B$9,Paramètres!$A$1:$I$89,3,0)*VLOOKUP('Données projet'!$B$9,Paramètres!$A$1:$I$89,5,0)</f>
        <v>339.87199999999984</v>
      </c>
      <c r="P146" s="13">
        <f t="shared" si="141"/>
        <v>79.473500231862786</v>
      </c>
      <c r="Q146" s="20">
        <f t="shared" si="108"/>
        <v>730.36007957049412</v>
      </c>
      <c r="R146" s="59">
        <f t="shared" si="109"/>
        <v>1023.6934129038275</v>
      </c>
      <c r="S146" s="59">
        <f ca="1">AVERAGE(OFFSET($R$3,0,0,'Données projet'!$E$9+1,1))-AVERAGE(OFFSET($H$3,0,0,'Données projet'!$E$9+1,1))</f>
        <v>381.58561971183832</v>
      </c>
      <c r="T146" s="59">
        <f t="shared" si="142"/>
        <v>444.55874959426347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17.761295990876597</v>
      </c>
      <c r="AA146" s="21">
        <f>EXP(-LN(2)/25)*AA145+(1-EXP(-LN(2)/25))/(LN(2)/25)*Calculateur!V146*Calculateur!X146*VLOOKUP('Données projet'!$B$9,Paramètres!$A$1:$I$89,3,0)*0.475*44/12</f>
        <v>2.564306559642517</v>
      </c>
      <c r="AB146" s="21">
        <f>EXP(-LN(2)/2)*AB145+(1-EXP(-LN(2)/2))/(LN(2)/2)*V146*Y146*VLOOKUP('Données projet'!$B$9,Paramètres!$A$1:$I$89,3,0)*0.475*44/12</f>
        <v>1.1857724570690073E-17</v>
      </c>
      <c r="AC146" s="22">
        <f t="shared" si="111"/>
        <v>20.325602550519115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366.00000000000028</v>
      </c>
      <c r="AJ146" s="13">
        <f>AI146*VLOOKUP('Données projet'!$B$10,Paramètres!$A$1:$I$89,3,0)*VLOOKUP('Données projet'!$B$10,Paramètres!$A$1:$I$89,5,0)</f>
        <v>228.38400000000016</v>
      </c>
      <c r="AK146" s="13">
        <f t="shared" si="143"/>
        <v>55.933121291087339</v>
      </c>
      <c r="AL146" s="20">
        <f t="shared" si="112"/>
        <v>495.18565291531075</v>
      </c>
      <c r="AM146" s="59">
        <f t="shared" si="113"/>
        <v>788.51898624864407</v>
      </c>
      <c r="AN146" s="59">
        <f ca="1">AVERAGE(OFFSET($AM$3,0,0,'Données projet'!$E$10+1,1))-AVERAGE(OFFSET($H$3,0,0,'Données projet'!$E$10+1,1))</f>
        <v>282.98219518929034</v>
      </c>
      <c r="AO146" s="59">
        <f t="shared" si="144"/>
        <v>205.95652510682322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24.1049967943746</v>
      </c>
      <c r="AV146" s="21">
        <f>EXP(-LN(2)/25)*AV145+(1-EXP(-LN(2)/25))/(LN(2)/25)*Calculateur!AQ146*Calculateur!AS146*VLOOKUP('Données projet'!$B$10,Paramètres!$A$1:$I$89,3,0)*0.475*44/12</f>
        <v>4.6478916501935741</v>
      </c>
      <c r="AW146" s="21">
        <f>EXP(-LN(2)/2)*AW145+(1-EXP(-LN(2)/2))/(LN(2)/2)*AQ146*AT146*VLOOKUP('Données projet'!$B$10,Paramètres!$A$1:$I$89,3,0)*0.475*44/12</f>
        <v>9.8666204451370021E-17</v>
      </c>
      <c r="AX146" s="21">
        <f t="shared" si="114"/>
        <v>28.752888444568175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295.99999999999977</v>
      </c>
      <c r="BE146" s="13">
        <f>BD146*VLOOKUP('Données projet'!$B$11,Paramètres!$A$1:$I$89,3,0)*VLOOKUP('Données projet'!$B$11,Paramètres!$A$1:$I$89,5,0)</f>
        <v>240.11519999999982</v>
      </c>
      <c r="BF146" s="13">
        <f t="shared" si="145"/>
        <v>58.464315631105265</v>
      </c>
      <c r="BG146" s="20">
        <f t="shared" si="115"/>
        <v>520.02598972417468</v>
      </c>
      <c r="BH146" s="59">
        <f t="shared" si="116"/>
        <v>813.35932305750794</v>
      </c>
      <c r="BI146" s="59">
        <f ca="1">AVERAGE(OFFSET($BH$3,0,0,'Données projet'!$E$11+1,1))-AVERAGE(OFFSET($H$3,0,0,'Données projet'!$E$11+1,1))</f>
        <v>293.14894570672351</v>
      </c>
      <c r="BJ146" s="59">
        <f t="shared" si="146"/>
        <v>252.47559879720762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13.197101994852646</v>
      </c>
      <c r="BQ146" s="21">
        <f>EXP(-LN(2)/25)*BQ145+(1-EXP(-LN(2)/25))/(LN(2)/25)*Calculateur!BL146*Calculateur!BN146*VLOOKUP('Données projet'!$B$11,Paramètres!$A$1:$I$89,3,0)*0.475*44/12</f>
        <v>1.36260244799312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14.559704442845767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607.99999999999977</v>
      </c>
      <c r="O147" s="13">
        <f>N147*VLOOKUP('Données projet'!$B$9,Paramètres!$A$1:$I$89,3,0)*VLOOKUP('Données projet'!$B$9,Paramètres!$A$1:$I$89,5,0)</f>
        <v>339.87199999999984</v>
      </c>
      <c r="P147" s="13">
        <f t="shared" si="141"/>
        <v>79.473500231862786</v>
      </c>
      <c r="Q147" s="20">
        <f t="shared" si="108"/>
        <v>730.36007957049412</v>
      </c>
      <c r="R147" s="59">
        <f t="shared" si="109"/>
        <v>1023.6934129038275</v>
      </c>
      <c r="S147" s="59">
        <f ca="1">AVERAGE(OFFSET($R$3,0,0,'Données projet'!$E$9+1,1))-AVERAGE(OFFSET($H$3,0,0,'Données projet'!$E$9+1,1))</f>
        <v>381.58561971183832</v>
      </c>
      <c r="T147" s="59">
        <f t="shared" si="142"/>
        <v>444.55874959426347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17.41300780981636</v>
      </c>
      <c r="AA147" s="21">
        <f>EXP(-LN(2)/25)*AA146+(1-EXP(-LN(2)/25))/(LN(2)/25)*Calculateur!V147*Calculateur!X147*VLOOKUP('Données projet'!$B$9,Paramètres!$A$1:$I$89,3,0)*0.475*44/12</f>
        <v>2.4941854619180712</v>
      </c>
      <c r="AB147" s="21">
        <f>EXP(-LN(2)/2)*AB146+(1-EXP(-LN(2)/2))/(LN(2)/2)*V147*Y147*VLOOKUP('Données projet'!$B$9,Paramètres!$A$1:$I$89,3,0)*0.475*44/12</f>
        <v>8.3846774533772936E-18</v>
      </c>
      <c r="AC147" s="22">
        <f t="shared" si="111"/>
        <v>19.907193271734432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366.00000000000028</v>
      </c>
      <c r="AJ147" s="13">
        <f>AI147*VLOOKUP('Données projet'!$B$10,Paramètres!$A$1:$I$89,3,0)*VLOOKUP('Données projet'!$B$10,Paramètres!$A$1:$I$89,5,0)</f>
        <v>228.38400000000016</v>
      </c>
      <c r="AK147" s="13">
        <f t="shared" si="143"/>
        <v>55.933121291087339</v>
      </c>
      <c r="AL147" s="20">
        <f t="shared" si="112"/>
        <v>495.18565291531075</v>
      </c>
      <c r="AM147" s="59">
        <f t="shared" si="113"/>
        <v>788.51898624864407</v>
      </c>
      <c r="AN147" s="59">
        <f ca="1">AVERAGE(OFFSET($AM$3,0,0,'Données projet'!$E$10+1,1))-AVERAGE(OFFSET($H$3,0,0,'Données projet'!$E$10+1,1))</f>
        <v>282.98219518929034</v>
      </c>
      <c r="AO147" s="59">
        <f t="shared" si="144"/>
        <v>205.95652510682322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23.632312509833199</v>
      </c>
      <c r="AV147" s="21">
        <f>EXP(-LN(2)/25)*AV146+(1-EXP(-LN(2)/25))/(LN(2)/25)*Calculateur!AQ147*Calculateur!AS147*VLOOKUP('Données projet'!$B$10,Paramètres!$A$1:$I$89,3,0)*0.475*44/12</f>
        <v>4.5207948085970315</v>
      </c>
      <c r="AW147" s="21">
        <f>EXP(-LN(2)/2)*AW146+(1-EXP(-LN(2)/2))/(LN(2)/2)*AQ147*AT147*VLOOKUP('Données projet'!$B$10,Paramètres!$A$1:$I$89,3,0)*0.475*44/12</f>
        <v>6.9767542241502061E-17</v>
      </c>
      <c r="AX147" s="21">
        <f t="shared" si="114"/>
        <v>28.15310731843023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295.99999999999977</v>
      </c>
      <c r="BE147" s="13">
        <f>BD147*VLOOKUP('Données projet'!$B$11,Paramètres!$A$1:$I$89,3,0)*VLOOKUP('Données projet'!$B$11,Paramètres!$A$1:$I$89,5,0)</f>
        <v>240.11519999999982</v>
      </c>
      <c r="BF147" s="13">
        <f t="shared" si="145"/>
        <v>58.464315631105265</v>
      </c>
      <c r="BG147" s="20">
        <f t="shared" si="115"/>
        <v>520.02598972417468</v>
      </c>
      <c r="BH147" s="59">
        <f t="shared" si="116"/>
        <v>813.35932305750794</v>
      </c>
      <c r="BI147" s="59">
        <f ca="1">AVERAGE(OFFSET($BH$3,0,0,'Données projet'!$E$11+1,1))-AVERAGE(OFFSET($H$3,0,0,'Données projet'!$E$11+1,1))</f>
        <v>293.14894570672351</v>
      </c>
      <c r="BJ147" s="59">
        <f t="shared" si="146"/>
        <v>252.47559879720762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12.938314874170986</v>
      </c>
      <c r="BQ147" s="21">
        <f>EXP(-LN(2)/25)*BQ146+(1-EXP(-LN(2)/25))/(LN(2)/25)*Calculateur!BL147*Calculateur!BN147*VLOOKUP('Données projet'!$B$11,Paramètres!$A$1:$I$89,3,0)*0.475*44/12</f>
        <v>1.3253420123965998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14.263656886567587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607.99999999999977</v>
      </c>
      <c r="O148" s="13">
        <f>N148*VLOOKUP('Données projet'!$B$9,Paramètres!$A$1:$I$89,3,0)*VLOOKUP('Données projet'!$B$9,Paramètres!$A$1:$I$89,5,0)</f>
        <v>339.87199999999984</v>
      </c>
      <c r="P148" s="13">
        <f t="shared" si="141"/>
        <v>79.473500231862786</v>
      </c>
      <c r="Q148" s="20">
        <f t="shared" si="108"/>
        <v>730.36007957049412</v>
      </c>
      <c r="R148" s="59">
        <f t="shared" si="109"/>
        <v>1023.6934129038275</v>
      </c>
      <c r="S148" s="59">
        <f ca="1">AVERAGE(OFFSET($R$3,0,0,'Données projet'!$E$9+1,1))-AVERAGE(OFFSET($H$3,0,0,'Données projet'!$E$9+1,1))</f>
        <v>381.58561971183832</v>
      </c>
      <c r="T148" s="59">
        <f t="shared" si="142"/>
        <v>444.55874959426347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17.071549347551901</v>
      </c>
      <c r="AA148" s="21">
        <f>EXP(-LN(2)/25)*AA147+(1-EXP(-LN(2)/25))/(LN(2)/25)*Calculateur!V148*Calculateur!X148*VLOOKUP('Données projet'!$B$9,Paramètres!$A$1:$I$89,3,0)*0.475*44/12</f>
        <v>2.4259818292984088</v>
      </c>
      <c r="AB148" s="21">
        <f>EXP(-LN(2)/2)*AB147+(1-EXP(-LN(2)/2))/(LN(2)/2)*V148*Y148*VLOOKUP('Données projet'!$B$9,Paramètres!$A$1:$I$89,3,0)*0.475*44/12</f>
        <v>5.9288622853450365E-18</v>
      </c>
      <c r="AC148" s="22">
        <f t="shared" si="111"/>
        <v>19.497531176850309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366.00000000000028</v>
      </c>
      <c r="AJ148" s="13">
        <f>AI148*VLOOKUP('Données projet'!$B$10,Paramètres!$A$1:$I$89,3,0)*VLOOKUP('Données projet'!$B$10,Paramètres!$A$1:$I$89,5,0)</f>
        <v>228.38400000000016</v>
      </c>
      <c r="AK148" s="13">
        <f t="shared" si="143"/>
        <v>55.933121291087339</v>
      </c>
      <c r="AL148" s="20">
        <f t="shared" si="112"/>
        <v>495.18565291531075</v>
      </c>
      <c r="AM148" s="59">
        <f t="shared" si="113"/>
        <v>788.51898624864407</v>
      </c>
      <c r="AN148" s="59">
        <f ca="1">AVERAGE(OFFSET($AM$3,0,0,'Données projet'!$E$10+1,1))-AVERAGE(OFFSET($H$3,0,0,'Données projet'!$E$10+1,1))</f>
        <v>282.98219518929034</v>
      </c>
      <c r="AO148" s="59">
        <f t="shared" si="144"/>
        <v>205.95652510682322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23.168897275802706</v>
      </c>
      <c r="AV148" s="21">
        <f>EXP(-LN(2)/25)*AV147+(1-EXP(-LN(2)/25))/(LN(2)/25)*Calculateur!AQ148*Calculateur!AS148*VLOOKUP('Données projet'!$B$10,Paramètres!$A$1:$I$89,3,0)*0.475*44/12</f>
        <v>4.3971734368176794</v>
      </c>
      <c r="AW148" s="21">
        <f>EXP(-LN(2)/2)*AW147+(1-EXP(-LN(2)/2))/(LN(2)/2)*AQ148*AT148*VLOOKUP('Données projet'!$B$10,Paramètres!$A$1:$I$89,3,0)*0.475*44/12</f>
        <v>4.933310222568501E-17</v>
      </c>
      <c r="AX148" s="21">
        <f t="shared" si="114"/>
        <v>27.566070712620387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295.99999999999977</v>
      </c>
      <c r="BE148" s="13">
        <f>BD148*VLOOKUP('Données projet'!$B$11,Paramètres!$A$1:$I$89,3,0)*VLOOKUP('Données projet'!$B$11,Paramètres!$A$1:$I$89,5,0)</f>
        <v>240.11519999999982</v>
      </c>
      <c r="BF148" s="13">
        <f t="shared" si="145"/>
        <v>58.464315631105265</v>
      </c>
      <c r="BG148" s="20">
        <f t="shared" si="115"/>
        <v>520.02598972417468</v>
      </c>
      <c r="BH148" s="59">
        <f t="shared" si="116"/>
        <v>813.35932305750794</v>
      </c>
      <c r="BI148" s="59">
        <f ca="1">AVERAGE(OFFSET($BH$3,0,0,'Données projet'!$E$11+1,1))-AVERAGE(OFFSET($H$3,0,0,'Données projet'!$E$11+1,1))</f>
        <v>293.14894570672351</v>
      </c>
      <c r="BJ148" s="59">
        <f t="shared" si="146"/>
        <v>252.47559879720762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12.684602411081336</v>
      </c>
      <c r="BQ148" s="21">
        <f>EXP(-LN(2)/25)*BQ147+(1-EXP(-LN(2)/25))/(LN(2)/25)*Calculateur!BL148*Calculateur!BN148*VLOOKUP('Données projet'!$B$11,Paramètres!$A$1:$I$89,3,0)*0.475*44/12</f>
        <v>1.2891004653709075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13.973702876452244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607.99999999999977</v>
      </c>
      <c r="O149" s="13">
        <f>N149*VLOOKUP('Données projet'!$B$9,Paramètres!$A$1:$I$89,3,0)*VLOOKUP('Données projet'!$B$9,Paramètres!$A$1:$I$89,5,0)</f>
        <v>339.87199999999984</v>
      </c>
      <c r="P149" s="13">
        <f t="shared" si="141"/>
        <v>79.473500231862786</v>
      </c>
      <c r="Q149" s="20">
        <f t="shared" si="108"/>
        <v>730.36007957049412</v>
      </c>
      <c r="R149" s="59">
        <f t="shared" si="109"/>
        <v>1023.6934129038275</v>
      </c>
      <c r="S149" s="59">
        <f ca="1">AVERAGE(OFFSET($R$3,0,0,'Données projet'!$E$9+1,1))-AVERAGE(OFFSET($H$3,0,0,'Données projet'!$E$9+1,1))</f>
        <v>381.58561971183832</v>
      </c>
      <c r="T149" s="59">
        <f t="shared" si="142"/>
        <v>444.55874959426347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16.73678667746335</v>
      </c>
      <c r="AA149" s="21">
        <f>EXP(-LN(2)/25)*AA148+(1-EXP(-LN(2)/25))/(LN(2)/25)*Calculateur!V149*Calculateur!X149*VLOOKUP('Données projet'!$B$9,Paramètres!$A$1:$I$89,3,0)*0.475*44/12</f>
        <v>2.359643228599404</v>
      </c>
      <c r="AB149" s="21">
        <f>EXP(-LN(2)/2)*AB148+(1-EXP(-LN(2)/2))/(LN(2)/2)*V149*Y149*VLOOKUP('Données projet'!$B$9,Paramètres!$A$1:$I$89,3,0)*0.475*44/12</f>
        <v>4.1923387266886468E-18</v>
      </c>
      <c r="AC149" s="22">
        <f t="shared" si="111"/>
        <v>19.096429906062752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366.00000000000028</v>
      </c>
      <c r="AJ149" s="13">
        <f>AI149*VLOOKUP('Données projet'!$B$10,Paramètres!$A$1:$I$89,3,0)*VLOOKUP('Données projet'!$B$10,Paramètres!$A$1:$I$89,5,0)</f>
        <v>228.38400000000016</v>
      </c>
      <c r="AK149" s="13">
        <f t="shared" si="143"/>
        <v>55.933121291087339</v>
      </c>
      <c r="AL149" s="20">
        <f t="shared" si="112"/>
        <v>495.18565291531075</v>
      </c>
      <c r="AM149" s="59">
        <f t="shared" si="113"/>
        <v>788.51898624864407</v>
      </c>
      <c r="AN149" s="59">
        <f ca="1">AVERAGE(OFFSET($AM$3,0,0,'Données projet'!$E$10+1,1))-AVERAGE(OFFSET($H$3,0,0,'Données projet'!$E$10+1,1))</f>
        <v>282.98219518929034</v>
      </c>
      <c r="AO149" s="59">
        <f t="shared" si="144"/>
        <v>205.95652510682322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22.714569331856172</v>
      </c>
      <c r="AV149" s="21">
        <f>EXP(-LN(2)/25)*AV148+(1-EXP(-LN(2)/25))/(LN(2)/25)*Calculateur!AQ149*Calculateur!AS149*VLOOKUP('Données projet'!$B$10,Paramètres!$A$1:$I$89,3,0)*0.475*44/12</f>
        <v>4.2769324979505985</v>
      </c>
      <c r="AW149" s="21">
        <f>EXP(-LN(2)/2)*AW148+(1-EXP(-LN(2)/2))/(LN(2)/2)*AQ149*AT149*VLOOKUP('Données projet'!$B$10,Paramètres!$A$1:$I$89,3,0)*0.475*44/12</f>
        <v>3.4883771120751031E-17</v>
      </c>
      <c r="AX149" s="21">
        <f t="shared" si="114"/>
        <v>26.991501829806772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295.99999999999977</v>
      </c>
      <c r="BE149" s="13">
        <f>BD149*VLOOKUP('Données projet'!$B$11,Paramètres!$A$1:$I$89,3,0)*VLOOKUP('Données projet'!$B$11,Paramètres!$A$1:$I$89,5,0)</f>
        <v>240.11519999999982</v>
      </c>
      <c r="BF149" s="13">
        <f t="shared" si="145"/>
        <v>58.464315631105265</v>
      </c>
      <c r="BG149" s="20">
        <f t="shared" si="115"/>
        <v>520.02598972417468</v>
      </c>
      <c r="BH149" s="59">
        <f t="shared" si="116"/>
        <v>813.35932305750794</v>
      </c>
      <c r="BI149" s="59">
        <f ca="1">AVERAGE(OFFSET($BH$3,0,0,'Données projet'!$E$11+1,1))-AVERAGE(OFFSET($H$3,0,0,'Données projet'!$E$11+1,1))</f>
        <v>293.14894570672351</v>
      </c>
      <c r="BJ149" s="59">
        <f t="shared" si="146"/>
        <v>252.47559879720762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12.435865094643551</v>
      </c>
      <c r="BQ149" s="21">
        <f>EXP(-LN(2)/25)*BQ148+(1-EXP(-LN(2)/25))/(LN(2)/25)*Calculateur!BL149*Calculateur!BN149*VLOOKUP('Données projet'!$B$11,Paramètres!$A$1:$I$89,3,0)*0.475*44/12</f>
        <v>1.2538499453544929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13.689715039998044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607.99999999999977</v>
      </c>
      <c r="O150" s="13">
        <f>N150*VLOOKUP('Données projet'!$B$9,Paramètres!$A$1:$I$89,3,0)*VLOOKUP('Données projet'!$B$9,Paramètres!$A$1:$I$89,5,0)</f>
        <v>339.87199999999984</v>
      </c>
      <c r="P150" s="13">
        <f t="shared" si="141"/>
        <v>79.473500231862786</v>
      </c>
      <c r="Q150" s="20">
        <f t="shared" si="108"/>
        <v>730.36007957049412</v>
      </c>
      <c r="R150" s="59">
        <f t="shared" si="109"/>
        <v>1023.6934129038275</v>
      </c>
      <c r="S150" s="59">
        <f ca="1">AVERAGE(OFFSET($R$3,0,0,'Données projet'!$E$9+1,1))-AVERAGE(OFFSET($H$3,0,0,'Données projet'!$E$9+1,1))</f>
        <v>381.58561971183832</v>
      </c>
      <c r="T150" s="59">
        <f t="shared" si="142"/>
        <v>444.55874959426347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16.408588499150166</v>
      </c>
      <c r="AA150" s="21">
        <f>EXP(-LN(2)/25)*AA149+(1-EXP(-LN(2)/25))/(LN(2)/25)*Calculateur!V150*Calculateur!X150*VLOOKUP('Données projet'!$B$9,Paramètres!$A$1:$I$89,3,0)*0.475*44/12</f>
        <v>2.2951186604251088</v>
      </c>
      <c r="AB150" s="21">
        <f>EXP(-LN(2)/2)*AB149+(1-EXP(-LN(2)/2))/(LN(2)/2)*V150*Y150*VLOOKUP('Données projet'!$B$9,Paramètres!$A$1:$I$89,3,0)*0.475*44/12</f>
        <v>2.9644311426725183E-18</v>
      </c>
      <c r="AC150" s="22">
        <f t="shared" si="111"/>
        <v>18.703707159575274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366.00000000000028</v>
      </c>
      <c r="AJ150" s="13">
        <f>AI150*VLOOKUP('Données projet'!$B$10,Paramètres!$A$1:$I$89,3,0)*VLOOKUP('Données projet'!$B$10,Paramètres!$A$1:$I$89,5,0)</f>
        <v>228.38400000000016</v>
      </c>
      <c r="AK150" s="13">
        <f t="shared" si="143"/>
        <v>55.933121291087339</v>
      </c>
      <c r="AL150" s="20">
        <f t="shared" si="112"/>
        <v>495.18565291531075</v>
      </c>
      <c r="AM150" s="59">
        <f t="shared" si="113"/>
        <v>788.51898624864407</v>
      </c>
      <c r="AN150" s="59">
        <f ca="1">AVERAGE(OFFSET($AM$3,0,0,'Données projet'!$E$10+1,1))-AVERAGE(OFFSET($H$3,0,0,'Données projet'!$E$10+1,1))</f>
        <v>282.98219518929034</v>
      </c>
      <c r="AO150" s="59">
        <f t="shared" si="144"/>
        <v>205.95652510682322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22.269150481777746</v>
      </c>
      <c r="AV150" s="21">
        <f>EXP(-LN(2)/25)*AV149+(1-EXP(-LN(2)/25))/(LN(2)/25)*Calculateur!AQ150*Calculateur!AS150*VLOOKUP('Données projet'!$B$10,Paramètres!$A$1:$I$89,3,0)*0.475*44/12</f>
        <v>4.1599795538800342</v>
      </c>
      <c r="AW150" s="21">
        <f>EXP(-LN(2)/2)*AW149+(1-EXP(-LN(2)/2))/(LN(2)/2)*AQ150*AT150*VLOOKUP('Données projet'!$B$10,Paramètres!$A$1:$I$89,3,0)*0.475*44/12</f>
        <v>2.4666551112842505E-17</v>
      </c>
      <c r="AX150" s="21">
        <f t="shared" si="114"/>
        <v>26.429130035657781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295.99999999999977</v>
      </c>
      <c r="BE150" s="13">
        <f>BD150*VLOOKUP('Données projet'!$B$11,Paramètres!$A$1:$I$89,3,0)*VLOOKUP('Données projet'!$B$11,Paramètres!$A$1:$I$89,5,0)</f>
        <v>240.11519999999982</v>
      </c>
      <c r="BF150" s="13">
        <f t="shared" si="145"/>
        <v>58.464315631105265</v>
      </c>
      <c r="BG150" s="20">
        <f t="shared" si="115"/>
        <v>520.02598972417468</v>
      </c>
      <c r="BH150" s="59">
        <f t="shared" si="116"/>
        <v>813.35932305750794</v>
      </c>
      <c r="BI150" s="59">
        <f ca="1">AVERAGE(OFFSET($BH$3,0,0,'Données projet'!$E$11+1,1))-AVERAGE(OFFSET($H$3,0,0,'Données projet'!$E$11+1,1))</f>
        <v>293.14894570672351</v>
      </c>
      <c r="BJ150" s="59">
        <f t="shared" si="146"/>
        <v>252.47559879720762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12.192005365266329</v>
      </c>
      <c r="BQ150" s="21">
        <f>EXP(-LN(2)/25)*BQ149+(1-EXP(-LN(2)/25))/(LN(2)/25)*Calculateur!BL150*Calculateur!BN150*VLOOKUP('Données projet'!$B$11,Paramètres!$A$1:$I$89,3,0)*0.475*44/12</f>
        <v>1.2195633526616714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13.411568717928001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607.99999999999977</v>
      </c>
      <c r="O151" s="13">
        <f>N151*VLOOKUP('Données projet'!$B$9,Paramètres!$A$1:$I$89,3,0)*VLOOKUP('Données projet'!$B$9,Paramètres!$A$1:$I$89,5,0)</f>
        <v>339.87199999999984</v>
      </c>
      <c r="P151" s="13">
        <f t="shared" si="141"/>
        <v>79.473500231862786</v>
      </c>
      <c r="Q151" s="20">
        <f t="shared" si="108"/>
        <v>730.36007957049412</v>
      </c>
      <c r="R151" s="59">
        <f t="shared" si="109"/>
        <v>1023.6934129038275</v>
      </c>
      <c r="S151" s="59">
        <f ca="1">AVERAGE(OFFSET($R$3,0,0,'Données projet'!$E$9+1,1))-AVERAGE(OFFSET($H$3,0,0,'Données projet'!$E$9+1,1))</f>
        <v>381.58561971183832</v>
      </c>
      <c r="T151" s="59">
        <f t="shared" si="142"/>
        <v>444.55874959426347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16.086826086932582</v>
      </c>
      <c r="AA151" s="21">
        <f>EXP(-LN(2)/25)*AA150+(1-EXP(-LN(2)/25))/(LN(2)/25)*Calculateur!V151*Calculateur!X151*VLOOKUP('Données projet'!$B$9,Paramètres!$A$1:$I$89,3,0)*0.475*44/12</f>
        <v>2.2323585199607394</v>
      </c>
      <c r="AB151" s="21">
        <f>EXP(-LN(2)/2)*AB150+(1-EXP(-LN(2)/2))/(LN(2)/2)*V151*Y151*VLOOKUP('Données projet'!$B$9,Paramètres!$A$1:$I$89,3,0)*0.475*44/12</f>
        <v>2.0961693633443234E-18</v>
      </c>
      <c r="AC151" s="22">
        <f t="shared" si="111"/>
        <v>18.319184606893323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366.00000000000028</v>
      </c>
      <c r="AJ151" s="13">
        <f>AI151*VLOOKUP('Données projet'!$B$10,Paramètres!$A$1:$I$89,3,0)*VLOOKUP('Données projet'!$B$10,Paramètres!$A$1:$I$89,5,0)</f>
        <v>228.38400000000016</v>
      </c>
      <c r="AK151" s="13">
        <f t="shared" si="143"/>
        <v>55.933121291087339</v>
      </c>
      <c r="AL151" s="20">
        <f t="shared" si="112"/>
        <v>495.18565291531075</v>
      </c>
      <c r="AM151" s="59">
        <f t="shared" si="113"/>
        <v>788.51898624864407</v>
      </c>
      <c r="AN151" s="59">
        <f ca="1">AVERAGE(OFFSET($AM$3,0,0,'Données projet'!$E$10+1,1))-AVERAGE(OFFSET($H$3,0,0,'Données projet'!$E$10+1,1))</f>
        <v>282.98219518929034</v>
      </c>
      <c r="AO151" s="59">
        <f t="shared" si="144"/>
        <v>205.95652510682322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21.832466023670683</v>
      </c>
      <c r="AV151" s="21">
        <f>EXP(-LN(2)/25)*AV150+(1-EXP(-LN(2)/25))/(LN(2)/25)*Calculateur!AQ151*Calculateur!AS151*VLOOKUP('Données projet'!$B$10,Paramètres!$A$1:$I$89,3,0)*0.475*44/12</f>
        <v>4.0462246942153675</v>
      </c>
      <c r="AW151" s="21">
        <f>EXP(-LN(2)/2)*AW150+(1-EXP(-LN(2)/2))/(LN(2)/2)*AQ151*AT151*VLOOKUP('Données projet'!$B$10,Paramètres!$A$1:$I$89,3,0)*0.475*44/12</f>
        <v>1.7441885560375515E-17</v>
      </c>
      <c r="AX151" s="21">
        <f t="shared" si="114"/>
        <v>25.878690717886052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295.99999999999977</v>
      </c>
      <c r="BE151" s="13">
        <f>BD151*VLOOKUP('Données projet'!$B$11,Paramètres!$A$1:$I$89,3,0)*VLOOKUP('Données projet'!$B$11,Paramètres!$A$1:$I$89,5,0)</f>
        <v>240.11519999999982</v>
      </c>
      <c r="BF151" s="13">
        <f t="shared" si="145"/>
        <v>58.464315631105265</v>
      </c>
      <c r="BG151" s="20">
        <f t="shared" si="115"/>
        <v>520.02598972417468</v>
      </c>
      <c r="BH151" s="59">
        <f t="shared" si="116"/>
        <v>813.35932305750794</v>
      </c>
      <c r="BI151" s="59">
        <f ca="1">AVERAGE(OFFSET($BH$3,0,0,'Données projet'!$E$11+1,1))-AVERAGE(OFFSET($H$3,0,0,'Données projet'!$E$11+1,1))</f>
        <v>293.14894570672351</v>
      </c>
      <c r="BJ151" s="59">
        <f t="shared" si="146"/>
        <v>252.47559879720762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11.952927576442447</v>
      </c>
      <c r="BQ151" s="21">
        <f>EXP(-LN(2)/25)*BQ150+(1-EXP(-LN(2)/25))/(LN(2)/25)*Calculateur!BL151*Calculateur!BN151*VLOOKUP('Données projet'!$B$11,Paramètres!$A$1:$I$89,3,0)*0.475*44/12</f>
        <v>1.1862143286490887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13.139141905091535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607.99999999999977</v>
      </c>
      <c r="O152" s="13">
        <f>N152*VLOOKUP('Données projet'!$B$9,Paramètres!$A$1:$I$89,3,0)*VLOOKUP('Données projet'!$B$9,Paramètres!$A$1:$I$89,5,0)</f>
        <v>339.87199999999984</v>
      </c>
      <c r="P152" s="13">
        <f t="shared" si="141"/>
        <v>79.473500231862786</v>
      </c>
      <c r="Q152" s="20">
        <f t="shared" si="108"/>
        <v>730.36007957049412</v>
      </c>
      <c r="R152" s="59">
        <f t="shared" si="109"/>
        <v>1023.6934129038275</v>
      </c>
      <c r="S152" s="59">
        <f ca="1">AVERAGE(OFFSET($R$3,0,0,'Données projet'!$E$9+1,1))-AVERAGE(OFFSET($H$3,0,0,'Données projet'!$E$9+1,1))</f>
        <v>381.58561971183832</v>
      </c>
      <c r="T152" s="59">
        <f t="shared" si="142"/>
        <v>444.55874959426347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15.771373239362893</v>
      </c>
      <c r="AA152" s="21">
        <f>EXP(-LN(2)/25)*AA151+(1-EXP(-LN(2)/25))/(LN(2)/25)*Calculateur!V152*Calculateur!X152*VLOOKUP('Données projet'!$B$9,Paramètres!$A$1:$I$89,3,0)*0.475*44/12</f>
        <v>2.1713145588377807</v>
      </c>
      <c r="AB152" s="21">
        <f>EXP(-LN(2)/2)*AB151+(1-EXP(-LN(2)/2))/(LN(2)/2)*V152*Y152*VLOOKUP('Données projet'!$B$9,Paramètres!$A$1:$I$89,3,0)*0.475*44/12</f>
        <v>1.4822155713362591E-18</v>
      </c>
      <c r="AC152" s="22">
        <f t="shared" si="111"/>
        <v>17.942687798200673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366.00000000000028</v>
      </c>
      <c r="AJ152" s="13">
        <f>AI152*VLOOKUP('Données projet'!$B$10,Paramètres!$A$1:$I$89,3,0)*VLOOKUP('Données projet'!$B$10,Paramètres!$A$1:$I$89,5,0)</f>
        <v>228.38400000000016</v>
      </c>
      <c r="AK152" s="13">
        <f t="shared" si="143"/>
        <v>55.933121291087339</v>
      </c>
      <c r="AL152" s="20">
        <f t="shared" si="112"/>
        <v>495.18565291531075</v>
      </c>
      <c r="AM152" s="59">
        <f t="shared" si="113"/>
        <v>788.51898624864407</v>
      </c>
      <c r="AN152" s="59">
        <f ca="1">AVERAGE(OFFSET($AM$3,0,0,'Données projet'!$E$10+1,1))-AVERAGE(OFFSET($H$3,0,0,'Données projet'!$E$10+1,1))</f>
        <v>282.98219518929034</v>
      </c>
      <c r="AO152" s="59">
        <f t="shared" si="144"/>
        <v>205.95652510682322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21.40434468143588</v>
      </c>
      <c r="AV152" s="21">
        <f>EXP(-LN(2)/25)*AV151+(1-EXP(-LN(2)/25))/(LN(2)/25)*Calculateur!AQ152*Calculateur!AS152*VLOOKUP('Données projet'!$B$10,Paramètres!$A$1:$I$89,3,0)*0.475*44/12</f>
        <v>3.9355804671703392</v>
      </c>
      <c r="AW152" s="21">
        <f>EXP(-LN(2)/2)*AW151+(1-EXP(-LN(2)/2))/(LN(2)/2)*AQ152*AT152*VLOOKUP('Données projet'!$B$10,Paramètres!$A$1:$I$89,3,0)*0.475*44/12</f>
        <v>1.2333275556421253E-17</v>
      </c>
      <c r="AX152" s="21">
        <f t="shared" si="114"/>
        <v>25.33992514860622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295.99999999999977</v>
      </c>
      <c r="BE152" s="13">
        <f>BD152*VLOOKUP('Données projet'!$B$11,Paramètres!$A$1:$I$89,3,0)*VLOOKUP('Données projet'!$B$11,Paramètres!$A$1:$I$89,5,0)</f>
        <v>240.11519999999982</v>
      </c>
      <c r="BF152" s="13">
        <f t="shared" si="145"/>
        <v>58.464315631105265</v>
      </c>
      <c r="BG152" s="20">
        <f t="shared" si="115"/>
        <v>520.02598972417468</v>
      </c>
      <c r="BH152" s="59">
        <f t="shared" si="116"/>
        <v>813.35932305750794</v>
      </c>
      <c r="BI152" s="59">
        <f ca="1">AVERAGE(OFFSET($BH$3,0,0,'Données projet'!$E$11+1,1))-AVERAGE(OFFSET($H$3,0,0,'Données projet'!$E$11+1,1))</f>
        <v>293.14894570672351</v>
      </c>
      <c r="BJ152" s="59">
        <f t="shared" si="146"/>
        <v>252.47559879720762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11.718537957234348</v>
      </c>
      <c r="BQ152" s="21">
        <f>EXP(-LN(2)/25)*BQ151+(1-EXP(-LN(2)/25))/(LN(2)/25)*Calculateur!BL152*Calculateur!BN152*VLOOKUP('Données projet'!$B$11,Paramètres!$A$1:$I$89,3,0)*0.475*44/12</f>
        <v>1.1537772354518789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12.872315192686226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607.99999999999977</v>
      </c>
      <c r="O153" s="13">
        <f>N153*VLOOKUP('Données projet'!$B$9,Paramètres!$A$1:$I$89,3,0)*VLOOKUP('Données projet'!$B$9,Paramètres!$A$1:$I$89,5,0)</f>
        <v>339.87199999999984</v>
      </c>
      <c r="P153" s="13">
        <f t="shared" si="141"/>
        <v>79.473500231862786</v>
      </c>
      <c r="Q153" s="20">
        <f t="shared" si="108"/>
        <v>730.36007957049412</v>
      </c>
      <c r="R153" s="59">
        <f t="shared" si="109"/>
        <v>1023.6934129038275</v>
      </c>
      <c r="S153" s="59">
        <f ca="1">AVERAGE(OFFSET($R$3,0,0,'Données projet'!$E$9+1,1))-AVERAGE(OFFSET($H$3,0,0,'Données projet'!$E$9+1,1))</f>
        <v>381.58561971183832</v>
      </c>
      <c r="T153" s="59">
        <f t="shared" si="142"/>
        <v>444.55874959426347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15.462106229726807</v>
      </c>
      <c r="AA153" s="21">
        <f>EXP(-LN(2)/25)*AA152+(1-EXP(-LN(2)/25))/(LN(2)/25)*Calculateur!V153*Calculateur!X153*VLOOKUP('Données projet'!$B$9,Paramètres!$A$1:$I$89,3,0)*0.475*44/12</f>
        <v>2.1119398480418914</v>
      </c>
      <c r="AB153" s="21">
        <f>EXP(-LN(2)/2)*AB152+(1-EXP(-LN(2)/2))/(LN(2)/2)*V153*Y153*VLOOKUP('Données projet'!$B$9,Paramètres!$A$1:$I$89,3,0)*0.475*44/12</f>
        <v>1.0480846816721617E-18</v>
      </c>
      <c r="AC153" s="22">
        <f t="shared" si="111"/>
        <v>17.574046077768699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366.00000000000028</v>
      </c>
      <c r="AJ153" s="13">
        <f>AI153*VLOOKUP('Données projet'!$B$10,Paramètres!$A$1:$I$89,3,0)*VLOOKUP('Données projet'!$B$10,Paramètres!$A$1:$I$89,5,0)</f>
        <v>228.38400000000016</v>
      </c>
      <c r="AK153" s="13">
        <f t="shared" si="143"/>
        <v>55.933121291087339</v>
      </c>
      <c r="AL153" s="20">
        <f t="shared" si="112"/>
        <v>495.18565291531075</v>
      </c>
      <c r="AM153" s="59">
        <f t="shared" si="113"/>
        <v>788.51898624864407</v>
      </c>
      <c r="AN153" s="59">
        <f ca="1">AVERAGE(OFFSET($AM$3,0,0,'Données projet'!$E$10+1,1))-AVERAGE(OFFSET($H$3,0,0,'Données projet'!$E$10+1,1))</f>
        <v>282.98219518929034</v>
      </c>
      <c r="AO153" s="59">
        <f t="shared" si="144"/>
        <v>205.95652510682322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20.98461853759407</v>
      </c>
      <c r="AV153" s="21">
        <f>EXP(-LN(2)/25)*AV152+(1-EXP(-LN(2)/25))/(LN(2)/25)*Calculateur!AQ153*Calculateur!AS153*VLOOKUP('Données projet'!$B$10,Paramètres!$A$1:$I$89,3,0)*0.475*44/12</f>
        <v>3.8279618123323842</v>
      </c>
      <c r="AW153" s="21">
        <f>EXP(-LN(2)/2)*AW152+(1-EXP(-LN(2)/2))/(LN(2)/2)*AQ153*AT153*VLOOKUP('Données projet'!$B$10,Paramètres!$A$1:$I$89,3,0)*0.475*44/12</f>
        <v>8.7209427801877577E-18</v>
      </c>
      <c r="AX153" s="21">
        <f t="shared" si="114"/>
        <v>24.812580349926453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295.99999999999977</v>
      </c>
      <c r="BE153" s="13">
        <f>BD153*VLOOKUP('Données projet'!$B$11,Paramètres!$A$1:$I$89,3,0)*VLOOKUP('Données projet'!$B$11,Paramètres!$A$1:$I$89,5,0)</f>
        <v>240.11519999999982</v>
      </c>
      <c r="BF153" s="13">
        <f t="shared" si="145"/>
        <v>58.464315631105265</v>
      </c>
      <c r="BG153" s="20">
        <f t="shared" si="115"/>
        <v>520.02598972417468</v>
      </c>
      <c r="BH153" s="59">
        <f t="shared" si="116"/>
        <v>813.35932305750794</v>
      </c>
      <c r="BI153" s="59">
        <f ca="1">AVERAGE(OFFSET($BH$3,0,0,'Données projet'!$E$11+1,1))-AVERAGE(OFFSET($H$3,0,0,'Données projet'!$E$11+1,1))</f>
        <v>293.14894570672351</v>
      </c>
      <c r="BJ153" s="59">
        <f t="shared" si="146"/>
        <v>252.47559879720762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11.488744575495369</v>
      </c>
      <c r="BQ153" s="21">
        <f>EXP(-LN(2)/25)*BQ152+(1-EXP(-LN(2)/25))/(LN(2)/25)*Calculateur!BL153*Calculateur!BN153*VLOOKUP('Données projet'!$B$11,Paramètres!$A$1:$I$89,3,0)*0.475*44/12</f>
        <v>1.1222271362739396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12.610971711769309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607.99999999999977</v>
      </c>
      <c r="O154" s="13">
        <f>N154*VLOOKUP('Données projet'!$B$9,Paramètres!$A$1:$I$89,3,0)*VLOOKUP('Données projet'!$B$9,Paramètres!$A$1:$I$89,5,0)</f>
        <v>339.87199999999984</v>
      </c>
      <c r="P154" s="13">
        <f t="shared" si="141"/>
        <v>79.473500231862786</v>
      </c>
      <c r="Q154" s="20">
        <f t="shared" ref="Q154:Q203" si="162">(O154+P154)*0.475*44/12</f>
        <v>730.36007957049412</v>
      </c>
      <c r="R154" s="59">
        <f t="shared" si="109"/>
        <v>1023.6934129038275</v>
      </c>
      <c r="S154" s="59">
        <f ca="1">AVERAGE(OFFSET($R$3,0,0,'Données projet'!$E$9+1,1))-AVERAGE(OFFSET($H$3,0,0,'Données projet'!$E$9+1,1))</f>
        <v>381.58561971183832</v>
      </c>
      <c r="T154" s="59">
        <f t="shared" si="142"/>
        <v>444.55874959426347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15.158903757515436</v>
      </c>
      <c r="AA154" s="21">
        <f>EXP(-LN(2)/25)*AA153+(1-EXP(-LN(2)/25))/(LN(2)/25)*Calculateur!V154*Calculateur!X154*VLOOKUP('Données projet'!$B$9,Paramètres!$A$1:$I$89,3,0)*0.475*44/12</f>
        <v>2.0541887418350964</v>
      </c>
      <c r="AB154" s="21">
        <f>EXP(-LN(2)/2)*AB153+(1-EXP(-LN(2)/2))/(LN(2)/2)*V154*Y154*VLOOKUP('Données projet'!$B$9,Paramètres!$A$1:$I$89,3,0)*0.475*44/12</f>
        <v>7.4110778566812957E-19</v>
      </c>
      <c r="AC154" s="22">
        <f t="shared" ref="AC154:AC203" si="163">SUM(Z154:AB154)</f>
        <v>17.21309249935053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366.00000000000028</v>
      </c>
      <c r="AJ154" s="13">
        <f>AI154*VLOOKUP('Données projet'!$B$10,Paramètres!$A$1:$I$89,3,0)*VLOOKUP('Données projet'!$B$10,Paramètres!$A$1:$I$89,5,0)</f>
        <v>228.38400000000016</v>
      </c>
      <c r="AK154" s="13">
        <f t="shared" ref="AK154:AK203" si="164">EXP(-1.0587+0.8836*LN(AJ154)+0.284)</f>
        <v>55.933121291087339</v>
      </c>
      <c r="AL154" s="20">
        <f t="shared" ref="AL154:AL203" si="165">(AJ154+AK154)*0.475*44/12</f>
        <v>495.18565291531075</v>
      </c>
      <c r="AM154" s="59">
        <f t="shared" si="113"/>
        <v>788.51898624864407</v>
      </c>
      <c r="AN154" s="59">
        <f ca="1">AVERAGE(OFFSET($AM$3,0,0,'Données projet'!$E$10+1,1))-AVERAGE(OFFSET($H$3,0,0,'Données projet'!$E$10+1,1))</f>
        <v>282.98219518929034</v>
      </c>
      <c r="AO154" s="59">
        <f t="shared" si="144"/>
        <v>205.95652510682322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20.573122967425327</v>
      </c>
      <c r="AV154" s="21">
        <f>EXP(-LN(2)/25)*AV153+(1-EXP(-LN(2)/25))/(LN(2)/25)*Calculateur!AQ154*Calculateur!AS154*VLOOKUP('Données projet'!$B$10,Paramètres!$A$1:$I$89,3,0)*0.475*44/12</f>
        <v>3.7232859952703925</v>
      </c>
      <c r="AW154" s="21">
        <f>EXP(-LN(2)/2)*AW153+(1-EXP(-LN(2)/2))/(LN(2)/2)*AQ154*AT154*VLOOKUP('Données projet'!$B$10,Paramètres!$A$1:$I$89,3,0)*0.475*44/12</f>
        <v>6.1666377782106263E-18</v>
      </c>
      <c r="AX154" s="21">
        <f t="shared" ref="AX154:AX203" si="166">SUM(AU154:AW154)</f>
        <v>24.296408962695718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295.99999999999977</v>
      </c>
      <c r="BE154" s="13">
        <f>BD154*VLOOKUP('Données projet'!$B$11,Paramètres!$A$1:$I$89,3,0)*VLOOKUP('Données projet'!$B$11,Paramètres!$A$1:$I$89,5,0)</f>
        <v>240.11519999999982</v>
      </c>
      <c r="BF154" s="13">
        <f t="shared" ref="BF154:BF203" si="167">EXP(-1.0587+0.8836*LN(BE154)+0.284)</f>
        <v>58.464315631105265</v>
      </c>
      <c r="BG154" s="20">
        <f t="shared" ref="BG154:BG203" si="168">(BE154+BF154)*0.475*44/12</f>
        <v>520.02598972417468</v>
      </c>
      <c r="BH154" s="59">
        <f t="shared" si="116"/>
        <v>813.35932305750794</v>
      </c>
      <c r="BI154" s="59">
        <f ca="1">AVERAGE(OFFSET($BH$3,0,0,'Données projet'!$E$11+1,1))-AVERAGE(OFFSET($H$3,0,0,'Données projet'!$E$11+1,1))</f>
        <v>293.14894570672351</v>
      </c>
      <c r="BJ154" s="59">
        <f t="shared" si="146"/>
        <v>252.47559879720762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11.263457301812169</v>
      </c>
      <c r="BQ154" s="21">
        <f>EXP(-LN(2)/25)*BQ153+(1-EXP(-LN(2)/25))/(LN(2)/25)*Calculateur!BL154*Calculateur!BN154*VLOOKUP('Données projet'!$B$11,Paramètres!$A$1:$I$89,3,0)*0.475*44/12</f>
        <v>1.0915397762171684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12.354997078029337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607.99999999999977</v>
      </c>
      <c r="O155" s="13">
        <f>N155*VLOOKUP('Données projet'!$B$9,Paramètres!$A$1:$I$89,3,0)*VLOOKUP('Données projet'!$B$9,Paramètres!$A$1:$I$89,5,0)</f>
        <v>339.87199999999984</v>
      </c>
      <c r="P155" s="13">
        <f t="shared" si="141"/>
        <v>79.473500231862786</v>
      </c>
      <c r="Q155" s="20">
        <f t="shared" si="162"/>
        <v>730.36007957049412</v>
      </c>
      <c r="R155" s="59">
        <f t="shared" si="109"/>
        <v>1023.6934129038275</v>
      </c>
      <c r="S155" s="59">
        <f ca="1">AVERAGE(OFFSET($R$3,0,0,'Données projet'!$E$9+1,1))-AVERAGE(OFFSET($H$3,0,0,'Données projet'!$E$9+1,1))</f>
        <v>381.58561971183832</v>
      </c>
      <c r="T155" s="59">
        <f t="shared" si="142"/>
        <v>444.55874959426347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14.861646900848882</v>
      </c>
      <c r="AA155" s="21">
        <f>EXP(-LN(2)/25)*AA154+(1-EXP(-LN(2)/25))/(LN(2)/25)*Calculateur!V155*Calculateur!X155*VLOOKUP('Données projet'!$B$9,Paramètres!$A$1:$I$89,3,0)*0.475*44/12</f>
        <v>1.9980168426645246</v>
      </c>
      <c r="AB155" s="21">
        <f>EXP(-LN(2)/2)*AB154+(1-EXP(-LN(2)/2))/(LN(2)/2)*V155*Y155*VLOOKUP('Données projet'!$B$9,Paramètres!$A$1:$I$89,3,0)*0.475*44/12</f>
        <v>5.2404234083608085E-19</v>
      </c>
      <c r="AC155" s="22">
        <f t="shared" si="163"/>
        <v>16.859663743513408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366.00000000000028</v>
      </c>
      <c r="AJ155" s="13">
        <f>AI155*VLOOKUP('Données projet'!$B$10,Paramètres!$A$1:$I$89,3,0)*VLOOKUP('Données projet'!$B$10,Paramètres!$A$1:$I$89,5,0)</f>
        <v>228.38400000000016</v>
      </c>
      <c r="AK155" s="13">
        <f t="shared" si="164"/>
        <v>55.933121291087339</v>
      </c>
      <c r="AL155" s="20">
        <f t="shared" si="165"/>
        <v>495.18565291531075</v>
      </c>
      <c r="AM155" s="59">
        <f t="shared" si="113"/>
        <v>788.51898624864407</v>
      </c>
      <c r="AN155" s="59">
        <f ca="1">AVERAGE(OFFSET($AM$3,0,0,'Données projet'!$E$10+1,1))-AVERAGE(OFFSET($H$3,0,0,'Données projet'!$E$10+1,1))</f>
        <v>282.98219518929034</v>
      </c>
      <c r="AO155" s="59">
        <f t="shared" si="144"/>
        <v>205.95652510682322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20.169696574400078</v>
      </c>
      <c r="AV155" s="21">
        <f>EXP(-LN(2)/25)*AV154+(1-EXP(-LN(2)/25))/(LN(2)/25)*Calculateur!AQ155*Calculateur!AS155*VLOOKUP('Données projet'!$B$10,Paramètres!$A$1:$I$89,3,0)*0.475*44/12</f>
        <v>3.621472543930623</v>
      </c>
      <c r="AW155" s="21">
        <f>EXP(-LN(2)/2)*AW154+(1-EXP(-LN(2)/2))/(LN(2)/2)*AQ155*AT155*VLOOKUP('Données projet'!$B$10,Paramètres!$A$1:$I$89,3,0)*0.475*44/12</f>
        <v>4.3604713900938788E-18</v>
      </c>
      <c r="AX155" s="21">
        <f t="shared" si="166"/>
        <v>23.7911691183307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295.99999999999977</v>
      </c>
      <c r="BE155" s="13">
        <f>BD155*VLOOKUP('Données projet'!$B$11,Paramètres!$A$1:$I$89,3,0)*VLOOKUP('Données projet'!$B$11,Paramètres!$A$1:$I$89,5,0)</f>
        <v>240.11519999999982</v>
      </c>
      <c r="BF155" s="13">
        <f t="shared" si="167"/>
        <v>58.464315631105265</v>
      </c>
      <c r="BG155" s="20">
        <f t="shared" si="168"/>
        <v>520.02598972417468</v>
      </c>
      <c r="BH155" s="59">
        <f t="shared" si="116"/>
        <v>813.35932305750794</v>
      </c>
      <c r="BI155" s="59">
        <f ca="1">AVERAGE(OFFSET($BH$3,0,0,'Données projet'!$E$11+1,1))-AVERAGE(OFFSET($H$3,0,0,'Données projet'!$E$11+1,1))</f>
        <v>293.14894570672351</v>
      </c>
      <c r="BJ155" s="59">
        <f t="shared" si="146"/>
        <v>252.47559879720762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11.042587774154228</v>
      </c>
      <c r="BQ155" s="21">
        <f>EXP(-LN(2)/25)*BQ154+(1-EXP(-LN(2)/25))/(LN(2)/25)*Calculateur!BL155*Calculateur!BN155*VLOOKUP('Données projet'!$B$11,Paramètres!$A$1:$I$89,3,0)*0.475*44/12</f>
        <v>1.0616915636349278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12.104279337789155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607.99999999999977</v>
      </c>
      <c r="O156" s="13">
        <f>N156*VLOOKUP('Données projet'!$B$9,Paramètres!$A$1:$I$89,3,0)*VLOOKUP('Données projet'!$B$9,Paramètres!$A$1:$I$89,5,0)</f>
        <v>339.87199999999984</v>
      </c>
      <c r="P156" s="13">
        <f t="shared" si="141"/>
        <v>79.473500231862786</v>
      </c>
      <c r="Q156" s="20">
        <f t="shared" si="162"/>
        <v>730.36007957049412</v>
      </c>
      <c r="R156" s="59">
        <f t="shared" si="109"/>
        <v>1023.6934129038275</v>
      </c>
      <c r="S156" s="59">
        <f ca="1">AVERAGE(OFFSET($R$3,0,0,'Données projet'!$E$9+1,1))-AVERAGE(OFFSET($H$3,0,0,'Données projet'!$E$9+1,1))</f>
        <v>381.58561971183832</v>
      </c>
      <c r="T156" s="59">
        <f t="shared" si="142"/>
        <v>444.55874959426347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14.570219069832779</v>
      </c>
      <c r="AA156" s="21">
        <f>EXP(-LN(2)/25)*AA155+(1-EXP(-LN(2)/25))/(LN(2)/25)*Calculateur!V156*Calculateur!X156*VLOOKUP('Données projet'!$B$9,Paramètres!$A$1:$I$89,3,0)*0.475*44/12</f>
        <v>1.943380967030724</v>
      </c>
      <c r="AB156" s="21">
        <f>EXP(-LN(2)/2)*AB155+(1-EXP(-LN(2)/2))/(LN(2)/2)*V156*Y156*VLOOKUP('Données projet'!$B$9,Paramètres!$A$1:$I$89,3,0)*0.475*44/12</f>
        <v>3.7055389283406478E-19</v>
      </c>
      <c r="AC156" s="22">
        <f t="shared" si="163"/>
        <v>16.513600036863505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366.00000000000028</v>
      </c>
      <c r="AJ156" s="13">
        <f>AI156*VLOOKUP('Données projet'!$B$10,Paramètres!$A$1:$I$89,3,0)*VLOOKUP('Données projet'!$B$10,Paramètres!$A$1:$I$89,5,0)</f>
        <v>228.38400000000016</v>
      </c>
      <c r="AK156" s="13">
        <f t="shared" si="164"/>
        <v>55.933121291087339</v>
      </c>
      <c r="AL156" s="20">
        <f t="shared" si="165"/>
        <v>495.18565291531075</v>
      </c>
      <c r="AM156" s="59">
        <f t="shared" si="113"/>
        <v>788.51898624864407</v>
      </c>
      <c r="AN156" s="59">
        <f ca="1">AVERAGE(OFFSET($AM$3,0,0,'Données projet'!$E$10+1,1))-AVERAGE(OFFSET($H$3,0,0,'Données projet'!$E$10+1,1))</f>
        <v>282.98219518929034</v>
      </c>
      <c r="AO156" s="59">
        <f t="shared" si="144"/>
        <v>205.95652510682322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19.77418112687625</v>
      </c>
      <c r="AV156" s="21">
        <f>EXP(-LN(2)/25)*AV155+(1-EXP(-LN(2)/25))/(LN(2)/25)*Calculateur!AQ156*Calculateur!AS156*VLOOKUP('Données projet'!$B$10,Paramètres!$A$1:$I$89,3,0)*0.475*44/12</f>
        <v>3.5224431867718762</v>
      </c>
      <c r="AW156" s="21">
        <f>EXP(-LN(2)/2)*AW155+(1-EXP(-LN(2)/2))/(LN(2)/2)*AQ156*AT156*VLOOKUP('Données projet'!$B$10,Paramètres!$A$1:$I$89,3,0)*0.475*44/12</f>
        <v>3.0833188891053131E-18</v>
      </c>
      <c r="AX156" s="21">
        <f t="shared" si="166"/>
        <v>23.296624313648127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295.99999999999977</v>
      </c>
      <c r="BE156" s="13">
        <f>BD156*VLOOKUP('Données projet'!$B$11,Paramètres!$A$1:$I$89,3,0)*VLOOKUP('Données projet'!$B$11,Paramètres!$A$1:$I$89,5,0)</f>
        <v>240.11519999999982</v>
      </c>
      <c r="BF156" s="13">
        <f t="shared" si="167"/>
        <v>58.464315631105265</v>
      </c>
      <c r="BG156" s="20">
        <f t="shared" si="168"/>
        <v>520.02598972417468</v>
      </c>
      <c r="BH156" s="59">
        <f t="shared" si="116"/>
        <v>813.35932305750794</v>
      </c>
      <c r="BI156" s="59">
        <f ca="1">AVERAGE(OFFSET($BH$3,0,0,'Données projet'!$E$11+1,1))-AVERAGE(OFFSET($H$3,0,0,'Données projet'!$E$11+1,1))</f>
        <v>293.14894570672351</v>
      </c>
      <c r="BJ156" s="59">
        <f t="shared" si="146"/>
        <v>252.47559879720762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10.82604936321655</v>
      </c>
      <c r="BQ156" s="21">
        <f>EXP(-LN(2)/25)*BQ155+(1-EXP(-LN(2)/25))/(LN(2)/25)*Calculateur!BL156*Calculateur!BN156*VLOOKUP('Données projet'!$B$11,Paramètres!$A$1:$I$89,3,0)*0.475*44/12</f>
        <v>1.0326595519953978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11.858708915211947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607.99999999999977</v>
      </c>
      <c r="O157" s="13">
        <f>N157*VLOOKUP('Données projet'!$B$9,Paramètres!$A$1:$I$89,3,0)*VLOOKUP('Données projet'!$B$9,Paramètres!$A$1:$I$89,5,0)</f>
        <v>339.87199999999984</v>
      </c>
      <c r="P157" s="13">
        <f t="shared" si="141"/>
        <v>79.473500231862786</v>
      </c>
      <c r="Q157" s="20">
        <f t="shared" si="162"/>
        <v>730.36007957049412</v>
      </c>
      <c r="R157" s="59">
        <f t="shared" si="109"/>
        <v>1023.6934129038275</v>
      </c>
      <c r="S157" s="59">
        <f ca="1">AVERAGE(OFFSET($R$3,0,0,'Données projet'!$E$9+1,1))-AVERAGE(OFFSET($H$3,0,0,'Données projet'!$E$9+1,1))</f>
        <v>381.58561971183832</v>
      </c>
      <c r="T157" s="59">
        <f t="shared" si="142"/>
        <v>444.55874959426347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14.284505960829478</v>
      </c>
      <c r="AA157" s="21">
        <f>EXP(-LN(2)/25)*AA156+(1-EXP(-LN(2)/25))/(LN(2)/25)*Calculateur!V157*Calculateur!X157*VLOOKUP('Données projet'!$B$9,Paramètres!$A$1:$I$89,3,0)*0.475*44/12</f>
        <v>1.8902391122893054</v>
      </c>
      <c r="AB157" s="21">
        <f>EXP(-LN(2)/2)*AB156+(1-EXP(-LN(2)/2))/(LN(2)/2)*V157*Y157*VLOOKUP('Données projet'!$B$9,Paramètres!$A$1:$I$89,3,0)*0.475*44/12</f>
        <v>2.6202117041804042E-19</v>
      </c>
      <c r="AC157" s="22">
        <f t="shared" si="163"/>
        <v>16.174745073118782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366.00000000000028</v>
      </c>
      <c r="AJ157" s="13">
        <f>AI157*VLOOKUP('Données projet'!$B$10,Paramètres!$A$1:$I$89,3,0)*VLOOKUP('Données projet'!$B$10,Paramètres!$A$1:$I$89,5,0)</f>
        <v>228.38400000000016</v>
      </c>
      <c r="AK157" s="13">
        <f t="shared" si="164"/>
        <v>55.933121291087339</v>
      </c>
      <c r="AL157" s="20">
        <f t="shared" si="165"/>
        <v>495.18565291531075</v>
      </c>
      <c r="AM157" s="59">
        <f t="shared" si="113"/>
        <v>788.51898624864407</v>
      </c>
      <c r="AN157" s="59">
        <f ca="1">AVERAGE(OFFSET($AM$3,0,0,'Données projet'!$E$10+1,1))-AVERAGE(OFFSET($H$3,0,0,'Données projet'!$E$10+1,1))</f>
        <v>282.98219518929034</v>
      </c>
      <c r="AO157" s="59">
        <f t="shared" si="144"/>
        <v>205.95652510682322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19.386421496037762</v>
      </c>
      <c r="AV157" s="21">
        <f>EXP(-LN(2)/25)*AV156+(1-EXP(-LN(2)/25))/(LN(2)/25)*Calculateur!AQ157*Calculateur!AS157*VLOOKUP('Données projet'!$B$10,Paramètres!$A$1:$I$89,3,0)*0.475*44/12</f>
        <v>3.4261217925923626</v>
      </c>
      <c r="AW157" s="21">
        <f>EXP(-LN(2)/2)*AW156+(1-EXP(-LN(2)/2))/(LN(2)/2)*AQ157*AT157*VLOOKUP('Données projet'!$B$10,Paramètres!$A$1:$I$89,3,0)*0.475*44/12</f>
        <v>2.1802356950469394E-18</v>
      </c>
      <c r="AX157" s="21">
        <f t="shared" si="166"/>
        <v>22.812543288630124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295.99999999999977</v>
      </c>
      <c r="BE157" s="13">
        <f>BD157*VLOOKUP('Données projet'!$B$11,Paramètres!$A$1:$I$89,3,0)*VLOOKUP('Données projet'!$B$11,Paramètres!$A$1:$I$89,5,0)</f>
        <v>240.11519999999982</v>
      </c>
      <c r="BF157" s="13">
        <f t="shared" si="167"/>
        <v>58.464315631105265</v>
      </c>
      <c r="BG157" s="20">
        <f t="shared" si="168"/>
        <v>520.02598972417468</v>
      </c>
      <c r="BH157" s="59">
        <f t="shared" si="116"/>
        <v>813.35932305750794</v>
      </c>
      <c r="BI157" s="59">
        <f ca="1">AVERAGE(OFFSET($BH$3,0,0,'Données projet'!$E$11+1,1))-AVERAGE(OFFSET($H$3,0,0,'Données projet'!$E$11+1,1))</f>
        <v>293.14894570672351</v>
      </c>
      <c r="BJ157" s="59">
        <f t="shared" si="146"/>
        <v>252.47559879720762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10.613757138441969</v>
      </c>
      <c r="BQ157" s="21">
        <f>EXP(-LN(2)/25)*BQ156+(1-EXP(-LN(2)/25))/(LN(2)/25)*Calculateur!BL157*Calculateur!BN157*VLOOKUP('Données projet'!$B$11,Paramètres!$A$1:$I$89,3,0)*0.475*44/12</f>
        <v>1.004421422240878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11.618178560682846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607.99999999999977</v>
      </c>
      <c r="O158" s="13">
        <f>N158*VLOOKUP('Données projet'!$B$9,Paramètres!$A$1:$I$89,3,0)*VLOOKUP('Données projet'!$B$9,Paramètres!$A$1:$I$89,5,0)</f>
        <v>339.87199999999984</v>
      </c>
      <c r="P158" s="13">
        <f t="shared" si="141"/>
        <v>79.473500231862786</v>
      </c>
      <c r="Q158" s="20">
        <f t="shared" si="162"/>
        <v>730.36007957049412</v>
      </c>
      <c r="R158" s="59">
        <f t="shared" si="109"/>
        <v>1023.6934129038275</v>
      </c>
      <c r="S158" s="59">
        <f ca="1">AVERAGE(OFFSET($R$3,0,0,'Données projet'!$E$9+1,1))-AVERAGE(OFFSET($H$3,0,0,'Données projet'!$E$9+1,1))</f>
        <v>381.58561971183832</v>
      </c>
      <c r="T158" s="59">
        <f t="shared" si="142"/>
        <v>444.55874959426347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14.00439551162594</v>
      </c>
      <c r="AA158" s="21">
        <f>EXP(-LN(2)/25)*AA157+(1-EXP(-LN(2)/25))/(LN(2)/25)*Calculateur!V158*Calculateur!X158*VLOOKUP('Données projet'!$B$9,Paramètres!$A$1:$I$89,3,0)*0.475*44/12</f>
        <v>1.8385504243603996</v>
      </c>
      <c r="AB158" s="21">
        <f>EXP(-LN(2)/2)*AB157+(1-EXP(-LN(2)/2))/(LN(2)/2)*V158*Y158*VLOOKUP('Données projet'!$B$9,Paramètres!$A$1:$I$89,3,0)*0.475*44/12</f>
        <v>1.8527694641703239E-19</v>
      </c>
      <c r="AC158" s="22">
        <f t="shared" si="163"/>
        <v>15.842945935986339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366.00000000000028</v>
      </c>
      <c r="AJ158" s="13">
        <f>AI158*VLOOKUP('Données projet'!$B$10,Paramètres!$A$1:$I$89,3,0)*VLOOKUP('Données projet'!$B$10,Paramètres!$A$1:$I$89,5,0)</f>
        <v>228.38400000000016</v>
      </c>
      <c r="AK158" s="13">
        <f t="shared" si="164"/>
        <v>55.933121291087339</v>
      </c>
      <c r="AL158" s="20">
        <f t="shared" si="165"/>
        <v>495.18565291531075</v>
      </c>
      <c r="AM158" s="59">
        <f t="shared" si="113"/>
        <v>788.51898624864407</v>
      </c>
      <c r="AN158" s="59">
        <f ca="1">AVERAGE(OFFSET($AM$3,0,0,'Données projet'!$E$10+1,1))-AVERAGE(OFFSET($H$3,0,0,'Données projet'!$E$10+1,1))</f>
        <v>282.98219518929034</v>
      </c>
      <c r="AO158" s="59">
        <f t="shared" si="144"/>
        <v>205.95652510682322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19.006265595049996</v>
      </c>
      <c r="AV158" s="21">
        <f>EXP(-LN(2)/25)*AV157+(1-EXP(-LN(2)/25))/(LN(2)/25)*Calculateur!AQ158*Calculateur!AS158*VLOOKUP('Données projet'!$B$10,Paramètres!$A$1:$I$89,3,0)*0.475*44/12</f>
        <v>3.3324343120020097</v>
      </c>
      <c r="AW158" s="21">
        <f>EXP(-LN(2)/2)*AW157+(1-EXP(-LN(2)/2))/(LN(2)/2)*AQ158*AT158*VLOOKUP('Données projet'!$B$10,Paramètres!$A$1:$I$89,3,0)*0.475*44/12</f>
        <v>1.5416594445526566E-18</v>
      </c>
      <c r="AX158" s="21">
        <f t="shared" si="166"/>
        <v>22.338699907052007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295.99999999999977</v>
      </c>
      <c r="BE158" s="13">
        <f>BD158*VLOOKUP('Données projet'!$B$11,Paramètres!$A$1:$I$89,3,0)*VLOOKUP('Données projet'!$B$11,Paramètres!$A$1:$I$89,5,0)</f>
        <v>240.11519999999982</v>
      </c>
      <c r="BF158" s="13">
        <f t="shared" si="167"/>
        <v>58.464315631105265</v>
      </c>
      <c r="BG158" s="20">
        <f t="shared" si="168"/>
        <v>520.02598972417468</v>
      </c>
      <c r="BH158" s="59">
        <f t="shared" si="116"/>
        <v>813.35932305750794</v>
      </c>
      <c r="BI158" s="59">
        <f ca="1">AVERAGE(OFFSET($BH$3,0,0,'Données projet'!$E$11+1,1))-AVERAGE(OFFSET($H$3,0,0,'Données projet'!$E$11+1,1))</f>
        <v>293.14894570672351</v>
      </c>
      <c r="BJ158" s="59">
        <f t="shared" si="146"/>
        <v>252.47559879720762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10.405627834709746</v>
      </c>
      <c r="BQ158" s="21">
        <f>EXP(-LN(2)/25)*BQ157+(1-EXP(-LN(2)/25))/(LN(2)/25)*Calculateur!BL158*Calculateur!BN158*VLOOKUP('Données projet'!$B$11,Paramètres!$A$1:$I$89,3,0)*0.475*44/12</f>
        <v>0.97695546562947433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11.382583300339221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607.99999999999977</v>
      </c>
      <c r="O159" s="13">
        <f>N159*VLOOKUP('Données projet'!$B$9,Paramètres!$A$1:$I$89,3,0)*VLOOKUP('Données projet'!$B$9,Paramètres!$A$1:$I$89,5,0)</f>
        <v>339.87199999999984</v>
      </c>
      <c r="P159" s="13">
        <f t="shared" si="141"/>
        <v>79.473500231862786</v>
      </c>
      <c r="Q159" s="20">
        <f t="shared" si="162"/>
        <v>730.36007957049412</v>
      </c>
      <c r="R159" s="59">
        <f t="shared" si="109"/>
        <v>1023.6934129038275</v>
      </c>
      <c r="S159" s="59">
        <f ca="1">AVERAGE(OFFSET($R$3,0,0,'Données projet'!$E$9+1,1))-AVERAGE(OFFSET($H$3,0,0,'Données projet'!$E$9+1,1))</f>
        <v>381.58561971183832</v>
      </c>
      <c r="T159" s="59">
        <f t="shared" si="142"/>
        <v>444.55874959426347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13.729777857480782</v>
      </c>
      <c r="AA159" s="21">
        <f>EXP(-LN(2)/25)*AA158+(1-EXP(-LN(2)/25))/(LN(2)/25)*Calculateur!V159*Calculateur!X159*VLOOKUP('Données projet'!$B$9,Paramètres!$A$1:$I$89,3,0)*0.475*44/12</f>
        <v>1.7882751663210998</v>
      </c>
      <c r="AB159" s="21">
        <f>EXP(-LN(2)/2)*AB158+(1-EXP(-LN(2)/2))/(LN(2)/2)*V159*Y159*VLOOKUP('Données projet'!$B$9,Paramètres!$A$1:$I$89,3,0)*0.475*44/12</f>
        <v>1.3101058520902021E-19</v>
      </c>
      <c r="AC159" s="22">
        <f t="shared" si="163"/>
        <v>15.518053023801881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366.00000000000028</v>
      </c>
      <c r="AJ159" s="13">
        <f>AI159*VLOOKUP('Données projet'!$B$10,Paramètres!$A$1:$I$89,3,0)*VLOOKUP('Données projet'!$B$10,Paramètres!$A$1:$I$89,5,0)</f>
        <v>228.38400000000016</v>
      </c>
      <c r="AK159" s="13">
        <f t="shared" si="164"/>
        <v>55.933121291087339</v>
      </c>
      <c r="AL159" s="20">
        <f t="shared" si="165"/>
        <v>495.18565291531075</v>
      </c>
      <c r="AM159" s="59">
        <f t="shared" si="113"/>
        <v>788.51898624864407</v>
      </c>
      <c r="AN159" s="59">
        <f ca="1">AVERAGE(OFFSET($AM$3,0,0,'Données projet'!$E$10+1,1))-AVERAGE(OFFSET($H$3,0,0,'Données projet'!$E$10+1,1))</f>
        <v>282.98219518929034</v>
      </c>
      <c r="AO159" s="59">
        <f t="shared" si="144"/>
        <v>205.95652510682322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18.633564319408396</v>
      </c>
      <c r="AV159" s="21">
        <f>EXP(-LN(2)/25)*AV158+(1-EXP(-LN(2)/25))/(LN(2)/25)*Calculateur!AQ159*Calculateur!AS159*VLOOKUP('Données projet'!$B$10,Paramètres!$A$1:$I$89,3,0)*0.475*44/12</f>
        <v>3.2413087204952107</v>
      </c>
      <c r="AW159" s="21">
        <f>EXP(-LN(2)/2)*AW158+(1-EXP(-LN(2)/2))/(LN(2)/2)*AQ159*AT159*VLOOKUP('Données projet'!$B$10,Paramètres!$A$1:$I$89,3,0)*0.475*44/12</f>
        <v>1.0901178475234697E-18</v>
      </c>
      <c r="AX159" s="21">
        <f t="shared" si="166"/>
        <v>21.874873039903608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295.99999999999977</v>
      </c>
      <c r="BE159" s="13">
        <f>BD159*VLOOKUP('Données projet'!$B$11,Paramètres!$A$1:$I$89,3,0)*VLOOKUP('Données projet'!$B$11,Paramètres!$A$1:$I$89,5,0)</f>
        <v>240.11519999999982</v>
      </c>
      <c r="BF159" s="13">
        <f t="shared" si="167"/>
        <v>58.464315631105265</v>
      </c>
      <c r="BG159" s="20">
        <f t="shared" si="168"/>
        <v>520.02598972417468</v>
      </c>
      <c r="BH159" s="59">
        <f t="shared" si="116"/>
        <v>813.35932305750794</v>
      </c>
      <c r="BI159" s="59">
        <f ca="1">AVERAGE(OFFSET($BH$3,0,0,'Données projet'!$E$11+1,1))-AVERAGE(OFFSET($H$3,0,0,'Données projet'!$E$11+1,1))</f>
        <v>293.14894570672351</v>
      </c>
      <c r="BJ159" s="59">
        <f t="shared" si="146"/>
        <v>252.47559879720762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10.201579819677372</v>
      </c>
      <c r="BQ159" s="21">
        <f>EXP(-LN(2)/25)*BQ158+(1-EXP(-LN(2)/25))/(LN(2)/25)*Calculateur!BL159*Calculateur!BN159*VLOOKUP('Données projet'!$B$11,Paramètres!$A$1:$I$89,3,0)*0.475*44/12</f>
        <v>0.95024056704598125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11.151820386723353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607.99999999999977</v>
      </c>
      <c r="O160" s="13">
        <f>N160*VLOOKUP('Données projet'!$B$9,Paramètres!$A$1:$I$89,3,0)*VLOOKUP('Données projet'!$B$9,Paramètres!$A$1:$I$89,5,0)</f>
        <v>339.87199999999984</v>
      </c>
      <c r="P160" s="13">
        <f t="shared" si="141"/>
        <v>79.473500231862786</v>
      </c>
      <c r="Q160" s="20">
        <f t="shared" si="162"/>
        <v>730.36007957049412</v>
      </c>
      <c r="R160" s="59">
        <f t="shared" si="109"/>
        <v>1023.6934129038275</v>
      </c>
      <c r="S160" s="59">
        <f ca="1">AVERAGE(OFFSET($R$3,0,0,'Données projet'!$E$9+1,1))-AVERAGE(OFFSET($H$3,0,0,'Données projet'!$E$9+1,1))</f>
        <v>381.58561971183832</v>
      </c>
      <c r="T160" s="59">
        <f t="shared" si="142"/>
        <v>444.55874959426347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13.460545288033179</v>
      </c>
      <c r="AA160" s="21">
        <f>EXP(-LN(2)/25)*AA159+(1-EXP(-LN(2)/25))/(LN(2)/25)*Calculateur!V160*Calculateur!X160*VLOOKUP('Données projet'!$B$9,Paramètres!$A$1:$I$89,3,0)*0.475*44/12</f>
        <v>1.7393746878567455</v>
      </c>
      <c r="AB160" s="21">
        <f>EXP(-LN(2)/2)*AB159+(1-EXP(-LN(2)/2))/(LN(2)/2)*V160*Y160*VLOOKUP('Données projet'!$B$9,Paramètres!$A$1:$I$89,3,0)*0.475*44/12</f>
        <v>9.2638473208516196E-20</v>
      </c>
      <c r="AC160" s="22">
        <f t="shared" si="163"/>
        <v>15.199919975889925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366.00000000000028</v>
      </c>
      <c r="AJ160" s="13">
        <f>AI160*VLOOKUP('Données projet'!$B$10,Paramètres!$A$1:$I$89,3,0)*VLOOKUP('Données projet'!$B$10,Paramètres!$A$1:$I$89,5,0)</f>
        <v>228.38400000000016</v>
      </c>
      <c r="AK160" s="13">
        <f t="shared" si="164"/>
        <v>55.933121291087339</v>
      </c>
      <c r="AL160" s="20">
        <f t="shared" si="165"/>
        <v>495.18565291531075</v>
      </c>
      <c r="AM160" s="59">
        <f t="shared" si="113"/>
        <v>788.51898624864407</v>
      </c>
      <c r="AN160" s="59">
        <f ca="1">AVERAGE(OFFSET($AM$3,0,0,'Données projet'!$E$10+1,1))-AVERAGE(OFFSET($H$3,0,0,'Données projet'!$E$10+1,1))</f>
        <v>282.98219518929034</v>
      </c>
      <c r="AO160" s="59">
        <f t="shared" si="144"/>
        <v>205.95652510682322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18.268171488456797</v>
      </c>
      <c r="AV160" s="21">
        <f>EXP(-LN(2)/25)*AV159+(1-EXP(-LN(2)/25))/(LN(2)/25)*Calculateur!AQ160*Calculateur!AS160*VLOOKUP('Données projet'!$B$10,Paramètres!$A$1:$I$89,3,0)*0.475*44/12</f>
        <v>3.1526749630802517</v>
      </c>
      <c r="AW160" s="21">
        <f>EXP(-LN(2)/2)*AW159+(1-EXP(-LN(2)/2))/(LN(2)/2)*AQ160*AT160*VLOOKUP('Données projet'!$B$10,Paramètres!$A$1:$I$89,3,0)*0.475*44/12</f>
        <v>7.7082972227632829E-19</v>
      </c>
      <c r="AX160" s="21">
        <f t="shared" si="166"/>
        <v>21.420846451537049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295.99999999999977</v>
      </c>
      <c r="BE160" s="13">
        <f>BD160*VLOOKUP('Données projet'!$B$11,Paramètres!$A$1:$I$89,3,0)*VLOOKUP('Données projet'!$B$11,Paramètres!$A$1:$I$89,5,0)</f>
        <v>240.11519999999982</v>
      </c>
      <c r="BF160" s="13">
        <f t="shared" si="167"/>
        <v>58.464315631105265</v>
      </c>
      <c r="BG160" s="20">
        <f t="shared" si="168"/>
        <v>520.02598972417468</v>
      </c>
      <c r="BH160" s="59">
        <f t="shared" si="116"/>
        <v>813.35932305750794</v>
      </c>
      <c r="BI160" s="59">
        <f ca="1">AVERAGE(OFFSET($BH$3,0,0,'Données projet'!$E$11+1,1))-AVERAGE(OFFSET($H$3,0,0,'Données projet'!$E$11+1,1))</f>
        <v>293.14894570672351</v>
      </c>
      <c r="BJ160" s="59">
        <f t="shared" si="146"/>
        <v>252.47559879720762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10.001533061762784</v>
      </c>
      <c r="BQ160" s="21">
        <f>EXP(-LN(2)/25)*BQ159+(1-EXP(-LN(2)/25))/(LN(2)/25)*Calculateur!BL160*Calculateur!BN160*VLOOKUP('Données projet'!$B$11,Paramètres!$A$1:$I$89,3,0)*0.475*44/12</f>
        <v>0.92425618876912929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10.925789250531913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607.99999999999977</v>
      </c>
      <c r="O161" s="13">
        <f>N161*VLOOKUP('Données projet'!$B$9,Paramètres!$A$1:$I$89,3,0)*VLOOKUP('Données projet'!$B$9,Paramètres!$A$1:$I$89,5,0)</f>
        <v>339.87199999999984</v>
      </c>
      <c r="P161" s="13">
        <f t="shared" si="141"/>
        <v>79.473500231862786</v>
      </c>
      <c r="Q161" s="20">
        <f t="shared" si="162"/>
        <v>730.36007957049412</v>
      </c>
      <c r="R161" s="59">
        <f t="shared" si="109"/>
        <v>1023.6934129038275</v>
      </c>
      <c r="S161" s="59">
        <f ca="1">AVERAGE(OFFSET($R$3,0,0,'Données projet'!$E$9+1,1))-AVERAGE(OFFSET($H$3,0,0,'Données projet'!$E$9+1,1))</f>
        <v>381.58561971183832</v>
      </c>
      <c r="T161" s="59">
        <f t="shared" si="142"/>
        <v>444.55874959426347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13.196592205056792</v>
      </c>
      <c r="AA161" s="21">
        <f>EXP(-LN(2)/25)*AA160+(1-EXP(-LN(2)/25))/(LN(2)/25)*Calculateur!V161*Calculateur!X161*VLOOKUP('Données projet'!$B$9,Paramètres!$A$1:$I$89,3,0)*0.475*44/12</f>
        <v>1.6918113955475633</v>
      </c>
      <c r="AB161" s="21">
        <f>EXP(-LN(2)/2)*AB160+(1-EXP(-LN(2)/2))/(LN(2)/2)*V161*Y161*VLOOKUP('Données projet'!$B$9,Paramètres!$A$1:$I$89,3,0)*0.475*44/12</f>
        <v>6.5505292604510106E-20</v>
      </c>
      <c r="AC161" s="22">
        <f t="shared" si="163"/>
        <v>14.888403600604356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366.00000000000028</v>
      </c>
      <c r="AJ161" s="13">
        <f>AI161*VLOOKUP('Données projet'!$B$10,Paramètres!$A$1:$I$89,3,0)*VLOOKUP('Données projet'!$B$10,Paramètres!$A$1:$I$89,5,0)</f>
        <v>228.38400000000016</v>
      </c>
      <c r="AK161" s="13">
        <f t="shared" si="164"/>
        <v>55.933121291087339</v>
      </c>
      <c r="AL161" s="20">
        <f t="shared" si="165"/>
        <v>495.18565291531075</v>
      </c>
      <c r="AM161" s="59">
        <f t="shared" si="113"/>
        <v>788.51898624864407</v>
      </c>
      <c r="AN161" s="59">
        <f ca="1">AVERAGE(OFFSET($AM$3,0,0,'Données projet'!$E$10+1,1))-AVERAGE(OFFSET($H$3,0,0,'Données projet'!$E$10+1,1))</f>
        <v>282.98219518929034</v>
      </c>
      <c r="AO161" s="59">
        <f t="shared" si="144"/>
        <v>205.95652510682322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17.909943788052537</v>
      </c>
      <c r="AV161" s="21">
        <f>EXP(-LN(2)/25)*AV160+(1-EXP(-LN(2)/25))/(LN(2)/25)*Calculateur!AQ161*Calculateur!AS161*VLOOKUP('Données projet'!$B$10,Paramètres!$A$1:$I$89,3,0)*0.475*44/12</f>
        <v>3.0664649004228517</v>
      </c>
      <c r="AW161" s="21">
        <f>EXP(-LN(2)/2)*AW160+(1-EXP(-LN(2)/2))/(LN(2)/2)*AQ161*AT161*VLOOKUP('Données projet'!$B$10,Paramètres!$A$1:$I$89,3,0)*0.475*44/12</f>
        <v>5.4505892376173486E-19</v>
      </c>
      <c r="AX161" s="21">
        <f t="shared" si="166"/>
        <v>20.976408688475388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295.99999999999977</v>
      </c>
      <c r="BE161" s="13">
        <f>BD161*VLOOKUP('Données projet'!$B$11,Paramètres!$A$1:$I$89,3,0)*VLOOKUP('Données projet'!$B$11,Paramètres!$A$1:$I$89,5,0)</f>
        <v>240.11519999999982</v>
      </c>
      <c r="BF161" s="13">
        <f t="shared" si="167"/>
        <v>58.464315631105265</v>
      </c>
      <c r="BG161" s="20">
        <f t="shared" si="168"/>
        <v>520.02598972417468</v>
      </c>
      <c r="BH161" s="59">
        <f t="shared" si="116"/>
        <v>813.35932305750794</v>
      </c>
      <c r="BI161" s="59">
        <f ca="1">AVERAGE(OFFSET($BH$3,0,0,'Données projet'!$E$11+1,1))-AVERAGE(OFFSET($H$3,0,0,'Données projet'!$E$11+1,1))</f>
        <v>293.14894570672351</v>
      </c>
      <c r="BJ161" s="59">
        <f t="shared" si="146"/>
        <v>252.47559879720762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9.805409098754426</v>
      </c>
      <c r="BQ161" s="21">
        <f>EXP(-LN(2)/25)*BQ160+(1-EXP(-LN(2)/25))/(LN(2)/25)*Calculateur!BL161*Calculateur!BN161*VLOOKUP('Données projet'!$B$11,Paramètres!$A$1:$I$89,3,0)*0.475*44/12</f>
        <v>0.89898235468271692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10.704391453437143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607.99999999999977</v>
      </c>
      <c r="O162" s="13">
        <f>N162*VLOOKUP('Données projet'!$B$9,Paramètres!$A$1:$I$89,3,0)*VLOOKUP('Données projet'!$B$9,Paramètres!$A$1:$I$89,5,0)</f>
        <v>339.87199999999984</v>
      </c>
      <c r="P162" s="13">
        <f t="shared" si="141"/>
        <v>79.473500231862786</v>
      </c>
      <c r="Q162" s="20">
        <f t="shared" si="162"/>
        <v>730.36007957049412</v>
      </c>
      <c r="R162" s="59">
        <f t="shared" si="109"/>
        <v>1023.6934129038275</v>
      </c>
      <c r="S162" s="59">
        <f ca="1">AVERAGE(OFFSET($R$3,0,0,'Données projet'!$E$9+1,1))-AVERAGE(OFFSET($H$3,0,0,'Données projet'!$E$9+1,1))</f>
        <v>381.58561971183832</v>
      </c>
      <c r="T162" s="59">
        <f t="shared" si="142"/>
        <v>444.55874959426347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12.937815081042087</v>
      </c>
      <c r="AA162" s="21">
        <f>EXP(-LN(2)/25)*AA161+(1-EXP(-LN(2)/25))/(LN(2)/25)*Calculateur!V162*Calculateur!X162*VLOOKUP('Données projet'!$B$9,Paramètres!$A$1:$I$89,3,0)*0.475*44/12</f>
        <v>1.6455487239678206</v>
      </c>
      <c r="AB162" s="21">
        <f>EXP(-LN(2)/2)*AB161+(1-EXP(-LN(2)/2))/(LN(2)/2)*V162*Y162*VLOOKUP('Données projet'!$B$9,Paramètres!$A$1:$I$89,3,0)*0.475*44/12</f>
        <v>4.6319236604258098E-20</v>
      </c>
      <c r="AC162" s="22">
        <f t="shared" si="163"/>
        <v>14.583363805009908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366.00000000000028</v>
      </c>
      <c r="AJ162" s="13">
        <f>AI162*VLOOKUP('Données projet'!$B$10,Paramètres!$A$1:$I$89,3,0)*VLOOKUP('Données projet'!$B$10,Paramètres!$A$1:$I$89,5,0)</f>
        <v>228.38400000000016</v>
      </c>
      <c r="AK162" s="13">
        <f t="shared" si="164"/>
        <v>55.933121291087339</v>
      </c>
      <c r="AL162" s="20">
        <f t="shared" si="165"/>
        <v>495.18565291531075</v>
      </c>
      <c r="AM162" s="59">
        <f t="shared" si="113"/>
        <v>788.51898624864407</v>
      </c>
      <c r="AN162" s="59">
        <f ca="1">AVERAGE(OFFSET($AM$3,0,0,'Données projet'!$E$10+1,1))-AVERAGE(OFFSET($H$3,0,0,'Données projet'!$E$10+1,1))</f>
        <v>282.98219518929034</v>
      </c>
      <c r="AO162" s="59">
        <f t="shared" si="144"/>
        <v>205.95652510682322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17.558740714355885</v>
      </c>
      <c r="AV162" s="21">
        <f>EXP(-LN(2)/25)*AV161+(1-EXP(-LN(2)/25))/(LN(2)/25)*Calculateur!AQ162*Calculateur!AS162*VLOOKUP('Données projet'!$B$10,Paramètres!$A$1:$I$89,3,0)*0.475*44/12</f>
        <v>2.9826122564624082</v>
      </c>
      <c r="AW162" s="21">
        <f>EXP(-LN(2)/2)*AW161+(1-EXP(-LN(2)/2))/(LN(2)/2)*AQ162*AT162*VLOOKUP('Données projet'!$B$10,Paramètres!$A$1:$I$89,3,0)*0.475*44/12</f>
        <v>3.8541486113816414E-19</v>
      </c>
      <c r="AX162" s="21">
        <f t="shared" si="166"/>
        <v>20.541352970818295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295.99999999999977</v>
      </c>
      <c r="BE162" s="13">
        <f>BD162*VLOOKUP('Données projet'!$B$11,Paramètres!$A$1:$I$89,3,0)*VLOOKUP('Données projet'!$B$11,Paramètres!$A$1:$I$89,5,0)</f>
        <v>240.11519999999982</v>
      </c>
      <c r="BF162" s="13">
        <f t="shared" si="167"/>
        <v>58.464315631105265</v>
      </c>
      <c r="BG162" s="20">
        <f t="shared" si="168"/>
        <v>520.02598972417468</v>
      </c>
      <c r="BH162" s="59">
        <f t="shared" si="116"/>
        <v>813.35932305750794</v>
      </c>
      <c r="BI162" s="59">
        <f ca="1">AVERAGE(OFFSET($BH$3,0,0,'Données projet'!$E$11+1,1))-AVERAGE(OFFSET($H$3,0,0,'Données projet'!$E$11+1,1))</f>
        <v>293.14894570672351</v>
      </c>
      <c r="BJ162" s="59">
        <f t="shared" si="146"/>
        <v>252.47559879720762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9.6131310070368556</v>
      </c>
      <c r="BQ162" s="21">
        <f>EXP(-LN(2)/25)*BQ161+(1-EXP(-LN(2)/25))/(LN(2)/25)*Calculateur!BL162*Calculateur!BN162*VLOOKUP('Données projet'!$B$11,Paramètres!$A$1:$I$89,3,0)*0.475*44/12</f>
        <v>0.8743996349184906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10.487530641955345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607.99999999999977</v>
      </c>
      <c r="O163" s="13">
        <f>N163*VLOOKUP('Données projet'!$B$9,Paramètres!$A$1:$I$89,3,0)*VLOOKUP('Données projet'!$B$9,Paramètres!$A$1:$I$89,5,0)</f>
        <v>339.87199999999984</v>
      </c>
      <c r="P163" s="13">
        <f t="shared" si="141"/>
        <v>79.473500231862786</v>
      </c>
      <c r="Q163" s="20">
        <f t="shared" si="162"/>
        <v>730.36007957049412</v>
      </c>
      <c r="R163" s="59">
        <f t="shared" si="109"/>
        <v>1023.6934129038275</v>
      </c>
      <c r="S163" s="59">
        <f ca="1">AVERAGE(OFFSET($R$3,0,0,'Données projet'!$E$9+1,1))-AVERAGE(OFFSET($H$3,0,0,'Données projet'!$E$9+1,1))</f>
        <v>381.58561971183832</v>
      </c>
      <c r="T163" s="59">
        <f t="shared" si="142"/>
        <v>444.55874959426347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12.684112418590852</v>
      </c>
      <c r="AA163" s="21">
        <f>EXP(-LN(2)/25)*AA162+(1-EXP(-LN(2)/25))/(LN(2)/25)*Calculateur!V163*Calculateur!X163*VLOOKUP('Données projet'!$B$9,Paramètres!$A$1:$I$89,3,0)*0.475*44/12</f>
        <v>1.6005511075752741</v>
      </c>
      <c r="AB163" s="21">
        <f>EXP(-LN(2)/2)*AB162+(1-EXP(-LN(2)/2))/(LN(2)/2)*V163*Y163*VLOOKUP('Données projet'!$B$9,Paramètres!$A$1:$I$89,3,0)*0.475*44/12</f>
        <v>3.2752646302255053E-20</v>
      </c>
      <c r="AC163" s="22">
        <f t="shared" si="163"/>
        <v>14.284663526166126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366.00000000000028</v>
      </c>
      <c r="AJ163" s="13">
        <f>AI163*VLOOKUP('Données projet'!$B$10,Paramètres!$A$1:$I$89,3,0)*VLOOKUP('Données projet'!$B$10,Paramètres!$A$1:$I$89,5,0)</f>
        <v>228.38400000000016</v>
      </c>
      <c r="AK163" s="13">
        <f t="shared" si="164"/>
        <v>55.933121291087339</v>
      </c>
      <c r="AL163" s="20">
        <f t="shared" si="165"/>
        <v>495.18565291531075</v>
      </c>
      <c r="AM163" s="59">
        <f t="shared" si="113"/>
        <v>788.51898624864407</v>
      </c>
      <c r="AN163" s="59">
        <f ca="1">AVERAGE(OFFSET($AM$3,0,0,'Données projet'!$E$10+1,1))-AVERAGE(OFFSET($H$3,0,0,'Données projet'!$E$10+1,1))</f>
        <v>282.98219518929034</v>
      </c>
      <c r="AO163" s="59">
        <f t="shared" si="144"/>
        <v>205.95652510682322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17.2144245187217</v>
      </c>
      <c r="AV163" s="21">
        <f>EXP(-LN(2)/25)*AV162+(1-EXP(-LN(2)/25))/(LN(2)/25)*Calculateur!AQ163*Calculateur!AS163*VLOOKUP('Données projet'!$B$10,Paramètres!$A$1:$I$89,3,0)*0.475*44/12</f>
        <v>2.901052567460682</v>
      </c>
      <c r="AW163" s="21">
        <f>EXP(-LN(2)/2)*AW162+(1-EXP(-LN(2)/2))/(LN(2)/2)*AQ163*AT163*VLOOKUP('Données projet'!$B$10,Paramètres!$A$1:$I$89,3,0)*0.475*44/12</f>
        <v>2.7252946188086743E-19</v>
      </c>
      <c r="AX163" s="21">
        <f t="shared" si="166"/>
        <v>20.115477086182381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295.99999999999977</v>
      </c>
      <c r="BE163" s="13">
        <f>BD163*VLOOKUP('Données projet'!$B$11,Paramètres!$A$1:$I$89,3,0)*VLOOKUP('Données projet'!$B$11,Paramètres!$A$1:$I$89,5,0)</f>
        <v>240.11519999999982</v>
      </c>
      <c r="BF163" s="13">
        <f t="shared" si="167"/>
        <v>58.464315631105265</v>
      </c>
      <c r="BG163" s="20">
        <f t="shared" si="168"/>
        <v>520.02598972417468</v>
      </c>
      <c r="BH163" s="59">
        <f t="shared" si="116"/>
        <v>813.35932305750794</v>
      </c>
      <c r="BI163" s="59">
        <f ca="1">AVERAGE(OFFSET($BH$3,0,0,'Données projet'!$E$11+1,1))-AVERAGE(OFFSET($H$3,0,0,'Données projet'!$E$11+1,1))</f>
        <v>293.14894570672351</v>
      </c>
      <c r="BJ163" s="59">
        <f t="shared" si="146"/>
        <v>252.47559879720762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9.4246233714198109</v>
      </c>
      <c r="BQ163" s="21">
        <f>EXP(-LN(2)/25)*BQ162+(1-EXP(-LN(2)/25))/(LN(2)/25)*Calculateur!BL163*Calculateur!BN163*VLOOKUP('Données projet'!$B$11,Paramètres!$A$1:$I$89,3,0)*0.475*44/12</f>
        <v>0.85048913091896616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10.275112502338777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607.99999999999977</v>
      </c>
      <c r="O164" s="13">
        <f>N164*VLOOKUP('Données projet'!$B$9,Paramètres!$A$1:$I$89,3,0)*VLOOKUP('Données projet'!$B$9,Paramètres!$A$1:$I$89,5,0)</f>
        <v>339.87199999999984</v>
      </c>
      <c r="P164" s="13">
        <f t="shared" si="141"/>
        <v>79.473500231862786</v>
      </c>
      <c r="Q164" s="20">
        <f t="shared" si="162"/>
        <v>730.36007957049412</v>
      </c>
      <c r="R164" s="59">
        <f t="shared" si="109"/>
        <v>1023.6934129038275</v>
      </c>
      <c r="S164" s="59">
        <f ca="1">AVERAGE(OFFSET($R$3,0,0,'Données projet'!$E$9+1,1))-AVERAGE(OFFSET($H$3,0,0,'Données projet'!$E$9+1,1))</f>
        <v>381.58561971183832</v>
      </c>
      <c r="T164" s="59">
        <f t="shared" si="142"/>
        <v>444.55874959426347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12.43538471060694</v>
      </c>
      <c r="AA164" s="21">
        <f>EXP(-LN(2)/25)*AA163+(1-EXP(-LN(2)/25))/(LN(2)/25)*Calculateur!V164*Calculateur!X164*VLOOKUP('Données projet'!$B$9,Paramètres!$A$1:$I$89,3,0)*0.475*44/12</f>
        <v>1.5567839533693035</v>
      </c>
      <c r="AB164" s="21">
        <f>EXP(-LN(2)/2)*AB163+(1-EXP(-LN(2)/2))/(LN(2)/2)*V164*Y164*VLOOKUP('Données projet'!$B$9,Paramètres!$A$1:$I$89,3,0)*0.475*44/12</f>
        <v>2.3159618302129049E-20</v>
      </c>
      <c r="AC164" s="22">
        <f t="shared" si="163"/>
        <v>13.992168663976242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366.00000000000028</v>
      </c>
      <c r="AJ164" s="13">
        <f>AI164*VLOOKUP('Données projet'!$B$10,Paramètres!$A$1:$I$89,3,0)*VLOOKUP('Données projet'!$B$10,Paramètres!$A$1:$I$89,5,0)</f>
        <v>228.38400000000016</v>
      </c>
      <c r="AK164" s="13">
        <f t="shared" si="164"/>
        <v>55.933121291087339</v>
      </c>
      <c r="AL164" s="20">
        <f t="shared" si="165"/>
        <v>495.18565291531075</v>
      </c>
      <c r="AM164" s="59">
        <f t="shared" si="113"/>
        <v>788.51898624864407</v>
      </c>
      <c r="AN164" s="59">
        <f ca="1">AVERAGE(OFFSET($AM$3,0,0,'Données projet'!$E$10+1,1))-AVERAGE(OFFSET($H$3,0,0,'Données projet'!$E$10+1,1))</f>
        <v>282.98219518929034</v>
      </c>
      <c r="AO164" s="59">
        <f t="shared" si="144"/>
        <v>205.95652510682322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16.876860153671757</v>
      </c>
      <c r="AV164" s="21">
        <f>EXP(-LN(2)/25)*AV163+(1-EXP(-LN(2)/25))/(LN(2)/25)*Calculateur!AQ164*Calculateur!AS164*VLOOKUP('Données projet'!$B$10,Paramètres!$A$1:$I$89,3,0)*0.475*44/12</f>
        <v>2.8217231324437457</v>
      </c>
      <c r="AW164" s="21">
        <f>EXP(-LN(2)/2)*AW163+(1-EXP(-LN(2)/2))/(LN(2)/2)*AQ164*AT164*VLOOKUP('Données projet'!$B$10,Paramètres!$A$1:$I$89,3,0)*0.475*44/12</f>
        <v>1.9270743056908207E-19</v>
      </c>
      <c r="AX164" s="21">
        <f t="shared" si="166"/>
        <v>19.698583286115504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295.99999999999977</v>
      </c>
      <c r="BE164" s="13">
        <f>BD164*VLOOKUP('Données projet'!$B$11,Paramètres!$A$1:$I$89,3,0)*VLOOKUP('Données projet'!$B$11,Paramètres!$A$1:$I$89,5,0)</f>
        <v>240.11519999999982</v>
      </c>
      <c r="BF164" s="13">
        <f t="shared" si="167"/>
        <v>58.464315631105265</v>
      </c>
      <c r="BG164" s="20">
        <f t="shared" si="168"/>
        <v>520.02598972417468</v>
      </c>
      <c r="BH164" s="59">
        <f t="shared" si="116"/>
        <v>813.35932305750794</v>
      </c>
      <c r="BI164" s="59">
        <f ca="1">AVERAGE(OFFSET($BH$3,0,0,'Données projet'!$E$11+1,1))-AVERAGE(OFFSET($H$3,0,0,'Données projet'!$E$11+1,1))</f>
        <v>293.14894570672351</v>
      </c>
      <c r="BJ164" s="59">
        <f t="shared" si="146"/>
        <v>252.47559879720762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9.2398122555589133</v>
      </c>
      <c r="BQ164" s="21">
        <f>EXP(-LN(2)/25)*BQ163+(1-EXP(-LN(2)/25))/(LN(2)/25)*Calculateur!BL164*Calculateur!BN164*VLOOKUP('Données projet'!$B$11,Paramètres!$A$1:$I$89,3,0)*0.475*44/12</f>
        <v>0.8272324609087075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10.06704471646762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607.99999999999977</v>
      </c>
      <c r="O165" s="13">
        <f>N165*VLOOKUP('Données projet'!$B$9,Paramètres!$A$1:$I$89,3,0)*VLOOKUP('Données projet'!$B$9,Paramètres!$A$1:$I$89,5,0)</f>
        <v>339.87199999999984</v>
      </c>
      <c r="P165" s="13">
        <f t="shared" si="141"/>
        <v>79.473500231862786</v>
      </c>
      <c r="Q165" s="20">
        <f t="shared" si="162"/>
        <v>730.36007957049412</v>
      </c>
      <c r="R165" s="59">
        <f t="shared" si="109"/>
        <v>1023.6934129038275</v>
      </c>
      <c r="S165" s="59">
        <f ca="1">AVERAGE(OFFSET($R$3,0,0,'Données projet'!$E$9+1,1))-AVERAGE(OFFSET($H$3,0,0,'Données projet'!$E$9+1,1))</f>
        <v>381.58561971183832</v>
      </c>
      <c r="T165" s="59">
        <f t="shared" si="142"/>
        <v>444.55874959426347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12.191534401267671</v>
      </c>
      <c r="AA165" s="21">
        <f>EXP(-LN(2)/25)*AA164+(1-EXP(-LN(2)/25))/(LN(2)/25)*Calculateur!V165*Calculateur!X165*VLOOKUP('Données projet'!$B$9,Paramètres!$A$1:$I$89,3,0)*0.475*44/12</f>
        <v>1.51421361429671</v>
      </c>
      <c r="AB165" s="21">
        <f>EXP(-LN(2)/2)*AB164+(1-EXP(-LN(2)/2))/(LN(2)/2)*V165*Y165*VLOOKUP('Données projet'!$B$9,Paramètres!$A$1:$I$89,3,0)*0.475*44/12</f>
        <v>1.6376323151127526E-20</v>
      </c>
      <c r="AC165" s="22">
        <f t="shared" si="163"/>
        <v>13.70574801556438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366.00000000000028</v>
      </c>
      <c r="AJ165" s="13">
        <f>AI165*VLOOKUP('Données projet'!$B$10,Paramètres!$A$1:$I$89,3,0)*VLOOKUP('Données projet'!$B$10,Paramètres!$A$1:$I$89,5,0)</f>
        <v>228.38400000000016</v>
      </c>
      <c r="AK165" s="13">
        <f t="shared" si="164"/>
        <v>55.933121291087339</v>
      </c>
      <c r="AL165" s="20">
        <f t="shared" si="165"/>
        <v>495.18565291531075</v>
      </c>
      <c r="AM165" s="59">
        <f t="shared" si="113"/>
        <v>788.51898624864407</v>
      </c>
      <c r="AN165" s="59">
        <f ca="1">AVERAGE(OFFSET($AM$3,0,0,'Données projet'!$E$10+1,1))-AVERAGE(OFFSET($H$3,0,0,'Données projet'!$E$10+1,1))</f>
        <v>282.98219518929034</v>
      </c>
      <c r="AO165" s="59">
        <f t="shared" si="144"/>
        <v>205.95652510682322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16.545915219926513</v>
      </c>
      <c r="AV165" s="21">
        <f>EXP(-LN(2)/25)*AV164+(1-EXP(-LN(2)/25))/(LN(2)/25)*Calculateur!AQ165*Calculateur!AS165*VLOOKUP('Données projet'!$B$10,Paramètres!$A$1:$I$89,3,0)*0.475*44/12</f>
        <v>2.7445629649991012</v>
      </c>
      <c r="AW165" s="21">
        <f>EXP(-LN(2)/2)*AW164+(1-EXP(-LN(2)/2))/(LN(2)/2)*AQ165*AT165*VLOOKUP('Données projet'!$B$10,Paramètres!$A$1:$I$89,3,0)*0.475*44/12</f>
        <v>1.3626473094043371E-19</v>
      </c>
      <c r="AX165" s="21">
        <f t="shared" si="166"/>
        <v>19.290478184925615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295.99999999999977</v>
      </c>
      <c r="BE165" s="13">
        <f>BD165*VLOOKUP('Données projet'!$B$11,Paramètres!$A$1:$I$89,3,0)*VLOOKUP('Données projet'!$B$11,Paramètres!$A$1:$I$89,5,0)</f>
        <v>240.11519999999982</v>
      </c>
      <c r="BF165" s="13">
        <f t="shared" si="167"/>
        <v>58.464315631105265</v>
      </c>
      <c r="BG165" s="20">
        <f t="shared" si="168"/>
        <v>520.02598972417468</v>
      </c>
      <c r="BH165" s="59">
        <f t="shared" si="116"/>
        <v>813.35932305750794</v>
      </c>
      <c r="BI165" s="59">
        <f ca="1">AVERAGE(OFFSET($BH$3,0,0,'Données projet'!$E$11+1,1))-AVERAGE(OFFSET($H$3,0,0,'Données projet'!$E$11+1,1))</f>
        <v>293.14894570672351</v>
      </c>
      <c r="BJ165" s="59">
        <f t="shared" si="146"/>
        <v>252.47559879720762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9.0586251729563969</v>
      </c>
      <c r="BQ165" s="21">
        <f>EXP(-LN(2)/25)*BQ164+(1-EXP(-LN(2)/25))/(LN(2)/25)*Calculateur!BL165*Calculateur!BN165*VLOOKUP('Données projet'!$B$11,Paramètres!$A$1:$I$89,3,0)*0.475*44/12</f>
        <v>0.8046117457628944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9.8632369187192914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607.99999999999977</v>
      </c>
      <c r="O166" s="13">
        <f>N166*VLOOKUP('Données projet'!$B$9,Paramètres!$A$1:$I$89,3,0)*VLOOKUP('Données projet'!$B$9,Paramètres!$A$1:$I$89,5,0)</f>
        <v>339.87199999999984</v>
      </c>
      <c r="P166" s="13">
        <f t="shared" si="141"/>
        <v>79.473500231862786</v>
      </c>
      <c r="Q166" s="20">
        <f t="shared" si="162"/>
        <v>730.36007957049412</v>
      </c>
      <c r="R166" s="59">
        <f t="shared" si="109"/>
        <v>1023.6934129038275</v>
      </c>
      <c r="S166" s="59">
        <f ca="1">AVERAGE(OFFSET($R$3,0,0,'Données projet'!$E$9+1,1))-AVERAGE(OFFSET($H$3,0,0,'Données projet'!$E$9+1,1))</f>
        <v>381.58561971183832</v>
      </c>
      <c r="T166" s="59">
        <f t="shared" si="142"/>
        <v>444.55874959426347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11.952465847760543</v>
      </c>
      <c r="AA166" s="21">
        <f>EXP(-LN(2)/25)*AA165+(1-EXP(-LN(2)/25))/(LN(2)/25)*Calculateur!V166*Calculateur!X166*VLOOKUP('Données projet'!$B$9,Paramètres!$A$1:$I$89,3,0)*0.475*44/12</f>
        <v>1.4728073633847332</v>
      </c>
      <c r="AB166" s="21">
        <f>EXP(-LN(2)/2)*AB165+(1-EXP(-LN(2)/2))/(LN(2)/2)*V166*Y166*VLOOKUP('Données projet'!$B$9,Paramètres!$A$1:$I$89,3,0)*0.475*44/12</f>
        <v>1.1579809151064524E-20</v>
      </c>
      <c r="AC166" s="22">
        <f t="shared" si="163"/>
        <v>13.425273211145276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366.00000000000028</v>
      </c>
      <c r="AJ166" s="13">
        <f>AI166*VLOOKUP('Données projet'!$B$10,Paramètres!$A$1:$I$89,3,0)*VLOOKUP('Données projet'!$B$10,Paramètres!$A$1:$I$89,5,0)</f>
        <v>228.38400000000016</v>
      </c>
      <c r="AK166" s="13">
        <f t="shared" si="164"/>
        <v>55.933121291087339</v>
      </c>
      <c r="AL166" s="20">
        <f t="shared" si="165"/>
        <v>495.18565291531075</v>
      </c>
      <c r="AM166" s="59">
        <f t="shared" si="113"/>
        <v>788.51898624864407</v>
      </c>
      <c r="AN166" s="59">
        <f ca="1">AVERAGE(OFFSET($AM$3,0,0,'Données projet'!$E$10+1,1))-AVERAGE(OFFSET($H$3,0,0,'Données projet'!$E$10+1,1))</f>
        <v>282.98219518929034</v>
      </c>
      <c r="AO166" s="59">
        <f t="shared" si="144"/>
        <v>205.95652510682322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16.221459914475535</v>
      </c>
      <c r="AV166" s="21">
        <f>EXP(-LN(2)/25)*AV165+(1-EXP(-LN(2)/25))/(LN(2)/25)*Calculateur!AQ166*Calculateur!AS166*VLOOKUP('Données projet'!$B$10,Paramètres!$A$1:$I$89,3,0)*0.475*44/12</f>
        <v>2.6695127463909074</v>
      </c>
      <c r="AW166" s="21">
        <f>EXP(-LN(2)/2)*AW165+(1-EXP(-LN(2)/2))/(LN(2)/2)*AQ166*AT166*VLOOKUP('Données projet'!$B$10,Paramètres!$A$1:$I$89,3,0)*0.475*44/12</f>
        <v>9.6353715284541036E-20</v>
      </c>
      <c r="AX166" s="21">
        <f t="shared" si="166"/>
        <v>18.890972660866442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295.99999999999977</v>
      </c>
      <c r="BE166" s="13">
        <f>BD166*VLOOKUP('Données projet'!$B$11,Paramètres!$A$1:$I$89,3,0)*VLOOKUP('Données projet'!$B$11,Paramètres!$A$1:$I$89,5,0)</f>
        <v>240.11519999999982</v>
      </c>
      <c r="BF166" s="13">
        <f t="shared" si="167"/>
        <v>58.464315631105265</v>
      </c>
      <c r="BG166" s="20">
        <f t="shared" si="168"/>
        <v>520.02598972417468</v>
      </c>
      <c r="BH166" s="59">
        <f t="shared" si="116"/>
        <v>813.35932305750794</v>
      </c>
      <c r="BI166" s="59">
        <f ca="1">AVERAGE(OFFSET($BH$3,0,0,'Données projet'!$E$11+1,1))-AVERAGE(OFFSET($H$3,0,0,'Données projet'!$E$11+1,1))</f>
        <v>293.14894570672351</v>
      </c>
      <c r="BJ166" s="59">
        <f t="shared" si="146"/>
        <v>252.47559879720762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8.8809910585305083</v>
      </c>
      <c r="BQ166" s="21">
        <f>EXP(-LN(2)/25)*BQ165+(1-EXP(-LN(2)/25))/(LN(2)/25)*Calculateur!BL166*Calculateur!BN166*VLOOKUP('Données projet'!$B$11,Paramètres!$A$1:$I$89,3,0)*0.475*44/12</f>
        <v>0.78260959526231533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9.6636006537928232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607.99999999999977</v>
      </c>
      <c r="O167" s="13">
        <f>N167*VLOOKUP('Données projet'!$B$9,Paramètres!$A$1:$I$89,3,0)*VLOOKUP('Données projet'!$B$9,Paramètres!$A$1:$I$89,5,0)</f>
        <v>339.87199999999984</v>
      </c>
      <c r="P167" s="13">
        <f t="shared" si="141"/>
        <v>79.473500231862786</v>
      </c>
      <c r="Q167" s="20">
        <f t="shared" si="162"/>
        <v>730.36007957049412</v>
      </c>
      <c r="R167" s="59">
        <f t="shared" si="109"/>
        <v>1023.6934129038275</v>
      </c>
      <c r="S167" s="59">
        <f ca="1">AVERAGE(OFFSET($R$3,0,0,'Données projet'!$E$9+1,1))-AVERAGE(OFFSET($H$3,0,0,'Données projet'!$E$9+1,1))</f>
        <v>381.58561971183832</v>
      </c>
      <c r="T167" s="59">
        <f t="shared" si="142"/>
        <v>444.55874959426347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11.71808528277027</v>
      </c>
      <c r="AA167" s="21">
        <f>EXP(-LN(2)/25)*AA166+(1-EXP(-LN(2)/25))/(LN(2)/25)*Calculateur!V167*Calculateur!X167*VLOOKUP('Données projet'!$B$9,Paramètres!$A$1:$I$89,3,0)*0.475*44/12</f>
        <v>1.4325333685814046</v>
      </c>
      <c r="AB167" s="21">
        <f>EXP(-LN(2)/2)*AB166+(1-EXP(-LN(2)/2))/(LN(2)/2)*V167*Y167*VLOOKUP('Données projet'!$B$9,Paramètres!$A$1:$I$89,3,0)*0.475*44/12</f>
        <v>8.1881615755637632E-21</v>
      </c>
      <c r="AC167" s="22">
        <f t="shared" si="163"/>
        <v>13.150618651351675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366.00000000000028</v>
      </c>
      <c r="AJ167" s="13">
        <f>AI167*VLOOKUP('Données projet'!$B$10,Paramètres!$A$1:$I$89,3,0)*VLOOKUP('Données projet'!$B$10,Paramètres!$A$1:$I$89,5,0)</f>
        <v>228.38400000000016</v>
      </c>
      <c r="AK167" s="13">
        <f t="shared" si="164"/>
        <v>55.933121291087339</v>
      </c>
      <c r="AL167" s="20">
        <f t="shared" si="165"/>
        <v>495.18565291531075</v>
      </c>
      <c r="AM167" s="59">
        <f t="shared" si="113"/>
        <v>788.51898624864407</v>
      </c>
      <c r="AN167" s="59">
        <f ca="1">AVERAGE(OFFSET($AM$3,0,0,'Données projet'!$E$10+1,1))-AVERAGE(OFFSET($H$3,0,0,'Données projet'!$E$10+1,1))</f>
        <v>282.98219518929034</v>
      </c>
      <c r="AO167" s="59">
        <f t="shared" si="144"/>
        <v>205.95652510682322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15.903366979666254</v>
      </c>
      <c r="AV167" s="21">
        <f>EXP(-LN(2)/25)*AV166+(1-EXP(-LN(2)/25))/(LN(2)/25)*Calculateur!AQ167*Calculateur!AS167*VLOOKUP('Données projet'!$B$10,Paramètres!$A$1:$I$89,3,0)*0.475*44/12</f>
        <v>2.5965147799572739</v>
      </c>
      <c r="AW167" s="21">
        <f>EXP(-LN(2)/2)*AW166+(1-EXP(-LN(2)/2))/(LN(2)/2)*AQ167*AT167*VLOOKUP('Données projet'!$B$10,Paramètres!$A$1:$I$89,3,0)*0.475*44/12</f>
        <v>6.8132365470216857E-20</v>
      </c>
      <c r="AX167" s="21">
        <f t="shared" si="166"/>
        <v>18.499881759623527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295.99999999999977</v>
      </c>
      <c r="BE167" s="13">
        <f>BD167*VLOOKUP('Données projet'!$B$11,Paramètres!$A$1:$I$89,3,0)*VLOOKUP('Données projet'!$B$11,Paramètres!$A$1:$I$89,5,0)</f>
        <v>240.11519999999982</v>
      </c>
      <c r="BF167" s="13">
        <f t="shared" si="167"/>
        <v>58.464315631105265</v>
      </c>
      <c r="BG167" s="20">
        <f t="shared" si="168"/>
        <v>520.02598972417468</v>
      </c>
      <c r="BH167" s="59">
        <f t="shared" si="116"/>
        <v>813.35932305750794</v>
      </c>
      <c r="BI167" s="59">
        <f ca="1">AVERAGE(OFFSET($BH$3,0,0,'Données projet'!$E$11+1,1))-AVERAGE(OFFSET($H$3,0,0,'Données projet'!$E$11+1,1))</f>
        <v>293.14894570672351</v>
      </c>
      <c r="BJ167" s="59">
        <f t="shared" si="146"/>
        <v>252.47559879720762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8.7068402407423999</v>
      </c>
      <c r="BQ167" s="21">
        <f>EXP(-LN(2)/25)*BQ166+(1-EXP(-LN(2)/25))/(LN(2)/25)*Calculateur!BL167*Calculateur!BN167*VLOOKUP('Données projet'!$B$11,Paramètres!$A$1:$I$89,3,0)*0.475*44/12</f>
        <v>0.76120909472421738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9.4680493354666169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607.99999999999977</v>
      </c>
      <c r="O168" s="13">
        <f>N168*VLOOKUP('Données projet'!$B$9,Paramètres!$A$1:$I$89,3,0)*VLOOKUP('Données projet'!$B$9,Paramètres!$A$1:$I$89,5,0)</f>
        <v>339.87199999999984</v>
      </c>
      <c r="P168" s="13">
        <f t="shared" si="141"/>
        <v>79.473500231862786</v>
      </c>
      <c r="Q168" s="20">
        <f t="shared" si="162"/>
        <v>730.36007957049412</v>
      </c>
      <c r="R168" s="59">
        <f t="shared" si="109"/>
        <v>1023.6934129038275</v>
      </c>
      <c r="S168" s="59">
        <f ca="1">AVERAGE(OFFSET($R$3,0,0,'Données projet'!$E$9+1,1))-AVERAGE(OFFSET($H$3,0,0,'Données projet'!$E$9+1,1))</f>
        <v>381.58561971183832</v>
      </c>
      <c r="T168" s="59">
        <f t="shared" si="142"/>
        <v>444.55874959426347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11.488300777701427</v>
      </c>
      <c r="AA168" s="21">
        <f>EXP(-LN(2)/25)*AA167+(1-EXP(-LN(2)/25))/(LN(2)/25)*Calculateur!V168*Calculateur!X168*VLOOKUP('Données projet'!$B$9,Paramètres!$A$1:$I$89,3,0)*0.475*44/12</f>
        <v>1.3933606682838904</v>
      </c>
      <c r="AB168" s="21">
        <f>EXP(-LN(2)/2)*AB167+(1-EXP(-LN(2)/2))/(LN(2)/2)*V168*Y168*VLOOKUP('Données projet'!$B$9,Paramètres!$A$1:$I$89,3,0)*0.475*44/12</f>
        <v>5.7899045755322622E-21</v>
      </c>
      <c r="AC168" s="22">
        <f t="shared" si="163"/>
        <v>12.881661445985317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366.00000000000028</v>
      </c>
      <c r="AJ168" s="13">
        <f>AI168*VLOOKUP('Données projet'!$B$10,Paramètres!$A$1:$I$89,3,0)*VLOOKUP('Données projet'!$B$10,Paramètres!$A$1:$I$89,5,0)</f>
        <v>228.38400000000016</v>
      </c>
      <c r="AK168" s="13">
        <f t="shared" si="164"/>
        <v>55.933121291087339</v>
      </c>
      <c r="AL168" s="20">
        <f t="shared" si="165"/>
        <v>495.18565291531075</v>
      </c>
      <c r="AM168" s="59">
        <f t="shared" si="113"/>
        <v>788.51898624864407</v>
      </c>
      <c r="AN168" s="59">
        <f ca="1">AVERAGE(OFFSET($AM$3,0,0,'Données projet'!$E$10+1,1))-AVERAGE(OFFSET($H$3,0,0,'Données projet'!$E$10+1,1))</f>
        <v>282.98219518929034</v>
      </c>
      <c r="AO168" s="59">
        <f t="shared" si="144"/>
        <v>205.95652510682322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15.591511653291052</v>
      </c>
      <c r="AV168" s="21">
        <f>EXP(-LN(2)/25)*AV167+(1-EXP(-LN(2)/25))/(LN(2)/25)*Calculateur!AQ168*Calculateur!AS168*VLOOKUP('Données projet'!$B$10,Paramètres!$A$1:$I$89,3,0)*0.475*44/12</f>
        <v>2.5255129467545645</v>
      </c>
      <c r="AW168" s="21">
        <f>EXP(-LN(2)/2)*AW167+(1-EXP(-LN(2)/2))/(LN(2)/2)*AQ168*AT168*VLOOKUP('Données projet'!$B$10,Paramètres!$A$1:$I$89,3,0)*0.475*44/12</f>
        <v>4.8176857642270518E-20</v>
      </c>
      <c r="AX168" s="21">
        <f t="shared" si="166"/>
        <v>18.117024600045617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295.99999999999977</v>
      </c>
      <c r="BE168" s="13">
        <f>BD168*VLOOKUP('Données projet'!$B$11,Paramètres!$A$1:$I$89,3,0)*VLOOKUP('Données projet'!$B$11,Paramètres!$A$1:$I$89,5,0)</f>
        <v>240.11519999999982</v>
      </c>
      <c r="BF168" s="13">
        <f t="shared" si="167"/>
        <v>58.464315631105265</v>
      </c>
      <c r="BG168" s="20">
        <f t="shared" si="168"/>
        <v>520.02598972417468</v>
      </c>
      <c r="BH168" s="59">
        <f t="shared" si="116"/>
        <v>813.35932305750794</v>
      </c>
      <c r="BI168" s="59">
        <f ca="1">AVERAGE(OFFSET($BH$3,0,0,'Données projet'!$E$11+1,1))-AVERAGE(OFFSET($H$3,0,0,'Données projet'!$E$11+1,1))</f>
        <v>293.14894570672351</v>
      </c>
      <c r="BJ168" s="59">
        <f t="shared" si="146"/>
        <v>252.47559879720762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8.5361044142696052</v>
      </c>
      <c r="BQ168" s="21">
        <f>EXP(-LN(2)/25)*BQ167+(1-EXP(-LN(2)/25))/(LN(2)/25)*Calculateur!BL168*Calculateur!BN168*VLOOKUP('Données projet'!$B$11,Paramètres!$A$1:$I$89,3,0)*0.475*44/12</f>
        <v>0.74039379199873712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9.276498206268343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607.99999999999977</v>
      </c>
      <c r="O169" s="13">
        <f>N169*VLOOKUP('Données projet'!$B$9,Paramètres!$A$1:$I$89,3,0)*VLOOKUP('Données projet'!$B$9,Paramètres!$A$1:$I$89,5,0)</f>
        <v>339.87199999999984</v>
      </c>
      <c r="P169" s="13">
        <f t="shared" si="141"/>
        <v>79.473500231862786</v>
      </c>
      <c r="Q169" s="20">
        <f t="shared" si="162"/>
        <v>730.36007957049412</v>
      </c>
      <c r="R169" s="59">
        <f t="shared" si="109"/>
        <v>1023.6934129038275</v>
      </c>
      <c r="S169" s="59">
        <f ca="1">AVERAGE(OFFSET($R$3,0,0,'Données projet'!$E$9+1,1))-AVERAGE(OFFSET($H$3,0,0,'Données projet'!$E$9+1,1))</f>
        <v>381.58561971183832</v>
      </c>
      <c r="T169" s="59">
        <f t="shared" si="142"/>
        <v>444.55874959426347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11.263022206622276</v>
      </c>
      <c r="AA169" s="21">
        <f>EXP(-LN(2)/25)*AA168+(1-EXP(-LN(2)/25))/(LN(2)/25)*Calculateur!V169*Calculateur!X169*VLOOKUP('Données projet'!$B$9,Paramètres!$A$1:$I$89,3,0)*0.475*44/12</f>
        <v>1.3552591475360145</v>
      </c>
      <c r="AB169" s="21">
        <f>EXP(-LN(2)/2)*AB168+(1-EXP(-LN(2)/2))/(LN(2)/2)*V169*Y169*VLOOKUP('Données projet'!$B$9,Paramètres!$A$1:$I$89,3,0)*0.475*44/12</f>
        <v>4.0940807877818816E-21</v>
      </c>
      <c r="AC169" s="22">
        <f t="shared" si="163"/>
        <v>12.61828135415829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366.00000000000028</v>
      </c>
      <c r="AJ169" s="13">
        <f>AI169*VLOOKUP('Données projet'!$B$10,Paramètres!$A$1:$I$89,3,0)*VLOOKUP('Données projet'!$B$10,Paramètres!$A$1:$I$89,5,0)</f>
        <v>228.38400000000016</v>
      </c>
      <c r="AK169" s="13">
        <f t="shared" si="164"/>
        <v>55.933121291087339</v>
      </c>
      <c r="AL169" s="20">
        <f t="shared" si="165"/>
        <v>495.18565291531075</v>
      </c>
      <c r="AM169" s="59">
        <f t="shared" si="113"/>
        <v>788.51898624864407</v>
      </c>
      <c r="AN169" s="59">
        <f ca="1">AVERAGE(OFFSET($AM$3,0,0,'Données projet'!$E$10+1,1))-AVERAGE(OFFSET($H$3,0,0,'Données projet'!$E$10+1,1))</f>
        <v>282.98219518929034</v>
      </c>
      <c r="AO169" s="59">
        <f t="shared" si="144"/>
        <v>205.95652510682322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15.285771619653101</v>
      </c>
      <c r="AV169" s="21">
        <f>EXP(-LN(2)/25)*AV168+(1-EXP(-LN(2)/25))/(LN(2)/25)*Calculateur!AQ169*Calculateur!AS169*VLOOKUP('Données projet'!$B$10,Paramètres!$A$1:$I$89,3,0)*0.475*44/12</f>
        <v>2.4564526624146072</v>
      </c>
      <c r="AW169" s="21">
        <f>EXP(-LN(2)/2)*AW168+(1-EXP(-LN(2)/2))/(LN(2)/2)*AQ169*AT169*VLOOKUP('Données projet'!$B$10,Paramètres!$A$1:$I$89,3,0)*0.475*44/12</f>
        <v>3.4066182735108428E-20</v>
      </c>
      <c r="AX169" s="21">
        <f t="shared" si="166"/>
        <v>17.74222428206771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295.99999999999977</v>
      </c>
      <c r="BE169" s="13">
        <f>BD169*VLOOKUP('Données projet'!$B$11,Paramètres!$A$1:$I$89,3,0)*VLOOKUP('Données projet'!$B$11,Paramètres!$A$1:$I$89,5,0)</f>
        <v>240.11519999999982</v>
      </c>
      <c r="BF169" s="13">
        <f t="shared" si="167"/>
        <v>58.464315631105265</v>
      </c>
      <c r="BG169" s="20">
        <f t="shared" si="168"/>
        <v>520.02598972417468</v>
      </c>
      <c r="BH169" s="59">
        <f t="shared" si="116"/>
        <v>813.35932305750794</v>
      </c>
      <c r="BI169" s="59">
        <f ca="1">AVERAGE(OFFSET($BH$3,0,0,'Données projet'!$E$11+1,1))-AVERAGE(OFFSET($H$3,0,0,'Données projet'!$E$11+1,1))</f>
        <v>293.14894570672351</v>
      </c>
      <c r="BJ169" s="59">
        <f t="shared" si="146"/>
        <v>252.47559879720762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8.368716613215371</v>
      </c>
      <c r="BQ169" s="21">
        <f>EXP(-LN(2)/25)*BQ168+(1-EXP(-LN(2)/25))/(LN(2)/25)*Calculateur!BL169*Calculateur!BN169*VLOOKUP('Données projet'!$B$11,Paramètres!$A$1:$I$89,3,0)*0.475*44/12</f>
        <v>0.72014768482091429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9.0888642980362846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607.99999999999977</v>
      </c>
      <c r="O170" s="13">
        <f>N170*VLOOKUP('Données projet'!$B$9,Paramètres!$A$1:$I$89,3,0)*VLOOKUP('Données projet'!$B$9,Paramètres!$A$1:$I$89,5,0)</f>
        <v>339.87199999999984</v>
      </c>
      <c r="P170" s="13">
        <f t="shared" si="141"/>
        <v>79.473500231862786</v>
      </c>
      <c r="Q170" s="20">
        <f t="shared" si="162"/>
        <v>730.36007957049412</v>
      </c>
      <c r="R170" s="59">
        <f t="shared" si="109"/>
        <v>1023.6934129038275</v>
      </c>
      <c r="S170" s="59">
        <f ca="1">AVERAGE(OFFSET($R$3,0,0,'Données projet'!$E$9+1,1))-AVERAGE(OFFSET($H$3,0,0,'Données projet'!$E$9+1,1))</f>
        <v>381.58561971183832</v>
      </c>
      <c r="T170" s="59">
        <f t="shared" si="142"/>
        <v>444.55874959426347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11.042161210915626</v>
      </c>
      <c r="AA170" s="21">
        <f>EXP(-LN(2)/25)*AA169+(1-EXP(-LN(2)/25))/(LN(2)/25)*Calculateur!V170*Calculateur!X170*VLOOKUP('Données projet'!$B$9,Paramètres!$A$1:$I$89,3,0)*0.475*44/12</f>
        <v>1.3181995148766612</v>
      </c>
      <c r="AB170" s="21">
        <f>EXP(-LN(2)/2)*AB169+(1-EXP(-LN(2)/2))/(LN(2)/2)*V170*Y170*VLOOKUP('Données projet'!$B$9,Paramètres!$A$1:$I$89,3,0)*0.475*44/12</f>
        <v>2.8949522877661311E-21</v>
      </c>
      <c r="AC170" s="22">
        <f t="shared" si="163"/>
        <v>12.360360725792287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366.00000000000028</v>
      </c>
      <c r="AJ170" s="13">
        <f>AI170*VLOOKUP('Données projet'!$B$10,Paramètres!$A$1:$I$89,3,0)*VLOOKUP('Données projet'!$B$10,Paramètres!$A$1:$I$89,5,0)</f>
        <v>228.38400000000016</v>
      </c>
      <c r="AK170" s="13">
        <f t="shared" si="164"/>
        <v>55.933121291087339</v>
      </c>
      <c r="AL170" s="20">
        <f t="shared" si="165"/>
        <v>495.18565291531075</v>
      </c>
      <c r="AM170" s="59">
        <f t="shared" si="113"/>
        <v>788.51898624864407</v>
      </c>
      <c r="AN170" s="59">
        <f ca="1">AVERAGE(OFFSET($AM$3,0,0,'Données projet'!$E$10+1,1))-AVERAGE(OFFSET($H$3,0,0,'Données projet'!$E$10+1,1))</f>
        <v>282.98219518929034</v>
      </c>
      <c r="AO170" s="59">
        <f t="shared" si="144"/>
        <v>205.95652510682322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14.986026961591783</v>
      </c>
      <c r="AV170" s="21">
        <f>EXP(-LN(2)/25)*AV169+(1-EXP(-LN(2)/25))/(LN(2)/25)*Calculateur!AQ170*Calculateur!AS170*VLOOKUP('Données projet'!$B$10,Paramètres!$A$1:$I$89,3,0)*0.475*44/12</f>
        <v>2.3892808351816486</v>
      </c>
      <c r="AW170" s="21">
        <f>EXP(-LN(2)/2)*AW169+(1-EXP(-LN(2)/2))/(LN(2)/2)*AQ170*AT170*VLOOKUP('Données projet'!$B$10,Paramètres!$A$1:$I$89,3,0)*0.475*44/12</f>
        <v>2.4088428821135259E-20</v>
      </c>
      <c r="AX170" s="21">
        <f t="shared" si="166"/>
        <v>17.375307796773431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295.99999999999977</v>
      </c>
      <c r="BE170" s="13">
        <f>BD170*VLOOKUP('Données projet'!$B$11,Paramètres!$A$1:$I$89,3,0)*VLOOKUP('Données projet'!$B$11,Paramètres!$A$1:$I$89,5,0)</f>
        <v>240.11519999999982</v>
      </c>
      <c r="BF170" s="13">
        <f t="shared" si="167"/>
        <v>58.464315631105265</v>
      </c>
      <c r="BG170" s="20">
        <f t="shared" si="168"/>
        <v>520.02598972417468</v>
      </c>
      <c r="BH170" s="59">
        <f t="shared" si="116"/>
        <v>813.35932305750794</v>
      </c>
      <c r="BI170" s="59">
        <f ca="1">AVERAGE(OFFSET($BH$3,0,0,'Données projet'!$E$11+1,1))-AVERAGE(OFFSET($H$3,0,0,'Données projet'!$E$11+1,1))</f>
        <v>293.14894570672351</v>
      </c>
      <c r="BJ170" s="59">
        <f t="shared" si="146"/>
        <v>252.47559879720762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8.2046111848433334</v>
      </c>
      <c r="BQ170" s="21">
        <f>EXP(-LN(2)/25)*BQ169+(1-EXP(-LN(2)/25))/(LN(2)/25)*Calculateur!BL170*Calculateur!BN170*VLOOKUP('Données projet'!$B$11,Paramètres!$A$1:$I$89,3,0)*0.475*44/12</f>
        <v>0.70045520850856557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8.9050663933518983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607.99999999999977</v>
      </c>
      <c r="O171" s="13">
        <f>N171*VLOOKUP('Données projet'!$B$9,Paramètres!$A$1:$I$89,3,0)*VLOOKUP('Données projet'!$B$9,Paramètres!$A$1:$I$89,5,0)</f>
        <v>339.87199999999984</v>
      </c>
      <c r="P171" s="13">
        <f t="shared" si="141"/>
        <v>79.473500231862786</v>
      </c>
      <c r="Q171" s="20">
        <f t="shared" si="162"/>
        <v>730.36007957049412</v>
      </c>
      <c r="R171" s="59">
        <f t="shared" si="109"/>
        <v>1023.6934129038275</v>
      </c>
      <c r="S171" s="59">
        <f ca="1">AVERAGE(OFFSET($R$3,0,0,'Données projet'!$E$9+1,1))-AVERAGE(OFFSET($H$3,0,0,'Données projet'!$E$9+1,1))</f>
        <v>381.58561971183832</v>
      </c>
      <c r="T171" s="59">
        <f t="shared" si="142"/>
        <v>444.55874959426347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10.825631164622878</v>
      </c>
      <c r="AA171" s="21">
        <f>EXP(-LN(2)/25)*AA170+(1-EXP(-LN(2)/25))/(LN(2)/25)*Calculateur!V171*Calculateur!X171*VLOOKUP('Données projet'!$B$9,Paramètres!$A$1:$I$89,3,0)*0.475*44/12</f>
        <v>1.2821532798212592</v>
      </c>
      <c r="AB171" s="21">
        <f>EXP(-LN(2)/2)*AB170+(1-EXP(-LN(2)/2))/(LN(2)/2)*V171*Y171*VLOOKUP('Données projet'!$B$9,Paramètres!$A$1:$I$89,3,0)*0.475*44/12</f>
        <v>2.0470403938909408E-21</v>
      </c>
      <c r="AC171" s="22">
        <f t="shared" si="163"/>
        <v>12.107784444444137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366.00000000000028</v>
      </c>
      <c r="AJ171" s="13">
        <f>AI171*VLOOKUP('Données projet'!$B$10,Paramètres!$A$1:$I$89,3,0)*VLOOKUP('Données projet'!$B$10,Paramètres!$A$1:$I$89,5,0)</f>
        <v>228.38400000000016</v>
      </c>
      <c r="AK171" s="13">
        <f t="shared" si="164"/>
        <v>55.933121291087339</v>
      </c>
      <c r="AL171" s="20">
        <f t="shared" si="165"/>
        <v>495.18565291531075</v>
      </c>
      <c r="AM171" s="59">
        <f t="shared" si="113"/>
        <v>788.51898624864407</v>
      </c>
      <c r="AN171" s="59">
        <f ca="1">AVERAGE(OFFSET($AM$3,0,0,'Données projet'!$E$10+1,1))-AVERAGE(OFFSET($H$3,0,0,'Données projet'!$E$10+1,1))</f>
        <v>282.98219518929034</v>
      </c>
      <c r="AO171" s="59">
        <f t="shared" si="144"/>
        <v>205.95652510682322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14.692160113448859</v>
      </c>
      <c r="AV171" s="21">
        <f>EXP(-LN(2)/25)*AV170+(1-EXP(-LN(2)/25))/(LN(2)/25)*Calculateur!AQ171*Calculateur!AS171*VLOOKUP('Données projet'!$B$10,Paramètres!$A$1:$I$89,3,0)*0.475*44/12</f>
        <v>2.3239458250967879</v>
      </c>
      <c r="AW171" s="21">
        <f>EXP(-LN(2)/2)*AW170+(1-EXP(-LN(2)/2))/(LN(2)/2)*AQ171*AT171*VLOOKUP('Données projet'!$B$10,Paramètres!$A$1:$I$89,3,0)*0.475*44/12</f>
        <v>1.7033091367554214E-20</v>
      </c>
      <c r="AX171" s="21">
        <f t="shared" si="166"/>
        <v>17.016105938545646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295.99999999999977</v>
      </c>
      <c r="BE171" s="13">
        <f>BD171*VLOOKUP('Données projet'!$B$11,Paramètres!$A$1:$I$89,3,0)*VLOOKUP('Données projet'!$B$11,Paramètres!$A$1:$I$89,5,0)</f>
        <v>240.11519999999982</v>
      </c>
      <c r="BF171" s="13">
        <f t="shared" si="167"/>
        <v>58.464315631105265</v>
      </c>
      <c r="BG171" s="20">
        <f t="shared" si="168"/>
        <v>520.02598972417468</v>
      </c>
      <c r="BH171" s="59">
        <f t="shared" si="116"/>
        <v>813.35932305750794</v>
      </c>
      <c r="BI171" s="59">
        <f ca="1">AVERAGE(OFFSET($BH$3,0,0,'Données projet'!$E$11+1,1))-AVERAGE(OFFSET($H$3,0,0,'Données projet'!$E$11+1,1))</f>
        <v>293.14894570672351</v>
      </c>
      <c r="BJ171" s="59">
        <f t="shared" si="146"/>
        <v>252.47559879720762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8.0437237638272432</v>
      </c>
      <c r="BQ171" s="21">
        <f>EXP(-LN(2)/25)*BQ170+(1-EXP(-LN(2)/25))/(LN(2)/25)*Calculateur!BL171*Calculateur!BN171*VLOOKUP('Données projet'!$B$11,Paramètres!$A$1:$I$89,3,0)*0.475*44/12</f>
        <v>0.68130122399656035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8.7250249878238044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607.99999999999977</v>
      </c>
      <c r="O172" s="13">
        <f>N172*VLOOKUP('Données projet'!$B$9,Paramètres!$A$1:$I$89,3,0)*VLOOKUP('Données projet'!$B$9,Paramètres!$A$1:$I$89,5,0)</f>
        <v>339.87199999999984</v>
      </c>
      <c r="P172" s="13">
        <f t="shared" si="141"/>
        <v>79.473500231862786</v>
      </c>
      <c r="Q172" s="20">
        <f t="shared" si="162"/>
        <v>730.36007957049412</v>
      </c>
      <c r="R172" s="59">
        <f t="shared" si="109"/>
        <v>1023.6934129038275</v>
      </c>
      <c r="S172" s="59">
        <f ca="1">AVERAGE(OFFSET($R$3,0,0,'Données projet'!$E$9+1,1))-AVERAGE(OFFSET($H$3,0,0,'Données projet'!$E$9+1,1))</f>
        <v>381.58561971183832</v>
      </c>
      <c r="T172" s="59">
        <f t="shared" si="142"/>
        <v>444.55874959426347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10.613347140467644</v>
      </c>
      <c r="AA172" s="21">
        <f>EXP(-LN(2)/25)*AA171+(1-EXP(-LN(2)/25))/(LN(2)/25)*Calculateur!V172*Calculateur!X172*VLOOKUP('Données projet'!$B$9,Paramètres!$A$1:$I$89,3,0)*0.475*44/12</f>
        <v>1.2470927309590363</v>
      </c>
      <c r="AB172" s="21">
        <f>EXP(-LN(2)/2)*AB171+(1-EXP(-LN(2)/2))/(LN(2)/2)*V172*Y172*VLOOKUP('Données projet'!$B$9,Paramètres!$A$1:$I$89,3,0)*0.475*44/12</f>
        <v>1.4474761438830656E-21</v>
      </c>
      <c r="AC172" s="22">
        <f t="shared" si="163"/>
        <v>11.86043987142668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366.00000000000028</v>
      </c>
      <c r="AJ172" s="13">
        <f>AI172*VLOOKUP('Données projet'!$B$10,Paramètres!$A$1:$I$89,3,0)*VLOOKUP('Données projet'!$B$10,Paramètres!$A$1:$I$89,5,0)</f>
        <v>228.38400000000016</v>
      </c>
      <c r="AK172" s="13">
        <f t="shared" si="164"/>
        <v>55.933121291087339</v>
      </c>
      <c r="AL172" s="20">
        <f t="shared" si="165"/>
        <v>495.18565291531075</v>
      </c>
      <c r="AM172" s="59">
        <f t="shared" si="113"/>
        <v>788.51898624864407</v>
      </c>
      <c r="AN172" s="59">
        <f ca="1">AVERAGE(OFFSET($AM$3,0,0,'Données projet'!$E$10+1,1))-AVERAGE(OFFSET($H$3,0,0,'Données projet'!$E$10+1,1))</f>
        <v>282.98219518929034</v>
      </c>
      <c r="AO172" s="59">
        <f t="shared" si="144"/>
        <v>205.95652510682322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14.404055814956937</v>
      </c>
      <c r="AV172" s="21">
        <f>EXP(-LN(2)/25)*AV171+(1-EXP(-LN(2)/25))/(LN(2)/25)*Calculateur!AQ172*Calculateur!AS172*VLOOKUP('Données projet'!$B$10,Paramètres!$A$1:$I$89,3,0)*0.475*44/12</f>
        <v>2.2603974042985167</v>
      </c>
      <c r="AW172" s="21">
        <f>EXP(-LN(2)/2)*AW171+(1-EXP(-LN(2)/2))/(LN(2)/2)*AQ172*AT172*VLOOKUP('Données projet'!$B$10,Paramètres!$A$1:$I$89,3,0)*0.475*44/12</f>
        <v>1.2044214410567629E-20</v>
      </c>
      <c r="AX172" s="21">
        <f t="shared" si="166"/>
        <v>16.664453219255453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295.99999999999977</v>
      </c>
      <c r="BE172" s="13">
        <f>BD172*VLOOKUP('Données projet'!$B$11,Paramètres!$A$1:$I$89,3,0)*VLOOKUP('Données projet'!$B$11,Paramètres!$A$1:$I$89,5,0)</f>
        <v>240.11519999999982</v>
      </c>
      <c r="BF172" s="13">
        <f t="shared" si="167"/>
        <v>58.464315631105265</v>
      </c>
      <c r="BG172" s="20">
        <f t="shared" si="168"/>
        <v>520.02598972417468</v>
      </c>
      <c r="BH172" s="59">
        <f t="shared" si="116"/>
        <v>813.35932305750794</v>
      </c>
      <c r="BI172" s="59">
        <f ca="1">AVERAGE(OFFSET($BH$3,0,0,'Données projet'!$E$11+1,1))-AVERAGE(OFFSET($H$3,0,0,'Données projet'!$E$11+1,1))</f>
        <v>293.14894570672351</v>
      </c>
      <c r="BJ172" s="59">
        <f t="shared" si="146"/>
        <v>252.47559879720762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7.8859912470056415</v>
      </c>
      <c r="BQ172" s="21">
        <f>EXP(-LN(2)/25)*BQ171+(1-EXP(-LN(2)/25))/(LN(2)/25)*Calculateur!BL172*Calculateur!BN172*VLOOKUP('Données projet'!$B$11,Paramètres!$A$1:$I$89,3,0)*0.475*44/12</f>
        <v>0.66267100619830022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8.5486622532039416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607.99999999999977</v>
      </c>
      <c r="O173" s="13">
        <f>N173*VLOOKUP('Données projet'!$B$9,Paramètres!$A$1:$I$89,3,0)*VLOOKUP('Données projet'!$B$9,Paramètres!$A$1:$I$89,5,0)</f>
        <v>339.87199999999984</v>
      </c>
      <c r="P173" s="13">
        <f t="shared" si="141"/>
        <v>79.473500231862786</v>
      </c>
      <c r="Q173" s="20">
        <f t="shared" si="162"/>
        <v>730.36007957049412</v>
      </c>
      <c r="R173" s="59">
        <f t="shared" si="109"/>
        <v>1023.6934129038275</v>
      </c>
      <c r="S173" s="59">
        <f ca="1">AVERAGE(OFFSET($R$3,0,0,'Données projet'!$E$9+1,1))-AVERAGE(OFFSET($H$3,0,0,'Données projet'!$E$9+1,1))</f>
        <v>381.58561971183832</v>
      </c>
      <c r="T173" s="59">
        <f t="shared" si="142"/>
        <v>444.55874959426347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10.405225876545623</v>
      </c>
      <c r="AA173" s="21">
        <f>EXP(-LN(2)/25)*AA172+(1-EXP(-LN(2)/25))/(LN(2)/25)*Calculateur!V173*Calculateur!X173*VLOOKUP('Données projet'!$B$9,Paramètres!$A$1:$I$89,3,0)*0.475*44/12</f>
        <v>1.2129909146492051</v>
      </c>
      <c r="AB173" s="21">
        <f>EXP(-LN(2)/2)*AB172+(1-EXP(-LN(2)/2))/(LN(2)/2)*V173*Y173*VLOOKUP('Données projet'!$B$9,Paramètres!$A$1:$I$89,3,0)*0.475*44/12</f>
        <v>1.0235201969454704E-21</v>
      </c>
      <c r="AC173" s="22">
        <f t="shared" si="163"/>
        <v>11.618216791194829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366.00000000000028</v>
      </c>
      <c r="AJ173" s="13">
        <f>AI173*VLOOKUP('Données projet'!$B$10,Paramètres!$A$1:$I$89,3,0)*VLOOKUP('Données projet'!$B$10,Paramètres!$A$1:$I$89,5,0)</f>
        <v>228.38400000000016</v>
      </c>
      <c r="AK173" s="13">
        <f t="shared" si="164"/>
        <v>55.933121291087339</v>
      </c>
      <c r="AL173" s="20">
        <f t="shared" si="165"/>
        <v>495.18565291531075</v>
      </c>
      <c r="AM173" s="59">
        <f t="shared" si="113"/>
        <v>788.51898624864407</v>
      </c>
      <c r="AN173" s="59">
        <f ca="1">AVERAGE(OFFSET($AM$3,0,0,'Données projet'!$E$10+1,1))-AVERAGE(OFFSET($H$3,0,0,'Données projet'!$E$10+1,1))</f>
        <v>282.98219518929034</v>
      </c>
      <c r="AO173" s="59">
        <f t="shared" si="144"/>
        <v>205.95652510682322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14.121601066032172</v>
      </c>
      <c r="AV173" s="21">
        <f>EXP(-LN(2)/25)*AV172+(1-EXP(-LN(2)/25))/(LN(2)/25)*Calculateur!AQ173*Calculateur!AS173*VLOOKUP('Données projet'!$B$10,Paramètres!$A$1:$I$89,3,0)*0.475*44/12</f>
        <v>2.1985867184088406</v>
      </c>
      <c r="AW173" s="21">
        <f>EXP(-LN(2)/2)*AW172+(1-EXP(-LN(2)/2))/(LN(2)/2)*AQ173*AT173*VLOOKUP('Données projet'!$B$10,Paramètres!$A$1:$I$89,3,0)*0.475*44/12</f>
        <v>8.5165456837771071E-21</v>
      </c>
      <c r="AX173" s="21">
        <f t="shared" si="166"/>
        <v>16.320187784441011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295.99999999999977</v>
      </c>
      <c r="BE173" s="13">
        <f>BD173*VLOOKUP('Données projet'!$B$11,Paramètres!$A$1:$I$89,3,0)*VLOOKUP('Données projet'!$B$11,Paramètres!$A$1:$I$89,5,0)</f>
        <v>240.11519999999982</v>
      </c>
      <c r="BF173" s="13">
        <f t="shared" si="167"/>
        <v>58.464315631105265</v>
      </c>
      <c r="BG173" s="20">
        <f t="shared" si="168"/>
        <v>520.02598972417468</v>
      </c>
      <c r="BH173" s="59">
        <f t="shared" si="116"/>
        <v>813.35932305750794</v>
      </c>
      <c r="BI173" s="59">
        <f ca="1">AVERAGE(OFFSET($BH$3,0,0,'Données projet'!$E$11+1,1))-AVERAGE(OFFSET($H$3,0,0,'Données projet'!$E$11+1,1))</f>
        <v>293.14894570672351</v>
      </c>
      <c r="BJ173" s="59">
        <f t="shared" si="146"/>
        <v>252.47559879720762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7.7313517686315754</v>
      </c>
      <c r="BQ173" s="21">
        <f>EXP(-LN(2)/25)*BQ172+(1-EXP(-LN(2)/25))/(LN(2)/25)*Calculateur!BL173*Calculateur!BN173*VLOOKUP('Données projet'!$B$11,Paramètres!$A$1:$I$89,3,0)*0.475*44/12</f>
        <v>0.64455023268545408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8.37590200131703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607.99999999999977</v>
      </c>
      <c r="O174" s="13">
        <f>N174*VLOOKUP('Données projet'!$B$9,Paramètres!$A$1:$I$89,3,0)*VLOOKUP('Données projet'!$B$9,Paramètres!$A$1:$I$89,5,0)</f>
        <v>339.87199999999984</v>
      </c>
      <c r="P174" s="13">
        <f t="shared" si="141"/>
        <v>79.473500231862786</v>
      </c>
      <c r="Q174" s="20">
        <f t="shared" si="162"/>
        <v>730.36007957049412</v>
      </c>
      <c r="R174" s="59">
        <f t="shared" si="109"/>
        <v>1023.6934129038275</v>
      </c>
      <c r="S174" s="59">
        <f ca="1">AVERAGE(OFFSET($R$3,0,0,'Données projet'!$E$9+1,1))-AVERAGE(OFFSET($H$3,0,0,'Données projet'!$E$9+1,1))</f>
        <v>381.58561971183832</v>
      </c>
      <c r="T174" s="59">
        <f t="shared" si="142"/>
        <v>444.55874959426347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10.201185743667677</v>
      </c>
      <c r="AA174" s="21">
        <f>EXP(-LN(2)/25)*AA173+(1-EXP(-LN(2)/25))/(LN(2)/25)*Calculateur!V174*Calculateur!X174*VLOOKUP('Données projet'!$B$9,Paramètres!$A$1:$I$89,3,0)*0.475*44/12</f>
        <v>1.1798216142997027</v>
      </c>
      <c r="AB174" s="21">
        <f>EXP(-LN(2)/2)*AB173+(1-EXP(-LN(2)/2))/(LN(2)/2)*V174*Y174*VLOOKUP('Données projet'!$B$9,Paramètres!$A$1:$I$89,3,0)*0.475*44/12</f>
        <v>7.2373807194153278E-22</v>
      </c>
      <c r="AC174" s="22">
        <f t="shared" si="163"/>
        <v>11.38100735796738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366.00000000000028</v>
      </c>
      <c r="AJ174" s="13">
        <f>AI174*VLOOKUP('Données projet'!$B$10,Paramètres!$A$1:$I$89,3,0)*VLOOKUP('Données projet'!$B$10,Paramètres!$A$1:$I$89,5,0)</f>
        <v>228.38400000000016</v>
      </c>
      <c r="AK174" s="13">
        <f t="shared" si="164"/>
        <v>55.933121291087339</v>
      </c>
      <c r="AL174" s="20">
        <f t="shared" si="165"/>
        <v>495.18565291531075</v>
      </c>
      <c r="AM174" s="59">
        <f t="shared" si="113"/>
        <v>788.51898624864407</v>
      </c>
      <c r="AN174" s="59">
        <f ca="1">AVERAGE(OFFSET($AM$3,0,0,'Données projet'!$E$10+1,1))-AVERAGE(OFFSET($H$3,0,0,'Données projet'!$E$10+1,1))</f>
        <v>282.98219518929034</v>
      </c>
      <c r="AO174" s="59">
        <f t="shared" si="144"/>
        <v>205.95652510682322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13.844685082453436</v>
      </c>
      <c r="AV174" s="21">
        <f>EXP(-LN(2)/25)*AV173+(1-EXP(-LN(2)/25))/(LN(2)/25)*Calculateur!AQ174*Calculateur!AS174*VLOOKUP('Données projet'!$B$10,Paramètres!$A$1:$I$89,3,0)*0.475*44/12</f>
        <v>2.1384662489753001</v>
      </c>
      <c r="AW174" s="21">
        <f>EXP(-LN(2)/2)*AW173+(1-EXP(-LN(2)/2))/(LN(2)/2)*AQ174*AT174*VLOOKUP('Données projet'!$B$10,Paramètres!$A$1:$I$89,3,0)*0.475*44/12</f>
        <v>6.0221072052838147E-21</v>
      </c>
      <c r="AX174" s="21">
        <f t="shared" si="166"/>
        <v>15.983151331428736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295.99999999999977</v>
      </c>
      <c r="BE174" s="13">
        <f>BD174*VLOOKUP('Données projet'!$B$11,Paramètres!$A$1:$I$89,3,0)*VLOOKUP('Données projet'!$B$11,Paramètres!$A$1:$I$89,5,0)</f>
        <v>240.11519999999982</v>
      </c>
      <c r="BF174" s="13">
        <f t="shared" si="167"/>
        <v>58.464315631105265</v>
      </c>
      <c r="BG174" s="20">
        <f t="shared" si="168"/>
        <v>520.02598972417468</v>
      </c>
      <c r="BH174" s="59">
        <f t="shared" si="116"/>
        <v>813.35932305750794</v>
      </c>
      <c r="BI174" s="59">
        <f ca="1">AVERAGE(OFFSET($BH$3,0,0,'Données projet'!$E$11+1,1))-AVERAGE(OFFSET($H$3,0,0,'Données projet'!$E$11+1,1))</f>
        <v>293.14894570672351</v>
      </c>
      <c r="BJ174" s="59">
        <f t="shared" si="146"/>
        <v>252.47559879720762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7.5797446761076568</v>
      </c>
      <c r="BQ174" s="21">
        <f>EXP(-LN(2)/25)*BQ173+(1-EXP(-LN(2)/25))/(LN(2)/25)*Calculateur!BL174*Calculateur!BN174*VLOOKUP('Données projet'!$B$11,Paramètres!$A$1:$I$89,3,0)*0.475*44/12</f>
        <v>0.62692497267724678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8.2066696487849029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607.99999999999977</v>
      </c>
      <c r="O175" s="13">
        <f>N175*VLOOKUP('Données projet'!$B$9,Paramètres!$A$1:$I$89,3,0)*VLOOKUP('Données projet'!$B$9,Paramètres!$A$1:$I$89,5,0)</f>
        <v>339.87199999999984</v>
      </c>
      <c r="P175" s="13">
        <f t="shared" si="141"/>
        <v>79.473500231862786</v>
      </c>
      <c r="Q175" s="20">
        <f t="shared" si="162"/>
        <v>730.36007957049412</v>
      </c>
      <c r="R175" s="59">
        <f t="shared" si="109"/>
        <v>1023.6934129038275</v>
      </c>
      <c r="S175" s="59">
        <f ca="1">AVERAGE(OFFSET($R$3,0,0,'Données projet'!$E$9+1,1))-AVERAGE(OFFSET($H$3,0,0,'Données projet'!$E$9+1,1))</f>
        <v>381.58561971183832</v>
      </c>
      <c r="T175" s="59">
        <f t="shared" si="142"/>
        <v>444.55874959426347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10.001146713343276</v>
      </c>
      <c r="AA175" s="21">
        <f>EXP(-LN(2)/25)*AA174+(1-EXP(-LN(2)/25))/(LN(2)/25)*Calculateur!V175*Calculateur!X175*VLOOKUP('Données projet'!$B$9,Paramètres!$A$1:$I$89,3,0)*0.475*44/12</f>
        <v>1.1475593302125551</v>
      </c>
      <c r="AB175" s="21">
        <f>EXP(-LN(2)/2)*AB174+(1-EXP(-LN(2)/2))/(LN(2)/2)*V175*Y175*VLOOKUP('Données projet'!$B$9,Paramètres!$A$1:$I$89,3,0)*0.475*44/12</f>
        <v>5.117600984727352E-22</v>
      </c>
      <c r="AC175" s="22">
        <f t="shared" si="163"/>
        <v>11.148706043555832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366.00000000000028</v>
      </c>
      <c r="AJ175" s="13">
        <f>AI175*VLOOKUP('Données projet'!$B$10,Paramètres!$A$1:$I$89,3,0)*VLOOKUP('Données projet'!$B$10,Paramètres!$A$1:$I$89,5,0)</f>
        <v>228.38400000000016</v>
      </c>
      <c r="AK175" s="13">
        <f t="shared" si="164"/>
        <v>55.933121291087339</v>
      </c>
      <c r="AL175" s="20">
        <f t="shared" si="165"/>
        <v>495.18565291531075</v>
      </c>
      <c r="AM175" s="59">
        <f t="shared" si="113"/>
        <v>788.51898624864407</v>
      </c>
      <c r="AN175" s="59">
        <f ca="1">AVERAGE(OFFSET($AM$3,0,0,'Données projet'!$E$10+1,1))-AVERAGE(OFFSET($H$3,0,0,'Données projet'!$E$10+1,1))</f>
        <v>282.98219518929034</v>
      </c>
      <c r="AO175" s="59">
        <f t="shared" si="144"/>
        <v>205.95652510682322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13.573199252410607</v>
      </c>
      <c r="AV175" s="21">
        <f>EXP(-LN(2)/25)*AV174+(1-EXP(-LN(2)/25))/(LN(2)/25)*Calculateur!AQ175*Calculateur!AS175*VLOOKUP('Données projet'!$B$10,Paramètres!$A$1:$I$89,3,0)*0.475*44/12</f>
        <v>2.079989776940018</v>
      </c>
      <c r="AW175" s="21">
        <f>EXP(-LN(2)/2)*AW174+(1-EXP(-LN(2)/2))/(LN(2)/2)*AQ175*AT175*VLOOKUP('Données projet'!$B$10,Paramètres!$A$1:$I$89,3,0)*0.475*44/12</f>
        <v>4.2582728418885536E-21</v>
      </c>
      <c r="AX175" s="21">
        <f t="shared" si="166"/>
        <v>15.653189029350624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295.99999999999977</v>
      </c>
      <c r="BE175" s="13">
        <f>BD175*VLOOKUP('Données projet'!$B$11,Paramètres!$A$1:$I$89,3,0)*VLOOKUP('Données projet'!$B$11,Paramètres!$A$1:$I$89,5,0)</f>
        <v>240.11519999999982</v>
      </c>
      <c r="BF175" s="13">
        <f t="shared" si="167"/>
        <v>58.464315631105265</v>
      </c>
      <c r="BG175" s="20">
        <f t="shared" si="168"/>
        <v>520.02598972417468</v>
      </c>
      <c r="BH175" s="59">
        <f t="shared" si="116"/>
        <v>813.35932305750794</v>
      </c>
      <c r="BI175" s="59">
        <f ca="1">AVERAGE(OFFSET($BH$3,0,0,'Données projet'!$E$11+1,1))-AVERAGE(OFFSET($H$3,0,0,'Données projet'!$E$11+1,1))</f>
        <v>293.14894570672351</v>
      </c>
      <c r="BJ175" s="59">
        <f t="shared" si="146"/>
        <v>252.47559879720762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7.4311105061969362</v>
      </c>
      <c r="BQ175" s="21">
        <f>EXP(-LN(2)/25)*BQ174+(1-EXP(-LN(2)/25))/(LN(2)/25)*Calculateur!BL175*Calculateur!BN175*VLOOKUP('Données projet'!$B$11,Paramètres!$A$1:$I$89,3,0)*0.475*44/12</f>
        <v>0.60978167633083602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8.0408921825277719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607.99999999999977</v>
      </c>
      <c r="O176" s="13">
        <f>N176*VLOOKUP('Données projet'!$B$9,Paramètres!$A$1:$I$89,3,0)*VLOOKUP('Données projet'!$B$9,Paramètres!$A$1:$I$89,5,0)</f>
        <v>339.87199999999984</v>
      </c>
      <c r="P176" s="13">
        <f t="shared" si="141"/>
        <v>79.473500231862786</v>
      </c>
      <c r="Q176" s="20">
        <f t="shared" si="162"/>
        <v>730.36007957049412</v>
      </c>
      <c r="R176" s="59">
        <f t="shared" si="109"/>
        <v>1023.6934129038275</v>
      </c>
      <c r="S176" s="59">
        <f ca="1">AVERAGE(OFFSET($R$3,0,0,'Données projet'!$E$9+1,1))-AVERAGE(OFFSET($H$3,0,0,'Données projet'!$E$9+1,1))</f>
        <v>381.58561971183832</v>
      </c>
      <c r="T176" s="59">
        <f t="shared" si="142"/>
        <v>444.55874959426347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9.8050303263917744</v>
      </c>
      <c r="AA176" s="21">
        <f>EXP(-LN(2)/25)*AA175+(1-EXP(-LN(2)/25))/(LN(2)/25)*Calculateur!V176*Calculateur!X176*VLOOKUP('Données projet'!$B$9,Paramètres!$A$1:$I$89,3,0)*0.475*44/12</f>
        <v>1.1161792599803704</v>
      </c>
      <c r="AB176" s="21">
        <f>EXP(-LN(2)/2)*AB175+(1-EXP(-LN(2)/2))/(LN(2)/2)*V176*Y176*VLOOKUP('Données projet'!$B$9,Paramètres!$A$1:$I$89,3,0)*0.475*44/12</f>
        <v>3.6186903597076639E-22</v>
      </c>
      <c r="AC176" s="22">
        <f t="shared" si="163"/>
        <v>10.921209586372145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366.00000000000028</v>
      </c>
      <c r="AJ176" s="13">
        <f>AI176*VLOOKUP('Données projet'!$B$10,Paramètres!$A$1:$I$89,3,0)*VLOOKUP('Données projet'!$B$10,Paramètres!$A$1:$I$89,5,0)</f>
        <v>228.38400000000016</v>
      </c>
      <c r="AK176" s="13">
        <f t="shared" si="164"/>
        <v>55.933121291087339</v>
      </c>
      <c r="AL176" s="20">
        <f t="shared" si="165"/>
        <v>495.18565291531075</v>
      </c>
      <c r="AM176" s="59">
        <f t="shared" si="113"/>
        <v>788.51898624864407</v>
      </c>
      <c r="AN176" s="59">
        <f ca="1">AVERAGE(OFFSET($AM$3,0,0,'Données projet'!$E$10+1,1))-AVERAGE(OFFSET($H$3,0,0,'Données projet'!$E$10+1,1))</f>
        <v>282.98219518929034</v>
      </c>
      <c r="AO176" s="59">
        <f t="shared" si="144"/>
        <v>205.95652510682322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13.307037093904912</v>
      </c>
      <c r="AV176" s="21">
        <f>EXP(-LN(2)/25)*AV175+(1-EXP(-LN(2)/25))/(LN(2)/25)*Calculateur!AQ176*Calculateur!AS176*VLOOKUP('Données projet'!$B$10,Paramètres!$A$1:$I$89,3,0)*0.475*44/12</f>
        <v>2.0231123471076846</v>
      </c>
      <c r="AW176" s="21">
        <f>EXP(-LN(2)/2)*AW175+(1-EXP(-LN(2)/2))/(LN(2)/2)*AQ176*AT176*VLOOKUP('Données projet'!$B$10,Paramètres!$A$1:$I$89,3,0)*0.475*44/12</f>
        <v>3.0110536026419074E-21</v>
      </c>
      <c r="AX176" s="21">
        <f t="shared" si="166"/>
        <v>15.330149441012596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295.99999999999977</v>
      </c>
      <c r="BE176" s="13">
        <f>BD176*VLOOKUP('Données projet'!$B$11,Paramètres!$A$1:$I$89,3,0)*VLOOKUP('Données projet'!$B$11,Paramètres!$A$1:$I$89,5,0)</f>
        <v>240.11519999999982</v>
      </c>
      <c r="BF176" s="13">
        <f t="shared" si="167"/>
        <v>58.464315631105265</v>
      </c>
      <c r="BG176" s="20">
        <f t="shared" si="168"/>
        <v>520.02598972417468</v>
      </c>
      <c r="BH176" s="59">
        <f t="shared" si="116"/>
        <v>813.35932305750794</v>
      </c>
      <c r="BI176" s="59">
        <f ca="1">AVERAGE(OFFSET($BH$3,0,0,'Données projet'!$E$11+1,1))-AVERAGE(OFFSET($H$3,0,0,'Données projet'!$E$11+1,1))</f>
        <v>293.14894570672351</v>
      </c>
      <c r="BJ176" s="59">
        <f t="shared" si="146"/>
        <v>252.47559879720762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7.2853909617002728</v>
      </c>
      <c r="BQ176" s="21">
        <f>EXP(-LN(2)/25)*BQ175+(1-EXP(-LN(2)/25))/(LN(2)/25)*Calculateur!BL176*Calculateur!BN176*VLOOKUP('Données projet'!$B$11,Paramètres!$A$1:$I$89,3,0)*0.475*44/12</f>
        <v>0.59310716432454458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7.8784981260248177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607.99999999999977</v>
      </c>
      <c r="O177" s="13">
        <f>N177*VLOOKUP('Données projet'!$B$9,Paramètres!$A$1:$I$89,3,0)*VLOOKUP('Données projet'!$B$9,Paramètres!$A$1:$I$89,5,0)</f>
        <v>339.87199999999984</v>
      </c>
      <c r="P177" s="13">
        <f t="shared" si="141"/>
        <v>79.473500231862786</v>
      </c>
      <c r="Q177" s="20">
        <f t="shared" si="162"/>
        <v>730.36007957049412</v>
      </c>
      <c r="R177" s="59">
        <f t="shared" si="109"/>
        <v>1023.6934129038275</v>
      </c>
      <c r="S177" s="59">
        <f ca="1">AVERAGE(OFFSET($R$3,0,0,'Données projet'!$E$9+1,1))-AVERAGE(OFFSET($H$3,0,0,'Données projet'!$E$9+1,1))</f>
        <v>381.58561971183832</v>
      </c>
      <c r="T177" s="59">
        <f t="shared" si="142"/>
        <v>444.55874959426347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9.6127596621692071</v>
      </c>
      <c r="AA177" s="21">
        <f>EXP(-LN(2)/25)*AA176+(1-EXP(-LN(2)/25))/(LN(2)/25)*Calculateur!V177*Calculateur!X177*VLOOKUP('Données projet'!$B$9,Paramètres!$A$1:$I$89,3,0)*0.475*44/12</f>
        <v>1.085657279418891</v>
      </c>
      <c r="AB177" s="21">
        <f>EXP(-LN(2)/2)*AB176+(1-EXP(-LN(2)/2))/(LN(2)/2)*V177*Y177*VLOOKUP('Données projet'!$B$9,Paramètres!$A$1:$I$89,3,0)*0.475*44/12</f>
        <v>2.558800492363676E-22</v>
      </c>
      <c r="AC177" s="22">
        <f t="shared" si="163"/>
        <v>10.698416941588098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366.00000000000028</v>
      </c>
      <c r="AJ177" s="13">
        <f>AI177*VLOOKUP('Données projet'!$B$10,Paramètres!$A$1:$I$89,3,0)*VLOOKUP('Données projet'!$B$10,Paramètres!$A$1:$I$89,5,0)</f>
        <v>228.38400000000016</v>
      </c>
      <c r="AK177" s="13">
        <f t="shared" si="164"/>
        <v>55.933121291087339</v>
      </c>
      <c r="AL177" s="20">
        <f t="shared" si="165"/>
        <v>495.18565291531075</v>
      </c>
      <c r="AM177" s="59">
        <f t="shared" si="113"/>
        <v>788.51898624864407</v>
      </c>
      <c r="AN177" s="59">
        <f ca="1">AVERAGE(OFFSET($AM$3,0,0,'Données projet'!$E$10+1,1))-AVERAGE(OFFSET($H$3,0,0,'Données projet'!$E$10+1,1))</f>
        <v>282.98219518929034</v>
      </c>
      <c r="AO177" s="59">
        <f t="shared" si="144"/>
        <v>205.95652510682322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13.046094212984627</v>
      </c>
      <c r="AV177" s="21">
        <f>EXP(-LN(2)/25)*AV176+(1-EXP(-LN(2)/25))/(LN(2)/25)*Calculateur!AQ177*Calculateur!AS177*VLOOKUP('Données projet'!$B$10,Paramètres!$A$1:$I$89,3,0)*0.475*44/12</f>
        <v>1.9677902335851705</v>
      </c>
      <c r="AW177" s="21">
        <f>EXP(-LN(2)/2)*AW176+(1-EXP(-LN(2)/2))/(LN(2)/2)*AQ177*AT177*VLOOKUP('Données projet'!$B$10,Paramètres!$A$1:$I$89,3,0)*0.475*44/12</f>
        <v>2.1291364209442768E-21</v>
      </c>
      <c r="AX177" s="21">
        <f t="shared" si="166"/>
        <v>15.013884446569797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295.99999999999977</v>
      </c>
      <c r="BE177" s="13">
        <f>BD177*VLOOKUP('Données projet'!$B$11,Paramètres!$A$1:$I$89,3,0)*VLOOKUP('Données projet'!$B$11,Paramètres!$A$1:$I$89,5,0)</f>
        <v>240.11519999999982</v>
      </c>
      <c r="BF177" s="13">
        <f t="shared" si="167"/>
        <v>58.464315631105265</v>
      </c>
      <c r="BG177" s="20">
        <f t="shared" si="168"/>
        <v>520.02598972417468</v>
      </c>
      <c r="BH177" s="59">
        <f t="shared" si="116"/>
        <v>813.35932305750794</v>
      </c>
      <c r="BI177" s="59">
        <f ca="1">AVERAGE(OFFSET($BH$3,0,0,'Données projet'!$E$11+1,1))-AVERAGE(OFFSET($H$3,0,0,'Données projet'!$E$11+1,1))</f>
        <v>293.14894570672351</v>
      </c>
      <c r="BJ177" s="59">
        <f t="shared" si="146"/>
        <v>252.47559879720762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7.142528888591043</v>
      </c>
      <c r="BQ177" s="21">
        <f>EXP(-LN(2)/25)*BQ176+(1-EXP(-LN(2)/25))/(LN(2)/25)*Calculateur!BL177*Calculateur!BN177*VLOOKUP('Données projet'!$B$11,Paramètres!$A$1:$I$89,3,0)*0.475*44/12</f>
        <v>0.57688861772593969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7.719417506316983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607.99999999999977</v>
      </c>
      <c r="O178" s="13">
        <f>N178*VLOOKUP('Données projet'!$B$9,Paramètres!$A$1:$I$89,3,0)*VLOOKUP('Données projet'!$B$9,Paramètres!$A$1:$I$89,5,0)</f>
        <v>339.87199999999984</v>
      </c>
      <c r="P178" s="13">
        <f t="shared" si="141"/>
        <v>79.473500231862786</v>
      </c>
      <c r="Q178" s="20">
        <f t="shared" si="162"/>
        <v>730.36007957049412</v>
      </c>
      <c r="R178" s="59">
        <f t="shared" si="109"/>
        <v>1023.6934129038275</v>
      </c>
      <c r="S178" s="59">
        <f ca="1">AVERAGE(OFFSET($R$3,0,0,'Données projet'!$E$9+1,1))-AVERAGE(OFFSET($H$3,0,0,'Données projet'!$E$9+1,1))</f>
        <v>381.58561971183832</v>
      </c>
      <c r="T178" s="59">
        <f t="shared" si="142"/>
        <v>444.55874959426347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9.4242593083985202</v>
      </c>
      <c r="AA178" s="21">
        <f>EXP(-LN(2)/25)*AA177+(1-EXP(-LN(2)/25))/(LN(2)/25)*Calculateur!V178*Calculateur!X178*VLOOKUP('Données projet'!$B$9,Paramètres!$A$1:$I$89,3,0)*0.475*44/12</f>
        <v>1.0559699240209464</v>
      </c>
      <c r="AB178" s="21">
        <f>EXP(-LN(2)/2)*AB177+(1-EXP(-LN(2)/2))/(LN(2)/2)*V178*Y178*VLOOKUP('Données projet'!$B$9,Paramètres!$A$1:$I$89,3,0)*0.475*44/12</f>
        <v>1.809345179853832E-22</v>
      </c>
      <c r="AC178" s="22">
        <f t="shared" si="163"/>
        <v>10.480229232419466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366.00000000000028</v>
      </c>
      <c r="AJ178" s="13">
        <f>AI178*VLOOKUP('Données projet'!$B$10,Paramètres!$A$1:$I$89,3,0)*VLOOKUP('Données projet'!$B$10,Paramètres!$A$1:$I$89,5,0)</f>
        <v>228.38400000000016</v>
      </c>
      <c r="AK178" s="13">
        <f t="shared" si="164"/>
        <v>55.933121291087339</v>
      </c>
      <c r="AL178" s="20">
        <f t="shared" si="165"/>
        <v>495.18565291531075</v>
      </c>
      <c r="AM178" s="59">
        <f t="shared" si="113"/>
        <v>788.51898624864407</v>
      </c>
      <c r="AN178" s="59">
        <f ca="1">AVERAGE(OFFSET($AM$3,0,0,'Données projet'!$E$10+1,1))-AVERAGE(OFFSET($H$3,0,0,'Données projet'!$E$10+1,1))</f>
        <v>282.98219518929034</v>
      </c>
      <c r="AO178" s="59">
        <f t="shared" si="144"/>
        <v>205.95652510682322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12.790268262799747</v>
      </c>
      <c r="AV178" s="21">
        <f>EXP(-LN(2)/25)*AV177+(1-EXP(-LN(2)/25))/(LN(2)/25)*Calculateur!AQ178*Calculateur!AS178*VLOOKUP('Données projet'!$B$10,Paramètres!$A$1:$I$89,3,0)*0.475*44/12</f>
        <v>1.913980906166193</v>
      </c>
      <c r="AW178" s="21">
        <f>EXP(-LN(2)/2)*AW177+(1-EXP(-LN(2)/2))/(LN(2)/2)*AQ178*AT178*VLOOKUP('Données projet'!$B$10,Paramètres!$A$1:$I$89,3,0)*0.475*44/12</f>
        <v>1.5055268013209537E-21</v>
      </c>
      <c r="AX178" s="21">
        <f t="shared" si="166"/>
        <v>14.704249168965941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295.99999999999977</v>
      </c>
      <c r="BE178" s="13">
        <f>BD178*VLOOKUP('Données projet'!$B$11,Paramètres!$A$1:$I$89,3,0)*VLOOKUP('Données projet'!$B$11,Paramètres!$A$1:$I$89,5,0)</f>
        <v>240.11519999999982</v>
      </c>
      <c r="BF178" s="13">
        <f t="shared" si="167"/>
        <v>58.464315631105265</v>
      </c>
      <c r="BG178" s="20">
        <f t="shared" si="168"/>
        <v>520.02598972417468</v>
      </c>
      <c r="BH178" s="59">
        <f t="shared" si="116"/>
        <v>813.35932305750794</v>
      </c>
      <c r="BI178" s="59">
        <f ca="1">AVERAGE(OFFSET($BH$3,0,0,'Données projet'!$E$11+1,1))-AVERAGE(OFFSET($H$3,0,0,'Données projet'!$E$11+1,1))</f>
        <v>293.14894570672351</v>
      </c>
      <c r="BJ178" s="59">
        <f t="shared" si="146"/>
        <v>252.47559879720762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7.0024682535982246</v>
      </c>
      <c r="BQ178" s="21">
        <f>EXP(-LN(2)/25)*BQ177+(1-EXP(-LN(2)/25))/(LN(2)/25)*Calculateur!BL178*Calculateur!BN178*VLOOKUP('Données projet'!$B$11,Paramètres!$A$1:$I$89,3,0)*0.475*44/12</f>
        <v>0.56111356813697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7.5635818217351947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607.99999999999977</v>
      </c>
      <c r="O179" s="13">
        <f>N179*VLOOKUP('Données projet'!$B$9,Paramètres!$A$1:$I$89,3,0)*VLOOKUP('Données projet'!$B$9,Paramètres!$A$1:$I$89,5,0)</f>
        <v>339.87199999999984</v>
      </c>
      <c r="P179" s="13">
        <f t="shared" si="141"/>
        <v>79.473500231862786</v>
      </c>
      <c r="Q179" s="20">
        <f t="shared" si="162"/>
        <v>730.36007957049412</v>
      </c>
      <c r="R179" s="59">
        <f t="shared" si="109"/>
        <v>1023.6934129038275</v>
      </c>
      <c r="S179" s="59">
        <f ca="1">AVERAGE(OFFSET($R$3,0,0,'Données projet'!$E$9+1,1))-AVERAGE(OFFSET($H$3,0,0,'Données projet'!$E$9+1,1))</f>
        <v>381.58561971183832</v>
      </c>
      <c r="T179" s="59">
        <f t="shared" si="142"/>
        <v>444.55874959426347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9.2394553315914134</v>
      </c>
      <c r="AA179" s="21">
        <f>EXP(-LN(2)/25)*AA178+(1-EXP(-LN(2)/25))/(LN(2)/25)*Calculateur!V179*Calculateur!X179*VLOOKUP('Données projet'!$B$9,Paramètres!$A$1:$I$89,3,0)*0.475*44/12</f>
        <v>1.0270943709175486</v>
      </c>
      <c r="AB179" s="21">
        <f>EXP(-LN(2)/2)*AB178+(1-EXP(-LN(2)/2))/(LN(2)/2)*V179*Y179*VLOOKUP('Données projet'!$B$9,Paramètres!$A$1:$I$89,3,0)*0.475*44/12</f>
        <v>1.279400246181838E-22</v>
      </c>
      <c r="AC179" s="22">
        <f t="shared" si="163"/>
        <v>10.266549702508962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366.00000000000028</v>
      </c>
      <c r="AJ179" s="13">
        <f>AI179*VLOOKUP('Données projet'!$B$10,Paramètres!$A$1:$I$89,3,0)*VLOOKUP('Données projet'!$B$10,Paramètres!$A$1:$I$89,5,0)</f>
        <v>228.38400000000016</v>
      </c>
      <c r="AK179" s="13">
        <f t="shared" si="164"/>
        <v>55.933121291087339</v>
      </c>
      <c r="AL179" s="20">
        <f t="shared" si="165"/>
        <v>495.18565291531075</v>
      </c>
      <c r="AM179" s="59">
        <f t="shared" si="113"/>
        <v>788.51898624864407</v>
      </c>
      <c r="AN179" s="59">
        <f ca="1">AVERAGE(OFFSET($AM$3,0,0,'Données projet'!$E$10+1,1))-AVERAGE(OFFSET($H$3,0,0,'Données projet'!$E$10+1,1))</f>
        <v>282.98219518929034</v>
      </c>
      <c r="AO179" s="59">
        <f t="shared" si="144"/>
        <v>205.95652510682322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12.539458903459572</v>
      </c>
      <c r="AV179" s="21">
        <f>EXP(-LN(2)/25)*AV178+(1-EXP(-LN(2)/25))/(LN(2)/25)*Calculateur!AQ179*Calculateur!AS179*VLOOKUP('Données projet'!$B$10,Paramètres!$A$1:$I$89,3,0)*0.475*44/12</f>
        <v>1.8616429976351971</v>
      </c>
      <c r="AW179" s="21">
        <f>EXP(-LN(2)/2)*AW178+(1-EXP(-LN(2)/2))/(LN(2)/2)*AQ179*AT179*VLOOKUP('Données projet'!$B$10,Paramètres!$A$1:$I$89,3,0)*0.475*44/12</f>
        <v>1.0645682104721384E-21</v>
      </c>
      <c r="AX179" s="21">
        <f t="shared" si="166"/>
        <v>14.401101901094769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295.99999999999977</v>
      </c>
      <c r="BE179" s="13">
        <f>BD179*VLOOKUP('Données projet'!$B$11,Paramètres!$A$1:$I$89,3,0)*VLOOKUP('Données projet'!$B$11,Paramètres!$A$1:$I$89,5,0)</f>
        <v>240.11519999999982</v>
      </c>
      <c r="BF179" s="13">
        <f t="shared" si="167"/>
        <v>58.464315631105265</v>
      </c>
      <c r="BG179" s="20">
        <f t="shared" si="168"/>
        <v>520.02598972417468</v>
      </c>
      <c r="BH179" s="59">
        <f t="shared" si="116"/>
        <v>813.35932305750794</v>
      </c>
      <c r="BI179" s="59">
        <f ca="1">AVERAGE(OFFSET($BH$3,0,0,'Données projet'!$E$11+1,1))-AVERAGE(OFFSET($H$3,0,0,'Données projet'!$E$11+1,1))</f>
        <v>293.14894570672351</v>
      </c>
      <c r="BJ179" s="59">
        <f t="shared" si="146"/>
        <v>252.47559879720762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6.8651541222290637</v>
      </c>
      <c r="BQ179" s="21">
        <f>EXP(-LN(2)/25)*BQ178+(1-EXP(-LN(2)/25))/(LN(2)/25)*Calculateur!BL179*Calculateur!BN179*VLOOKUP('Données projet'!$B$11,Paramètres!$A$1:$I$89,3,0)*0.475*44/12</f>
        <v>0.5457698881085844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7.4109240103376486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607.99999999999977</v>
      </c>
      <c r="O180" s="13">
        <f>N180*VLOOKUP('Données projet'!$B$9,Paramètres!$A$1:$I$89,3,0)*VLOOKUP('Données projet'!$B$9,Paramètres!$A$1:$I$89,5,0)</f>
        <v>339.87199999999984</v>
      </c>
      <c r="P180" s="13">
        <f t="shared" si="141"/>
        <v>79.473500231862786</v>
      </c>
      <c r="Q180" s="20">
        <f t="shared" si="162"/>
        <v>730.36007957049412</v>
      </c>
      <c r="R180" s="59">
        <f t="shared" si="109"/>
        <v>1023.6934129038275</v>
      </c>
      <c r="S180" s="59">
        <f ca="1">AVERAGE(OFFSET($R$3,0,0,'Données projet'!$E$9+1,1))-AVERAGE(OFFSET($H$3,0,0,'Données projet'!$E$9+1,1))</f>
        <v>381.58561971183832</v>
      </c>
      <c r="T180" s="59">
        <f t="shared" si="142"/>
        <v>444.55874959426347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9.0582752480501973</v>
      </c>
      <c r="AA180" s="21">
        <f>EXP(-LN(2)/25)*AA179+(1-EXP(-LN(2)/25))/(LN(2)/25)*Calculateur!V180*Calculateur!X180*VLOOKUP('Données projet'!$B$9,Paramètres!$A$1:$I$89,3,0)*0.475*44/12</f>
        <v>0.99900842133226275</v>
      </c>
      <c r="AB180" s="21">
        <f>EXP(-LN(2)/2)*AB179+(1-EXP(-LN(2)/2))/(LN(2)/2)*V180*Y180*VLOOKUP('Données projet'!$B$9,Paramètres!$A$1:$I$89,3,0)*0.475*44/12</f>
        <v>9.0467258992691598E-23</v>
      </c>
      <c r="AC180" s="22">
        <f t="shared" si="163"/>
        <v>10.057283669382461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366.00000000000028</v>
      </c>
      <c r="AJ180" s="13">
        <f>AI180*VLOOKUP('Données projet'!$B$10,Paramètres!$A$1:$I$89,3,0)*VLOOKUP('Données projet'!$B$10,Paramètres!$A$1:$I$89,5,0)</f>
        <v>228.38400000000016</v>
      </c>
      <c r="AK180" s="13">
        <f t="shared" si="164"/>
        <v>55.933121291087339</v>
      </c>
      <c r="AL180" s="20">
        <f t="shared" si="165"/>
        <v>495.18565291531075</v>
      </c>
      <c r="AM180" s="59">
        <f t="shared" si="113"/>
        <v>788.51898624864407</v>
      </c>
      <c r="AN180" s="59">
        <f ca="1">AVERAGE(OFFSET($AM$3,0,0,'Données projet'!$E$10+1,1))-AVERAGE(OFFSET($H$3,0,0,'Données projet'!$E$10+1,1))</f>
        <v>282.98219518929034</v>
      </c>
      <c r="AO180" s="59">
        <f t="shared" si="144"/>
        <v>205.95652510682322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12.293567762677453</v>
      </c>
      <c r="AV180" s="21">
        <f>EXP(-LN(2)/25)*AV179+(1-EXP(-LN(2)/25))/(LN(2)/25)*Calculateur!AQ180*Calculateur!AS180*VLOOKUP('Données projet'!$B$10,Paramètres!$A$1:$I$89,3,0)*0.475*44/12</f>
        <v>1.8107362719653122</v>
      </c>
      <c r="AW180" s="21">
        <f>EXP(-LN(2)/2)*AW179+(1-EXP(-LN(2)/2))/(LN(2)/2)*AQ180*AT180*VLOOKUP('Données projet'!$B$10,Paramètres!$A$1:$I$89,3,0)*0.475*44/12</f>
        <v>7.5276340066047684E-22</v>
      </c>
      <c r="AX180" s="21">
        <f t="shared" si="166"/>
        <v>14.104304034642766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295.99999999999977</v>
      </c>
      <c r="BE180" s="13">
        <f>BD180*VLOOKUP('Données projet'!$B$11,Paramètres!$A$1:$I$89,3,0)*VLOOKUP('Données projet'!$B$11,Paramètres!$A$1:$I$89,5,0)</f>
        <v>240.11519999999982</v>
      </c>
      <c r="BF180" s="13">
        <f t="shared" si="167"/>
        <v>58.464315631105265</v>
      </c>
      <c r="BG180" s="20">
        <f t="shared" si="168"/>
        <v>520.02598972417468</v>
      </c>
      <c r="BH180" s="59">
        <f t="shared" si="116"/>
        <v>813.35932305750794</v>
      </c>
      <c r="BI180" s="59">
        <f ca="1">AVERAGE(OFFSET($BH$3,0,0,'Données projet'!$E$11+1,1))-AVERAGE(OFFSET($H$3,0,0,'Données projet'!$E$11+1,1))</f>
        <v>293.14894570672351</v>
      </c>
      <c r="BJ180" s="59">
        <f t="shared" si="146"/>
        <v>252.47559879720762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6.7305326372227015</v>
      </c>
      <c r="BQ180" s="21">
        <f>EXP(-LN(2)/25)*BQ179+(1-EXP(-LN(2)/25))/(LN(2)/25)*Calculateur!BL180*Calculateur!BN180*VLOOKUP('Données projet'!$B$11,Paramètres!$A$1:$I$89,3,0)*0.475*44/12</f>
        <v>0.53084578181746411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7.2613784190401658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607.99999999999977</v>
      </c>
      <c r="O181" s="13">
        <f>N181*VLOOKUP('Données projet'!$B$9,Paramètres!$A$1:$I$89,3,0)*VLOOKUP('Données projet'!$B$9,Paramètres!$A$1:$I$89,5,0)</f>
        <v>339.87199999999984</v>
      </c>
      <c r="P181" s="13">
        <f t="shared" si="141"/>
        <v>79.473500231862786</v>
      </c>
      <c r="Q181" s="20">
        <f t="shared" si="162"/>
        <v>730.36007957049412</v>
      </c>
      <c r="R181" s="59">
        <f t="shared" si="109"/>
        <v>1023.6934129038275</v>
      </c>
      <c r="S181" s="59">
        <f ca="1">AVERAGE(OFFSET($R$3,0,0,'Données projet'!$E$9+1,1))-AVERAGE(OFFSET($H$3,0,0,'Données projet'!$E$9+1,1))</f>
        <v>381.58561971183832</v>
      </c>
      <c r="T181" s="59">
        <f t="shared" si="142"/>
        <v>444.55874959426347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8.8806479954382862</v>
      </c>
      <c r="AA181" s="21">
        <f>EXP(-LN(2)/25)*AA180+(1-EXP(-LN(2)/25))/(LN(2)/25)*Calculateur!V181*Calculateur!X181*VLOOKUP('Données projet'!$B$9,Paramètres!$A$1:$I$89,3,0)*0.475*44/12</f>
        <v>0.97169048351536247</v>
      </c>
      <c r="AB181" s="21">
        <f>EXP(-LN(2)/2)*AB180+(1-EXP(-LN(2)/2))/(LN(2)/2)*V181*Y181*VLOOKUP('Données projet'!$B$9,Paramètres!$A$1:$I$89,3,0)*0.475*44/12</f>
        <v>6.39700123090919E-23</v>
      </c>
      <c r="AC181" s="22">
        <f t="shared" si="163"/>
        <v>9.8523384789536479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366.00000000000028</v>
      </c>
      <c r="AJ181" s="13">
        <f>AI181*VLOOKUP('Données projet'!$B$10,Paramètres!$A$1:$I$89,3,0)*VLOOKUP('Données projet'!$B$10,Paramètres!$A$1:$I$89,5,0)</f>
        <v>228.38400000000016</v>
      </c>
      <c r="AK181" s="13">
        <f t="shared" si="164"/>
        <v>55.933121291087339</v>
      </c>
      <c r="AL181" s="20">
        <f t="shared" si="165"/>
        <v>495.18565291531075</v>
      </c>
      <c r="AM181" s="59">
        <f t="shared" si="113"/>
        <v>788.51898624864407</v>
      </c>
      <c r="AN181" s="59">
        <f ca="1">AVERAGE(OFFSET($AM$3,0,0,'Données projet'!$E$10+1,1))-AVERAGE(OFFSET($H$3,0,0,'Données projet'!$E$10+1,1))</f>
        <v>282.98219518929034</v>
      </c>
      <c r="AO181" s="59">
        <f t="shared" si="144"/>
        <v>205.95652510682322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12.052498397187284</v>
      </c>
      <c r="AV181" s="21">
        <f>EXP(-LN(2)/25)*AV180+(1-EXP(-LN(2)/25))/(LN(2)/25)*Calculateur!AQ181*Calculateur!AS181*VLOOKUP('Données projet'!$B$10,Paramètres!$A$1:$I$89,3,0)*0.475*44/12</f>
        <v>1.7612215933859388</v>
      </c>
      <c r="AW181" s="21">
        <f>EXP(-LN(2)/2)*AW180+(1-EXP(-LN(2)/2))/(LN(2)/2)*AQ181*AT181*VLOOKUP('Données projet'!$B$10,Paramètres!$A$1:$I$89,3,0)*0.475*44/12</f>
        <v>5.3228410523606919E-22</v>
      </c>
      <c r="AX181" s="21">
        <f t="shared" si="166"/>
        <v>13.813719990573222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295.99999999999977</v>
      </c>
      <c r="BE181" s="13">
        <f>BD181*VLOOKUP('Données projet'!$B$11,Paramètres!$A$1:$I$89,3,0)*VLOOKUP('Données projet'!$B$11,Paramètres!$A$1:$I$89,5,0)</f>
        <v>240.11519999999982</v>
      </c>
      <c r="BF181" s="13">
        <f t="shared" si="167"/>
        <v>58.464315631105265</v>
      </c>
      <c r="BG181" s="20">
        <f t="shared" si="168"/>
        <v>520.02598972417468</v>
      </c>
      <c r="BH181" s="59">
        <f t="shared" si="116"/>
        <v>813.35932305750794</v>
      </c>
      <c r="BI181" s="59">
        <f ca="1">AVERAGE(OFFSET($BH$3,0,0,'Données projet'!$E$11+1,1))-AVERAGE(OFFSET($H$3,0,0,'Données projet'!$E$11+1,1))</f>
        <v>293.14894570672351</v>
      </c>
      <c r="BJ181" s="59">
        <f t="shared" si="146"/>
        <v>252.47559879720762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6.5985509974263161</v>
      </c>
      <c r="BQ181" s="21">
        <f>EXP(-LN(2)/25)*BQ180+(1-EXP(-LN(2)/25))/(LN(2)/25)*Calculateur!BL181*Calculateur!BN181*VLOOKUP('Données projet'!$B$11,Paramètres!$A$1:$I$89,3,0)*0.475*44/12</f>
        <v>0.51632977599769914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7.1148807734240149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607.99999999999977</v>
      </c>
      <c r="O182" s="13">
        <f>N182*VLOOKUP('Données projet'!$B$9,Paramètres!$A$1:$I$89,3,0)*VLOOKUP('Données projet'!$B$9,Paramètres!$A$1:$I$89,5,0)</f>
        <v>339.87199999999984</v>
      </c>
      <c r="P182" s="13">
        <f t="shared" si="141"/>
        <v>79.473500231862786</v>
      </c>
      <c r="Q182" s="20">
        <f t="shared" si="162"/>
        <v>730.36007957049412</v>
      </c>
      <c r="R182" s="59">
        <f t="shared" si="109"/>
        <v>1023.6934129038275</v>
      </c>
      <c r="S182" s="59">
        <f ca="1">AVERAGE(OFFSET($R$3,0,0,'Données projet'!$E$9+1,1))-AVERAGE(OFFSET($H$3,0,0,'Données projet'!$E$9+1,1))</f>
        <v>381.58561971183832</v>
      </c>
      <c r="T182" s="59">
        <f t="shared" si="142"/>
        <v>444.55874959426347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8.7065039049081676</v>
      </c>
      <c r="AA182" s="21">
        <f>EXP(-LN(2)/25)*AA181+(1-EXP(-LN(2)/25))/(LN(2)/25)*Calculateur!V182*Calculateur!X182*VLOOKUP('Données projet'!$B$9,Paramètres!$A$1:$I$89,3,0)*0.475*44/12</f>
        <v>0.94511955614465315</v>
      </c>
      <c r="AB182" s="21">
        <f>EXP(-LN(2)/2)*AB181+(1-EXP(-LN(2)/2))/(LN(2)/2)*V182*Y182*VLOOKUP('Données projet'!$B$9,Paramètres!$A$1:$I$89,3,0)*0.475*44/12</f>
        <v>4.5233629496345799E-23</v>
      </c>
      <c r="AC182" s="22">
        <f t="shared" si="163"/>
        <v>9.6516234610528215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366.00000000000028</v>
      </c>
      <c r="AJ182" s="13">
        <f>AI182*VLOOKUP('Données projet'!$B$10,Paramètres!$A$1:$I$89,3,0)*VLOOKUP('Données projet'!$B$10,Paramètres!$A$1:$I$89,5,0)</f>
        <v>228.38400000000016</v>
      </c>
      <c r="AK182" s="13">
        <f t="shared" si="164"/>
        <v>55.933121291087339</v>
      </c>
      <c r="AL182" s="20">
        <f t="shared" si="165"/>
        <v>495.18565291531075</v>
      </c>
      <c r="AM182" s="59">
        <f t="shared" si="113"/>
        <v>788.51898624864407</v>
      </c>
      <c r="AN182" s="59">
        <f ca="1">AVERAGE(OFFSET($AM$3,0,0,'Données projet'!$E$10+1,1))-AVERAGE(OFFSET($H$3,0,0,'Données projet'!$E$10+1,1))</f>
        <v>282.98219518929034</v>
      </c>
      <c r="AO182" s="59">
        <f t="shared" si="144"/>
        <v>205.95652510682322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11.816156254916583</v>
      </c>
      <c r="AV182" s="21">
        <f>EXP(-LN(2)/25)*AV181+(1-EXP(-LN(2)/25))/(LN(2)/25)*Calculateur!AQ182*Calculateur!AS182*VLOOKUP('Données projet'!$B$10,Paramètres!$A$1:$I$89,3,0)*0.475*44/12</f>
        <v>1.713060896296182</v>
      </c>
      <c r="AW182" s="21">
        <f>EXP(-LN(2)/2)*AW181+(1-EXP(-LN(2)/2))/(LN(2)/2)*AQ182*AT182*VLOOKUP('Données projet'!$B$10,Paramètres!$A$1:$I$89,3,0)*0.475*44/12</f>
        <v>3.7638170033023842E-22</v>
      </c>
      <c r="AX182" s="21">
        <f t="shared" si="166"/>
        <v>13.529217151212766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295.99999999999977</v>
      </c>
      <c r="BE182" s="13">
        <f>BD182*VLOOKUP('Données projet'!$B$11,Paramètres!$A$1:$I$89,3,0)*VLOOKUP('Données projet'!$B$11,Paramètres!$A$1:$I$89,5,0)</f>
        <v>240.11519999999982</v>
      </c>
      <c r="BF182" s="13">
        <f t="shared" si="167"/>
        <v>58.464315631105265</v>
      </c>
      <c r="BG182" s="20">
        <f t="shared" si="168"/>
        <v>520.02598972417468</v>
      </c>
      <c r="BH182" s="59">
        <f t="shared" si="116"/>
        <v>813.35932305750794</v>
      </c>
      <c r="BI182" s="59">
        <f ca="1">AVERAGE(OFFSET($BH$3,0,0,'Données projet'!$E$11+1,1))-AVERAGE(OFFSET($H$3,0,0,'Données projet'!$E$11+1,1))</f>
        <v>293.14894570672351</v>
      </c>
      <c r="BJ182" s="59">
        <f t="shared" si="146"/>
        <v>252.47559879720762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6.469157437085487</v>
      </c>
      <c r="BQ182" s="21">
        <f>EXP(-LN(2)/25)*BQ181+(1-EXP(-LN(2)/25))/(LN(2)/25)*Calculateur!BL182*Calculateur!BN182*VLOOKUP('Données projet'!$B$11,Paramètres!$A$1:$I$89,3,0)*0.475*44/12</f>
        <v>0.50221071112043925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6.9713681482059258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607.99999999999977</v>
      </c>
      <c r="O183" s="13">
        <f>N183*VLOOKUP('Données projet'!$B$9,Paramètres!$A$1:$I$89,3,0)*VLOOKUP('Données projet'!$B$9,Paramètres!$A$1:$I$89,5,0)</f>
        <v>339.87199999999984</v>
      </c>
      <c r="P183" s="13">
        <f t="shared" si="141"/>
        <v>79.473500231862786</v>
      </c>
      <c r="Q183" s="20">
        <f t="shared" si="162"/>
        <v>730.36007957049412</v>
      </c>
      <c r="R183" s="59">
        <f t="shared" si="109"/>
        <v>1023.6934129038275</v>
      </c>
      <c r="S183" s="59">
        <f ca="1">AVERAGE(OFFSET($R$3,0,0,'Données projet'!$E$9+1,1))-AVERAGE(OFFSET($H$3,0,0,'Données projet'!$E$9+1,1))</f>
        <v>381.58561971183832</v>
      </c>
      <c r="T183" s="59">
        <f t="shared" si="142"/>
        <v>444.55874959426347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8.5357746737759381</v>
      </c>
      <c r="AA183" s="21">
        <f>EXP(-LN(2)/25)*AA182+(1-EXP(-LN(2)/25))/(LN(2)/25)*Calculateur!V183*Calculateur!X183*VLOOKUP('Données projet'!$B$9,Paramètres!$A$1:$I$89,3,0)*0.475*44/12</f>
        <v>0.91927521218020025</v>
      </c>
      <c r="AB183" s="21">
        <f>EXP(-LN(2)/2)*AB182+(1-EXP(-LN(2)/2))/(LN(2)/2)*V183*Y183*VLOOKUP('Données projet'!$B$9,Paramètres!$A$1:$I$89,3,0)*0.475*44/12</f>
        <v>3.198500615454595E-23</v>
      </c>
      <c r="AC183" s="22">
        <f t="shared" si="163"/>
        <v>9.4550498859561376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366.00000000000028</v>
      </c>
      <c r="AJ183" s="13">
        <f>AI183*VLOOKUP('Données projet'!$B$10,Paramètres!$A$1:$I$89,3,0)*VLOOKUP('Données projet'!$B$10,Paramètres!$A$1:$I$89,5,0)</f>
        <v>228.38400000000016</v>
      </c>
      <c r="AK183" s="13">
        <f t="shared" si="164"/>
        <v>55.933121291087339</v>
      </c>
      <c r="AL183" s="20">
        <f t="shared" si="165"/>
        <v>495.18565291531075</v>
      </c>
      <c r="AM183" s="59">
        <f t="shared" si="113"/>
        <v>788.51898624864407</v>
      </c>
      <c r="AN183" s="59">
        <f ca="1">AVERAGE(OFFSET($AM$3,0,0,'Données projet'!$E$10+1,1))-AVERAGE(OFFSET($H$3,0,0,'Données projet'!$E$10+1,1))</f>
        <v>282.98219518929034</v>
      </c>
      <c r="AO183" s="59">
        <f t="shared" si="144"/>
        <v>205.95652510682322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11.584448637901339</v>
      </c>
      <c r="AV183" s="21">
        <f>EXP(-LN(2)/25)*AV182+(1-EXP(-LN(2)/25))/(LN(2)/25)*Calculateur!AQ183*Calculateur!AS183*VLOOKUP('Données projet'!$B$10,Paramètres!$A$1:$I$89,3,0)*0.475*44/12</f>
        <v>1.6662171560010055</v>
      </c>
      <c r="AW183" s="21">
        <f>EXP(-LN(2)/2)*AW182+(1-EXP(-LN(2)/2))/(LN(2)/2)*AQ183*AT183*VLOOKUP('Données projet'!$B$10,Paramètres!$A$1:$I$89,3,0)*0.475*44/12</f>
        <v>2.661420526180346E-22</v>
      </c>
      <c r="AX183" s="21">
        <f t="shared" si="166"/>
        <v>13.250665793902344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295.99999999999977</v>
      </c>
      <c r="BE183" s="13">
        <f>BD183*VLOOKUP('Données projet'!$B$11,Paramètres!$A$1:$I$89,3,0)*VLOOKUP('Données projet'!$B$11,Paramètres!$A$1:$I$89,5,0)</f>
        <v>240.11519999999982</v>
      </c>
      <c r="BF183" s="13">
        <f t="shared" si="167"/>
        <v>58.464315631105265</v>
      </c>
      <c r="BG183" s="20">
        <f t="shared" si="168"/>
        <v>520.02598972417468</v>
      </c>
      <c r="BH183" s="59">
        <f t="shared" si="116"/>
        <v>813.35932305750794</v>
      </c>
      <c r="BI183" s="59">
        <f ca="1">AVERAGE(OFFSET($BH$3,0,0,'Données projet'!$E$11+1,1))-AVERAGE(OFFSET($H$3,0,0,'Données projet'!$E$11+1,1))</f>
        <v>293.14894570672351</v>
      </c>
      <c r="BJ183" s="59">
        <f t="shared" si="146"/>
        <v>252.47559879720762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6.3423012055406618</v>
      </c>
      <c r="BQ183" s="21">
        <f>EXP(-LN(2)/25)*BQ182+(1-EXP(-LN(2)/25))/(LN(2)/25)*Calculateur!BL183*Calculateur!BN183*VLOOKUP('Données projet'!$B$11,Paramètres!$A$1:$I$89,3,0)*0.475*44/12</f>
        <v>0.48847773281473733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6.8307789383553992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607.99999999999977</v>
      </c>
      <c r="O184" s="13">
        <f>N184*VLOOKUP('Données projet'!$B$9,Paramètres!$A$1:$I$89,3,0)*VLOOKUP('Données projet'!$B$9,Paramètres!$A$1:$I$89,5,0)</f>
        <v>339.87199999999984</v>
      </c>
      <c r="P184" s="13">
        <f t="shared" si="141"/>
        <v>79.473500231862786</v>
      </c>
      <c r="Q184" s="20">
        <f t="shared" si="162"/>
        <v>730.36007957049412</v>
      </c>
      <c r="R184" s="59">
        <f t="shared" si="109"/>
        <v>1023.6934129038275</v>
      </c>
      <c r="S184" s="59">
        <f ca="1">AVERAGE(OFFSET($R$3,0,0,'Données projet'!$E$9+1,1))-AVERAGE(OFFSET($H$3,0,0,'Données projet'!$E$9+1,1))</f>
        <v>381.58561971183832</v>
      </c>
      <c r="T184" s="59">
        <f t="shared" si="142"/>
        <v>444.55874959426347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8.3683933387316625</v>
      </c>
      <c r="AA184" s="21">
        <f>EXP(-LN(2)/25)*AA183+(1-EXP(-LN(2)/25))/(LN(2)/25)*Calculateur!V184*Calculateur!X184*VLOOKUP('Données projet'!$B$9,Paramètres!$A$1:$I$89,3,0)*0.475*44/12</f>
        <v>0.89413758316055025</v>
      </c>
      <c r="AB184" s="21">
        <f>EXP(-LN(2)/2)*AB183+(1-EXP(-LN(2)/2))/(LN(2)/2)*V184*Y184*VLOOKUP('Données projet'!$B$9,Paramètres!$A$1:$I$89,3,0)*0.475*44/12</f>
        <v>2.2616814748172899E-23</v>
      </c>
      <c r="AC184" s="22">
        <f t="shared" si="163"/>
        <v>9.2625309218922123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366.00000000000028</v>
      </c>
      <c r="AJ184" s="13">
        <f>AI184*VLOOKUP('Données projet'!$B$10,Paramètres!$A$1:$I$89,3,0)*VLOOKUP('Données projet'!$B$10,Paramètres!$A$1:$I$89,5,0)</f>
        <v>228.38400000000016</v>
      </c>
      <c r="AK184" s="13">
        <f t="shared" si="164"/>
        <v>55.933121291087339</v>
      </c>
      <c r="AL184" s="20">
        <f t="shared" si="165"/>
        <v>495.18565291531075</v>
      </c>
      <c r="AM184" s="59">
        <f t="shared" si="113"/>
        <v>788.51898624864407</v>
      </c>
      <c r="AN184" s="59">
        <f ca="1">AVERAGE(OFFSET($AM$3,0,0,'Données projet'!$E$10+1,1))-AVERAGE(OFFSET($H$3,0,0,'Données projet'!$E$10+1,1))</f>
        <v>282.98219518929034</v>
      </c>
      <c r="AO184" s="59">
        <f t="shared" si="144"/>
        <v>205.95652510682322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11.357284665928072</v>
      </c>
      <c r="AV184" s="21">
        <f>EXP(-LN(2)/25)*AV183+(1-EXP(-LN(2)/25))/(LN(2)/25)*Calculateur!AQ184*Calculateur!AS184*VLOOKUP('Données projet'!$B$10,Paramètres!$A$1:$I$89,3,0)*0.475*44/12</f>
        <v>1.620654360247606</v>
      </c>
      <c r="AW184" s="21">
        <f>EXP(-LN(2)/2)*AW183+(1-EXP(-LN(2)/2))/(LN(2)/2)*AQ184*AT184*VLOOKUP('Données projet'!$B$10,Paramètres!$A$1:$I$89,3,0)*0.475*44/12</f>
        <v>1.8819085016511921E-22</v>
      </c>
      <c r="AX184" s="21">
        <f t="shared" si="166"/>
        <v>12.977939026175678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295.99999999999977</v>
      </c>
      <c r="BE184" s="13">
        <f>BD184*VLOOKUP('Données projet'!$B$11,Paramètres!$A$1:$I$89,3,0)*VLOOKUP('Données projet'!$B$11,Paramètres!$A$1:$I$89,5,0)</f>
        <v>240.11519999999982</v>
      </c>
      <c r="BF184" s="13">
        <f t="shared" si="167"/>
        <v>58.464315631105265</v>
      </c>
      <c r="BG184" s="20">
        <f t="shared" si="168"/>
        <v>520.02598972417468</v>
      </c>
      <c r="BH184" s="59">
        <f t="shared" si="116"/>
        <v>813.35932305750794</v>
      </c>
      <c r="BI184" s="59">
        <f ca="1">AVERAGE(OFFSET($BH$3,0,0,'Données projet'!$E$11+1,1))-AVERAGE(OFFSET($H$3,0,0,'Données projet'!$E$11+1,1))</f>
        <v>293.14894570672351</v>
      </c>
      <c r="BJ184" s="59">
        <f t="shared" si="146"/>
        <v>252.47559879720762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6.2179325473217695</v>
      </c>
      <c r="BQ184" s="21">
        <f>EXP(-LN(2)/25)*BQ183+(1-EXP(-LN(2)/25))/(LN(2)/25)*Calculateur!BL184*Calculateur!BN184*VLOOKUP('Données projet'!$B$11,Paramètres!$A$1:$I$89,3,0)*0.475*44/12</f>
        <v>0.47512028352299079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6.6930528308447599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607.99999999999977</v>
      </c>
      <c r="O185" s="13">
        <f>N185*VLOOKUP('Données projet'!$B$9,Paramètres!$A$1:$I$89,3,0)*VLOOKUP('Données projet'!$B$9,Paramètres!$A$1:$I$89,5,0)</f>
        <v>339.87199999999984</v>
      </c>
      <c r="P185" s="13">
        <f t="shared" si="141"/>
        <v>79.473500231862786</v>
      </c>
      <c r="Q185" s="20">
        <f t="shared" si="162"/>
        <v>730.36007957049412</v>
      </c>
      <c r="R185" s="59">
        <f t="shared" si="109"/>
        <v>1023.6934129038275</v>
      </c>
      <c r="S185" s="59">
        <f ca="1">AVERAGE(OFFSET($R$3,0,0,'Données projet'!$E$9+1,1))-AVERAGE(OFFSET($H$3,0,0,'Données projet'!$E$9+1,1))</f>
        <v>381.58561971183832</v>
      </c>
      <c r="T185" s="59">
        <f t="shared" si="142"/>
        <v>444.55874959426347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8.2042942495750726</v>
      </c>
      <c r="AA185" s="21">
        <f>EXP(-LN(2)/25)*AA184+(1-EXP(-LN(2)/25))/(LN(2)/25)*Calculateur!V185*Calculateur!X185*VLOOKUP('Données projet'!$B$9,Paramètres!$A$1:$I$89,3,0)*0.475*44/12</f>
        <v>0.8696873439283731</v>
      </c>
      <c r="AB185" s="21">
        <f>EXP(-LN(2)/2)*AB184+(1-EXP(-LN(2)/2))/(LN(2)/2)*V185*Y185*VLOOKUP('Données projet'!$B$9,Paramètres!$A$1:$I$89,3,0)*0.475*44/12</f>
        <v>1.5992503077272975E-23</v>
      </c>
      <c r="AC185" s="22">
        <f t="shared" si="163"/>
        <v>9.0739815935034454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366.00000000000028</v>
      </c>
      <c r="AJ185" s="13">
        <f>AI185*VLOOKUP('Données projet'!$B$10,Paramètres!$A$1:$I$89,3,0)*VLOOKUP('Données projet'!$B$10,Paramètres!$A$1:$I$89,5,0)</f>
        <v>228.38400000000016</v>
      </c>
      <c r="AK185" s="13">
        <f t="shared" si="164"/>
        <v>55.933121291087339</v>
      </c>
      <c r="AL185" s="20">
        <f t="shared" si="165"/>
        <v>495.18565291531075</v>
      </c>
      <c r="AM185" s="59">
        <f t="shared" si="113"/>
        <v>788.51898624864407</v>
      </c>
      <c r="AN185" s="59">
        <f ca="1">AVERAGE(OFFSET($AM$3,0,0,'Données projet'!$E$10+1,1))-AVERAGE(OFFSET($H$3,0,0,'Données projet'!$E$10+1,1))</f>
        <v>282.98219518929034</v>
      </c>
      <c r="AO185" s="59">
        <f t="shared" si="144"/>
        <v>205.95652510682322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11.134575240888859</v>
      </c>
      <c r="AV185" s="21">
        <f>EXP(-LN(2)/25)*AV184+(1-EXP(-LN(2)/25))/(LN(2)/25)*Calculateur!AQ185*Calculateur!AS185*VLOOKUP('Données projet'!$B$10,Paramètres!$A$1:$I$89,3,0)*0.475*44/12</f>
        <v>1.5763374815401265</v>
      </c>
      <c r="AW185" s="21">
        <f>EXP(-LN(2)/2)*AW184+(1-EXP(-LN(2)/2))/(LN(2)/2)*AQ185*AT185*VLOOKUP('Données projet'!$B$10,Paramètres!$A$1:$I$89,3,0)*0.475*44/12</f>
        <v>1.330710263090173E-22</v>
      </c>
      <c r="AX185" s="21">
        <f t="shared" si="166"/>
        <v>12.710912722428986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295.99999999999977</v>
      </c>
      <c r="BE185" s="13">
        <f>BD185*VLOOKUP('Données projet'!$B$11,Paramètres!$A$1:$I$89,3,0)*VLOOKUP('Données projet'!$B$11,Paramètres!$A$1:$I$89,5,0)</f>
        <v>240.11519999999982</v>
      </c>
      <c r="BF185" s="13">
        <f t="shared" si="167"/>
        <v>58.464315631105265</v>
      </c>
      <c r="BG185" s="20">
        <f t="shared" si="168"/>
        <v>520.02598972417468</v>
      </c>
      <c r="BH185" s="59">
        <f t="shared" si="116"/>
        <v>813.35932305750794</v>
      </c>
      <c r="BI185" s="59">
        <f ca="1">AVERAGE(OFFSET($BH$3,0,0,'Données projet'!$E$11+1,1))-AVERAGE(OFFSET($H$3,0,0,'Données projet'!$E$11+1,1))</f>
        <v>293.14894570672351</v>
      </c>
      <c r="BJ185" s="59">
        <f t="shared" si="146"/>
        <v>252.47559879720762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6.0960026826331593</v>
      </c>
      <c r="BQ185" s="21">
        <f>EXP(-LN(2)/25)*BQ184+(1-EXP(-LN(2)/25))/(LN(2)/25)*Calculateur!BL185*Calculateur!BN185*VLOOKUP('Données projet'!$B$11,Paramètres!$A$1:$I$89,3,0)*0.475*44/12</f>
        <v>0.46212809438456481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6.5581307770177242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607.99999999999977</v>
      </c>
      <c r="O186" s="13">
        <f>N186*VLOOKUP('Données projet'!$B$9,Paramètres!$A$1:$I$89,3,0)*VLOOKUP('Données projet'!$B$9,Paramètres!$A$1:$I$89,5,0)</f>
        <v>339.87199999999984</v>
      </c>
      <c r="P186" s="13">
        <f t="shared" si="141"/>
        <v>79.473500231862786</v>
      </c>
      <c r="Q186" s="20">
        <f t="shared" si="162"/>
        <v>730.36007957049412</v>
      </c>
      <c r="R186" s="59">
        <f t="shared" si="109"/>
        <v>1023.6934129038275</v>
      </c>
      <c r="S186" s="59">
        <f ca="1">AVERAGE(OFFSET($R$3,0,0,'Données projet'!$E$9+1,1))-AVERAGE(OFFSET($H$3,0,0,'Données projet'!$E$9+1,1))</f>
        <v>381.58561971183832</v>
      </c>
      <c r="T186" s="59">
        <f t="shared" si="142"/>
        <v>444.55874959426347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8.0434130434662805</v>
      </c>
      <c r="AA186" s="21">
        <f>EXP(-LN(2)/25)*AA185+(1-EXP(-LN(2)/25))/(LN(2)/25)*Calculateur!V186*Calculateur!X186*VLOOKUP('Données projet'!$B$9,Paramètres!$A$1:$I$89,3,0)*0.475*44/12</f>
        <v>0.84590569777378199</v>
      </c>
      <c r="AB186" s="21">
        <f>EXP(-LN(2)/2)*AB185+(1-EXP(-LN(2)/2))/(LN(2)/2)*V186*Y186*VLOOKUP('Données projet'!$B$9,Paramètres!$A$1:$I$89,3,0)*0.475*44/12</f>
        <v>1.130840737408645E-23</v>
      </c>
      <c r="AC186" s="22">
        <f t="shared" si="163"/>
        <v>8.8893187412400625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366.00000000000028</v>
      </c>
      <c r="AJ186" s="13">
        <f>AI186*VLOOKUP('Données projet'!$B$10,Paramètres!$A$1:$I$89,3,0)*VLOOKUP('Données projet'!$B$10,Paramètres!$A$1:$I$89,5,0)</f>
        <v>228.38400000000016</v>
      </c>
      <c r="AK186" s="13">
        <f t="shared" si="164"/>
        <v>55.933121291087339</v>
      </c>
      <c r="AL186" s="20">
        <f t="shared" si="165"/>
        <v>495.18565291531075</v>
      </c>
      <c r="AM186" s="59">
        <f t="shared" si="113"/>
        <v>788.51898624864407</v>
      </c>
      <c r="AN186" s="59">
        <f ca="1">AVERAGE(OFFSET($AM$3,0,0,'Données projet'!$E$10+1,1))-AVERAGE(OFFSET($H$3,0,0,'Données projet'!$E$10+1,1))</f>
        <v>282.98219518929034</v>
      </c>
      <c r="AO186" s="59">
        <f t="shared" si="144"/>
        <v>205.95652510682322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10.916233011835327</v>
      </c>
      <c r="AV186" s="21">
        <f>EXP(-LN(2)/25)*AV185+(1-EXP(-LN(2)/25))/(LN(2)/25)*Calculateur!AQ186*Calculateur!AS186*VLOOKUP('Données projet'!$B$10,Paramètres!$A$1:$I$89,3,0)*0.475*44/12</f>
        <v>1.5332324502114263</v>
      </c>
      <c r="AW186" s="21">
        <f>EXP(-LN(2)/2)*AW185+(1-EXP(-LN(2)/2))/(LN(2)/2)*AQ186*AT186*VLOOKUP('Données projet'!$B$10,Paramètres!$A$1:$I$89,3,0)*0.475*44/12</f>
        <v>9.4095425082559605E-23</v>
      </c>
      <c r="AX186" s="21">
        <f t="shared" si="166"/>
        <v>12.449465462046753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295.99999999999977</v>
      </c>
      <c r="BE186" s="13">
        <f>BD186*VLOOKUP('Données projet'!$B$11,Paramètres!$A$1:$I$89,3,0)*VLOOKUP('Données projet'!$B$11,Paramètres!$A$1:$I$89,5,0)</f>
        <v>240.11519999999982</v>
      </c>
      <c r="BF186" s="13">
        <f t="shared" si="167"/>
        <v>58.464315631105265</v>
      </c>
      <c r="BG186" s="20">
        <f t="shared" si="168"/>
        <v>520.02598972417468</v>
      </c>
      <c r="BH186" s="59">
        <f t="shared" si="116"/>
        <v>813.35932305750794</v>
      </c>
      <c r="BI186" s="59">
        <f ca="1">AVERAGE(OFFSET($BH$3,0,0,'Données projet'!$E$11+1,1))-AVERAGE(OFFSET($H$3,0,0,'Données projet'!$E$11+1,1))</f>
        <v>293.14894570672351</v>
      </c>
      <c r="BJ186" s="59">
        <f t="shared" si="146"/>
        <v>252.47559879720762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5.9764637882212179</v>
      </c>
      <c r="BQ186" s="21">
        <f>EXP(-LN(2)/25)*BQ185+(1-EXP(-LN(2)/25))/(LN(2)/25)*Calculateur!BL186*Calculateur!BN186*VLOOKUP('Données projet'!$B$11,Paramètres!$A$1:$I$89,3,0)*0.475*44/12</f>
        <v>0.44949117734135863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6.4259549655625765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607.99999999999977</v>
      </c>
      <c r="O187" s="13">
        <f>N187*VLOOKUP('Données projet'!$B$9,Paramètres!$A$1:$I$89,3,0)*VLOOKUP('Données projet'!$B$9,Paramètres!$A$1:$I$89,5,0)</f>
        <v>339.87199999999984</v>
      </c>
      <c r="P187" s="13">
        <f t="shared" si="141"/>
        <v>79.473500231862786</v>
      </c>
      <c r="Q187" s="20">
        <f t="shared" si="162"/>
        <v>730.36007957049412</v>
      </c>
      <c r="R187" s="59">
        <f t="shared" si="109"/>
        <v>1023.6934129038275</v>
      </c>
      <c r="S187" s="59">
        <f ca="1">AVERAGE(OFFSET($R$3,0,0,'Données projet'!$E$9+1,1))-AVERAGE(OFFSET($H$3,0,0,'Données projet'!$E$9+1,1))</f>
        <v>381.58561971183832</v>
      </c>
      <c r="T187" s="59">
        <f t="shared" si="142"/>
        <v>444.55874959426347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7.8856866196814366</v>
      </c>
      <c r="AA187" s="21">
        <f>EXP(-LN(2)/25)*AA186+(1-EXP(-LN(2)/25))/(LN(2)/25)*Calculateur!V187*Calculateur!X187*VLOOKUP('Données projet'!$B$9,Paramètres!$A$1:$I$89,3,0)*0.475*44/12</f>
        <v>0.82277436198391063</v>
      </c>
      <c r="AB187" s="21">
        <f>EXP(-LN(2)/2)*AB186+(1-EXP(-LN(2)/2))/(LN(2)/2)*V187*Y187*VLOOKUP('Données projet'!$B$9,Paramètres!$A$1:$I$89,3,0)*0.475*44/12</f>
        <v>7.9962515386364875E-24</v>
      </c>
      <c r="AC187" s="22">
        <f t="shared" si="163"/>
        <v>8.7084609816653469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366.00000000000028</v>
      </c>
      <c r="AJ187" s="13">
        <f>AI187*VLOOKUP('Données projet'!$B$10,Paramètres!$A$1:$I$89,3,0)*VLOOKUP('Données projet'!$B$10,Paramètres!$A$1:$I$89,5,0)</f>
        <v>228.38400000000016</v>
      </c>
      <c r="AK187" s="13">
        <f t="shared" si="164"/>
        <v>55.933121291087339</v>
      </c>
      <c r="AL187" s="20">
        <f t="shared" si="165"/>
        <v>495.18565291531075</v>
      </c>
      <c r="AM187" s="59">
        <f t="shared" si="113"/>
        <v>788.51898624864407</v>
      </c>
      <c r="AN187" s="59">
        <f ca="1">AVERAGE(OFFSET($AM$3,0,0,'Données projet'!$E$10+1,1))-AVERAGE(OFFSET($H$3,0,0,'Données projet'!$E$10+1,1))</f>
        <v>282.98219518929034</v>
      </c>
      <c r="AO187" s="59">
        <f t="shared" si="144"/>
        <v>205.95652510682322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10.702172340717928</v>
      </c>
      <c r="AV187" s="21">
        <f>EXP(-LN(2)/25)*AV186+(1-EXP(-LN(2)/25))/(LN(2)/25)*Calculateur!AQ187*Calculateur!AS187*VLOOKUP('Données projet'!$B$10,Paramètres!$A$1:$I$89,3,0)*0.475*44/12</f>
        <v>1.4913061282312046</v>
      </c>
      <c r="AW187" s="21">
        <f>EXP(-LN(2)/2)*AW186+(1-EXP(-LN(2)/2))/(LN(2)/2)*AQ187*AT187*VLOOKUP('Données projet'!$B$10,Paramètres!$A$1:$I$89,3,0)*0.475*44/12</f>
        <v>6.6535513154508649E-23</v>
      </c>
      <c r="AX187" s="21">
        <f t="shared" si="166"/>
        <v>12.193478468949133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295.99999999999977</v>
      </c>
      <c r="BE187" s="13">
        <f>BD187*VLOOKUP('Données projet'!$B$11,Paramètres!$A$1:$I$89,3,0)*VLOOKUP('Données projet'!$B$11,Paramètres!$A$1:$I$89,5,0)</f>
        <v>240.11519999999982</v>
      </c>
      <c r="BF187" s="13">
        <f t="shared" si="167"/>
        <v>58.464315631105265</v>
      </c>
      <c r="BG187" s="20">
        <f t="shared" si="168"/>
        <v>520.02598972417468</v>
      </c>
      <c r="BH187" s="59">
        <f t="shared" si="116"/>
        <v>813.35932305750794</v>
      </c>
      <c r="BI187" s="59">
        <f ca="1">AVERAGE(OFFSET($BH$3,0,0,'Données projet'!$E$11+1,1))-AVERAGE(OFFSET($H$3,0,0,'Données projet'!$E$11+1,1))</f>
        <v>293.14894570672351</v>
      </c>
      <c r="BJ187" s="59">
        <f t="shared" si="146"/>
        <v>252.47559879720762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5.8592689786171688</v>
      </c>
      <c r="BQ187" s="21">
        <f>EXP(-LN(2)/25)*BQ186+(1-EXP(-LN(2)/25))/(LN(2)/25)*Calculateur!BL187*Calculateur!BN187*VLOOKUP('Données projet'!$B$11,Paramètres!$A$1:$I$89,3,0)*0.475*44/12</f>
        <v>0.43719981745924547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6.2964687960764145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607.99999999999977</v>
      </c>
      <c r="O188" s="13">
        <f>N188*VLOOKUP('Données projet'!$B$9,Paramètres!$A$1:$I$89,3,0)*VLOOKUP('Données projet'!$B$9,Paramètres!$A$1:$I$89,5,0)</f>
        <v>339.87199999999984</v>
      </c>
      <c r="P188" s="13">
        <f t="shared" si="141"/>
        <v>79.473500231862786</v>
      </c>
      <c r="Q188" s="20">
        <f t="shared" si="162"/>
        <v>730.36007957049412</v>
      </c>
      <c r="R188" s="59">
        <f t="shared" si="109"/>
        <v>1023.6934129038275</v>
      </c>
      <c r="S188" s="59">
        <f ca="1">AVERAGE(OFFSET($R$3,0,0,'Données projet'!$E$9+1,1))-AVERAGE(OFFSET($H$3,0,0,'Données projet'!$E$9+1,1))</f>
        <v>381.58561971183832</v>
      </c>
      <c r="T188" s="59">
        <f t="shared" si="142"/>
        <v>444.55874959426347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7.7310531148633936</v>
      </c>
      <c r="AA188" s="21">
        <f>EXP(-LN(2)/25)*AA187+(1-EXP(-LN(2)/25))/(LN(2)/25)*Calculateur!V188*Calculateur!X188*VLOOKUP('Données projet'!$B$9,Paramètres!$A$1:$I$89,3,0)*0.475*44/12</f>
        <v>0.80027555378763737</v>
      </c>
      <c r="AB188" s="21">
        <f>EXP(-LN(2)/2)*AB187+(1-EXP(-LN(2)/2))/(LN(2)/2)*V188*Y188*VLOOKUP('Données projet'!$B$9,Paramètres!$A$1:$I$89,3,0)*0.475*44/12</f>
        <v>5.6542036870432248E-24</v>
      </c>
      <c r="AC188" s="22">
        <f t="shared" si="163"/>
        <v>8.5313286686510317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366.00000000000028</v>
      </c>
      <c r="AJ188" s="13">
        <f>AI188*VLOOKUP('Données projet'!$B$10,Paramètres!$A$1:$I$89,3,0)*VLOOKUP('Données projet'!$B$10,Paramètres!$A$1:$I$89,5,0)</f>
        <v>228.38400000000016</v>
      </c>
      <c r="AK188" s="13">
        <f t="shared" si="164"/>
        <v>55.933121291087339</v>
      </c>
      <c r="AL188" s="20">
        <f t="shared" si="165"/>
        <v>495.18565291531075</v>
      </c>
      <c r="AM188" s="59">
        <f t="shared" si="113"/>
        <v>788.51898624864407</v>
      </c>
      <c r="AN188" s="59">
        <f ca="1">AVERAGE(OFFSET($AM$3,0,0,'Données projet'!$E$10+1,1))-AVERAGE(OFFSET($H$3,0,0,'Données projet'!$E$10+1,1))</f>
        <v>282.98219518929034</v>
      </c>
      <c r="AO188" s="59">
        <f t="shared" si="144"/>
        <v>205.95652510682322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10.492309268797023</v>
      </c>
      <c r="AV188" s="21">
        <f>EXP(-LN(2)/25)*AV187+(1-EXP(-LN(2)/25))/(LN(2)/25)*Calculateur!AQ188*Calculateur!AS188*VLOOKUP('Données projet'!$B$10,Paramètres!$A$1:$I$89,3,0)*0.475*44/12</f>
        <v>1.4505262837303414</v>
      </c>
      <c r="AW188" s="21">
        <f>EXP(-LN(2)/2)*AW187+(1-EXP(-LN(2)/2))/(LN(2)/2)*AQ188*AT188*VLOOKUP('Données projet'!$B$10,Paramètres!$A$1:$I$89,3,0)*0.475*44/12</f>
        <v>4.7047712541279803E-23</v>
      </c>
      <c r="AX188" s="21">
        <f t="shared" si="166"/>
        <v>11.942835552527363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295.99999999999977</v>
      </c>
      <c r="BE188" s="13">
        <f>BD188*VLOOKUP('Données projet'!$B$11,Paramètres!$A$1:$I$89,3,0)*VLOOKUP('Données projet'!$B$11,Paramètres!$A$1:$I$89,5,0)</f>
        <v>240.11519999999982</v>
      </c>
      <c r="BF188" s="13">
        <f t="shared" si="167"/>
        <v>58.464315631105265</v>
      </c>
      <c r="BG188" s="20">
        <f t="shared" si="168"/>
        <v>520.02598972417468</v>
      </c>
      <c r="BH188" s="59">
        <f t="shared" si="116"/>
        <v>813.35932305750794</v>
      </c>
      <c r="BI188" s="59">
        <f ca="1">AVERAGE(OFFSET($BH$3,0,0,'Données projet'!$E$11+1,1))-AVERAGE(OFFSET($H$3,0,0,'Données projet'!$E$11+1,1))</f>
        <v>293.14894570672351</v>
      </c>
      <c r="BJ188" s="59">
        <f t="shared" si="146"/>
        <v>252.47559879720762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5.7443722877476793</v>
      </c>
      <c r="BQ188" s="21">
        <f>EXP(-LN(2)/25)*BQ187+(1-EXP(-LN(2)/25))/(LN(2)/25)*Calculateur!BL188*Calculateur!BN188*VLOOKUP('Données projet'!$B$11,Paramètres!$A$1:$I$89,3,0)*0.475*44/12</f>
        <v>0.42524456545948325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6.1696168532071622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607.99999999999977</v>
      </c>
      <c r="O189" s="13">
        <f>N189*VLOOKUP('Données projet'!$B$9,Paramètres!$A$1:$I$89,3,0)*VLOOKUP('Données projet'!$B$9,Paramètres!$A$1:$I$89,5,0)</f>
        <v>339.87199999999984</v>
      </c>
      <c r="P189" s="13">
        <f t="shared" si="141"/>
        <v>79.473500231862786</v>
      </c>
      <c r="Q189" s="20">
        <f t="shared" si="162"/>
        <v>730.36007957049412</v>
      </c>
      <c r="R189" s="59">
        <f t="shared" si="109"/>
        <v>1023.6934129038275</v>
      </c>
      <c r="S189" s="59">
        <f ca="1">AVERAGE(OFFSET($R$3,0,0,'Données projet'!$E$9+1,1))-AVERAGE(OFFSET($H$3,0,0,'Données projet'!$E$9+1,1))</f>
        <v>381.58561971183832</v>
      </c>
      <c r="T189" s="59">
        <f t="shared" si="142"/>
        <v>444.55874959426347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7.5794518787577081</v>
      </c>
      <c r="AA189" s="21">
        <f>EXP(-LN(2)/25)*AA188+(1-EXP(-LN(2)/25))/(LN(2)/25)*Calculateur!V189*Calculateur!X189*VLOOKUP('Données projet'!$B$9,Paramètres!$A$1:$I$89,3,0)*0.475*44/12</f>
        <v>0.7783919766846521</v>
      </c>
      <c r="AB189" s="21">
        <f>EXP(-LN(2)/2)*AB188+(1-EXP(-LN(2)/2))/(LN(2)/2)*V189*Y189*VLOOKUP('Données projet'!$B$9,Paramètres!$A$1:$I$89,3,0)*0.475*44/12</f>
        <v>3.9981257693182438E-24</v>
      </c>
      <c r="AC189" s="22">
        <f t="shared" si="163"/>
        <v>8.3578438554423595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366.00000000000028</v>
      </c>
      <c r="AJ189" s="13">
        <f>AI189*VLOOKUP('Données projet'!$B$10,Paramètres!$A$1:$I$89,3,0)*VLOOKUP('Données projet'!$B$10,Paramètres!$A$1:$I$89,5,0)</f>
        <v>228.38400000000016</v>
      </c>
      <c r="AK189" s="13">
        <f t="shared" si="164"/>
        <v>55.933121291087339</v>
      </c>
      <c r="AL189" s="20">
        <f t="shared" si="165"/>
        <v>495.18565291531075</v>
      </c>
      <c r="AM189" s="59">
        <f t="shared" si="113"/>
        <v>788.51898624864407</v>
      </c>
      <c r="AN189" s="59">
        <f ca="1">AVERAGE(OFFSET($AM$3,0,0,'Données projet'!$E$10+1,1))-AVERAGE(OFFSET($H$3,0,0,'Données projet'!$E$10+1,1))</f>
        <v>282.98219518929034</v>
      </c>
      <c r="AO189" s="59">
        <f t="shared" si="144"/>
        <v>205.95652510682322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10.286561483712651</v>
      </c>
      <c r="AV189" s="21">
        <f>EXP(-LN(2)/25)*AV188+(1-EXP(-LN(2)/25))/(LN(2)/25)*Calculateur!AQ189*Calculateur!AS189*VLOOKUP('Données projet'!$B$10,Paramètres!$A$1:$I$89,3,0)*0.475*44/12</f>
        <v>1.4108615662218733</v>
      </c>
      <c r="AW189" s="21">
        <f>EXP(-LN(2)/2)*AW188+(1-EXP(-LN(2)/2))/(LN(2)/2)*AQ189*AT189*VLOOKUP('Données projet'!$B$10,Paramètres!$A$1:$I$89,3,0)*0.475*44/12</f>
        <v>3.3267756577254325E-23</v>
      </c>
      <c r="AX189" s="21">
        <f t="shared" si="166"/>
        <v>11.697423049934525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295.99999999999977</v>
      </c>
      <c r="BE189" s="13">
        <f>BD189*VLOOKUP('Données projet'!$B$11,Paramètres!$A$1:$I$89,3,0)*VLOOKUP('Données projet'!$B$11,Paramètres!$A$1:$I$89,5,0)</f>
        <v>240.11519999999982</v>
      </c>
      <c r="BF189" s="13">
        <f t="shared" si="167"/>
        <v>58.464315631105265</v>
      </c>
      <c r="BG189" s="20">
        <f t="shared" si="168"/>
        <v>520.02598972417468</v>
      </c>
      <c r="BH189" s="59">
        <f t="shared" si="116"/>
        <v>813.35932305750794</v>
      </c>
      <c r="BI189" s="59">
        <f ca="1">AVERAGE(OFFSET($BH$3,0,0,'Données projet'!$E$11+1,1))-AVERAGE(OFFSET($H$3,0,0,'Données projet'!$E$11+1,1))</f>
        <v>293.14894570672351</v>
      </c>
      <c r="BJ189" s="59">
        <f t="shared" si="146"/>
        <v>252.47559879720762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5.6317286509060791</v>
      </c>
      <c r="BQ189" s="21">
        <f>EXP(-LN(2)/25)*BQ188+(1-EXP(-LN(2)/25))/(LN(2)/25)*Calculateur!BL189*Calculateur!BN189*VLOOKUP('Données projet'!$B$11,Paramètres!$A$1:$I$89,3,0)*0.475*44/12</f>
        <v>0.41361623045435392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6.0453448813604327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607.99999999999977</v>
      </c>
      <c r="O190" s="13">
        <f>N190*VLOOKUP('Données projet'!$B$9,Paramètres!$A$1:$I$89,3,0)*VLOOKUP('Données projet'!$B$9,Paramètres!$A$1:$I$89,5,0)</f>
        <v>339.87199999999984</v>
      </c>
      <c r="P190" s="13">
        <f t="shared" si="141"/>
        <v>79.473500231862786</v>
      </c>
      <c r="Q190" s="20">
        <f t="shared" si="162"/>
        <v>730.36007957049412</v>
      </c>
      <c r="R190" s="59">
        <f t="shared" si="109"/>
        <v>1023.6934129038275</v>
      </c>
      <c r="S190" s="59">
        <f ca="1">AVERAGE(OFFSET($R$3,0,0,'Données projet'!$E$9+1,1))-AVERAGE(OFFSET($H$3,0,0,'Données projet'!$E$9+1,1))</f>
        <v>381.58561971183832</v>
      </c>
      <c r="T190" s="59">
        <f t="shared" si="142"/>
        <v>444.55874959426347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7.4308234504244313</v>
      </c>
      <c r="AA190" s="21">
        <f>EXP(-LN(2)/25)*AA189+(1-EXP(-LN(2)/25))/(LN(2)/25)*Calculateur!V190*Calculateur!X190*VLOOKUP('Données projet'!$B$9,Paramètres!$A$1:$I$89,3,0)*0.475*44/12</f>
        <v>0.75710680714835532</v>
      </c>
      <c r="AB190" s="21">
        <f>EXP(-LN(2)/2)*AB189+(1-EXP(-LN(2)/2))/(LN(2)/2)*V190*Y190*VLOOKUP('Données projet'!$B$9,Paramètres!$A$1:$I$89,3,0)*0.475*44/12</f>
        <v>2.8271018435216124E-24</v>
      </c>
      <c r="AC190" s="22">
        <f t="shared" si="163"/>
        <v>8.1879302575727859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366.00000000000028</v>
      </c>
      <c r="AJ190" s="13">
        <f>AI190*VLOOKUP('Données projet'!$B$10,Paramètres!$A$1:$I$89,3,0)*VLOOKUP('Données projet'!$B$10,Paramètres!$A$1:$I$89,5,0)</f>
        <v>228.38400000000016</v>
      </c>
      <c r="AK190" s="13">
        <f t="shared" si="164"/>
        <v>55.933121291087339</v>
      </c>
      <c r="AL190" s="20">
        <f t="shared" si="165"/>
        <v>495.18565291531075</v>
      </c>
      <c r="AM190" s="59">
        <f t="shared" si="113"/>
        <v>788.51898624864407</v>
      </c>
      <c r="AN190" s="59">
        <f ca="1">AVERAGE(OFFSET($AM$3,0,0,'Données projet'!$E$10+1,1))-AVERAGE(OFFSET($H$3,0,0,'Données projet'!$E$10+1,1))</f>
        <v>282.98219518929034</v>
      </c>
      <c r="AO190" s="59">
        <f t="shared" si="144"/>
        <v>205.95652510682322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10.084848287200026</v>
      </c>
      <c r="AV190" s="21">
        <f>EXP(-LN(2)/25)*AV189+(1-EXP(-LN(2)/25))/(LN(2)/25)*Calculateur!AQ190*Calculateur!AS190*VLOOKUP('Données projet'!$B$10,Paramètres!$A$1:$I$89,3,0)*0.475*44/12</f>
        <v>1.3722814824995511</v>
      </c>
      <c r="AW190" s="21">
        <f>EXP(-LN(2)/2)*AW189+(1-EXP(-LN(2)/2))/(LN(2)/2)*AQ190*AT190*VLOOKUP('Données projet'!$B$10,Paramètres!$A$1:$I$89,3,0)*0.475*44/12</f>
        <v>2.3523856270639901E-23</v>
      </c>
      <c r="AX190" s="21">
        <f t="shared" si="166"/>
        <v>11.457129769699577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295.99999999999977</v>
      </c>
      <c r="BE190" s="13">
        <f>BD190*VLOOKUP('Données projet'!$B$11,Paramètres!$A$1:$I$89,3,0)*VLOOKUP('Données projet'!$B$11,Paramètres!$A$1:$I$89,5,0)</f>
        <v>240.11519999999982</v>
      </c>
      <c r="BF190" s="13">
        <f t="shared" si="167"/>
        <v>58.464315631105265</v>
      </c>
      <c r="BG190" s="20">
        <f t="shared" si="168"/>
        <v>520.02598972417468</v>
      </c>
      <c r="BH190" s="59">
        <f t="shared" si="116"/>
        <v>813.35932305750794</v>
      </c>
      <c r="BI190" s="59">
        <f ca="1">AVERAGE(OFFSET($BH$3,0,0,'Données projet'!$E$11+1,1))-AVERAGE(OFFSET($H$3,0,0,'Données projet'!$E$11+1,1))</f>
        <v>293.14894570672351</v>
      </c>
      <c r="BJ190" s="59">
        <f t="shared" si="146"/>
        <v>252.47559879720762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5.5212938870771087</v>
      </c>
      <c r="BQ190" s="21">
        <f>EXP(-LN(2)/25)*BQ189+(1-EXP(-LN(2)/25))/(LN(2)/25)*Calculateur!BL190*Calculateur!BN190*VLOOKUP('Données projet'!$B$11,Paramètres!$A$1:$I$89,3,0)*0.475*44/12</f>
        <v>0.40230587288144737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5.9235997599585559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607.99999999999977</v>
      </c>
      <c r="O191" s="13">
        <f>N191*VLOOKUP('Données projet'!$B$9,Paramètres!$A$1:$I$89,3,0)*VLOOKUP('Données projet'!$B$9,Paramètres!$A$1:$I$89,5,0)</f>
        <v>339.87199999999984</v>
      </c>
      <c r="P191" s="13">
        <f t="shared" si="141"/>
        <v>79.473500231862786</v>
      </c>
      <c r="Q191" s="20">
        <f t="shared" si="162"/>
        <v>730.36007957049412</v>
      </c>
      <c r="R191" s="59">
        <f t="shared" si="109"/>
        <v>1023.6934129038275</v>
      </c>
      <c r="S191" s="59">
        <f ca="1">AVERAGE(OFFSET($R$3,0,0,'Données projet'!$E$9+1,1))-AVERAGE(OFFSET($H$3,0,0,'Données projet'!$E$9+1,1))</f>
        <v>381.58561971183832</v>
      </c>
      <c r="T191" s="59">
        <f t="shared" si="142"/>
        <v>444.55874959426347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7.2851095349163799</v>
      </c>
      <c r="AA191" s="21">
        <f>EXP(-LN(2)/25)*AA190+(1-EXP(-LN(2)/25))/(LN(2)/25)*Calculateur!V191*Calculateur!X191*VLOOKUP('Données projet'!$B$9,Paramètres!$A$1:$I$89,3,0)*0.475*44/12</f>
        <v>0.73640368169236692</v>
      </c>
      <c r="AB191" s="21">
        <f>EXP(-LN(2)/2)*AB190+(1-EXP(-LN(2)/2))/(LN(2)/2)*V191*Y191*VLOOKUP('Données projet'!$B$9,Paramètres!$A$1:$I$89,3,0)*0.475*44/12</f>
        <v>1.9990628846591219E-24</v>
      </c>
      <c r="AC191" s="22">
        <f t="shared" si="163"/>
        <v>8.0215132166087475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366.00000000000028</v>
      </c>
      <c r="AJ191" s="13">
        <f>AI191*VLOOKUP('Données projet'!$B$10,Paramètres!$A$1:$I$89,3,0)*VLOOKUP('Données projet'!$B$10,Paramètres!$A$1:$I$89,5,0)</f>
        <v>228.38400000000016</v>
      </c>
      <c r="AK191" s="13">
        <f t="shared" si="164"/>
        <v>55.933121291087339</v>
      </c>
      <c r="AL191" s="20">
        <f t="shared" si="165"/>
        <v>495.18565291531075</v>
      </c>
      <c r="AM191" s="59">
        <f t="shared" si="113"/>
        <v>788.51898624864407</v>
      </c>
      <c r="AN191" s="59">
        <f ca="1">AVERAGE(OFFSET($AM$3,0,0,'Données projet'!$E$10+1,1))-AVERAGE(OFFSET($H$3,0,0,'Données projet'!$E$10+1,1))</f>
        <v>282.98219518929034</v>
      </c>
      <c r="AO191" s="59">
        <f t="shared" si="144"/>
        <v>205.95652510682322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9.8870905634381128</v>
      </c>
      <c r="AV191" s="21">
        <f>EXP(-LN(2)/25)*AV190+(1-EXP(-LN(2)/25))/(LN(2)/25)*Calculateur!AQ191*Calculateur!AS191*VLOOKUP('Données projet'!$B$10,Paramètres!$A$1:$I$89,3,0)*0.475*44/12</f>
        <v>1.3347563731954541</v>
      </c>
      <c r="AW191" s="21">
        <f>EXP(-LN(2)/2)*AW190+(1-EXP(-LN(2)/2))/(LN(2)/2)*AQ191*AT191*VLOOKUP('Données projet'!$B$10,Paramètres!$A$1:$I$89,3,0)*0.475*44/12</f>
        <v>1.6633878288627162E-23</v>
      </c>
      <c r="AX191" s="21">
        <f t="shared" si="166"/>
        <v>11.221846936633566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295.99999999999977</v>
      </c>
      <c r="BE191" s="13">
        <f>BD191*VLOOKUP('Données projet'!$B$11,Paramètres!$A$1:$I$89,3,0)*VLOOKUP('Données projet'!$B$11,Paramètres!$A$1:$I$89,5,0)</f>
        <v>240.11519999999982</v>
      </c>
      <c r="BF191" s="13">
        <f t="shared" si="167"/>
        <v>58.464315631105265</v>
      </c>
      <c r="BG191" s="20">
        <f t="shared" si="168"/>
        <v>520.02598972417468</v>
      </c>
      <c r="BH191" s="59">
        <f t="shared" si="116"/>
        <v>813.35932305750794</v>
      </c>
      <c r="BI191" s="59">
        <f ca="1">AVERAGE(OFFSET($BH$3,0,0,'Données projet'!$E$11+1,1))-AVERAGE(OFFSET($H$3,0,0,'Données projet'!$E$11+1,1))</f>
        <v>293.14894570672351</v>
      </c>
      <c r="BJ191" s="59">
        <f t="shared" si="146"/>
        <v>252.47559879720762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5.4130246816082694</v>
      </c>
      <c r="BQ191" s="21">
        <f>EXP(-LN(2)/25)*BQ190+(1-EXP(-LN(2)/25))/(LN(2)/25)*Calculateur!BL191*Calculateur!BN191*VLOOKUP('Données projet'!$B$11,Paramètres!$A$1:$I$89,3,0)*0.475*44/12</f>
        <v>0.39130479763115783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5.8043294792394269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607.99999999999977</v>
      </c>
      <c r="O192" s="13">
        <f>N192*VLOOKUP('Données projet'!$B$9,Paramètres!$A$1:$I$89,3,0)*VLOOKUP('Données projet'!$B$9,Paramètres!$A$1:$I$89,5,0)</f>
        <v>339.87199999999984</v>
      </c>
      <c r="P192" s="13">
        <f t="shared" si="141"/>
        <v>79.473500231862786</v>
      </c>
      <c r="Q192" s="20">
        <f t="shared" si="162"/>
        <v>730.36007957049412</v>
      </c>
      <c r="R192" s="59">
        <f t="shared" si="109"/>
        <v>1023.6934129038275</v>
      </c>
      <c r="S192" s="59">
        <f ca="1">AVERAGE(OFFSET($R$3,0,0,'Données projet'!$E$9+1,1))-AVERAGE(OFFSET($H$3,0,0,'Données projet'!$E$9+1,1))</f>
        <v>381.58561971183832</v>
      </c>
      <c r="T192" s="59">
        <f t="shared" si="142"/>
        <v>444.55874959426347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7.142252980414729</v>
      </c>
      <c r="AA192" s="21">
        <f>EXP(-LN(2)/25)*AA191+(1-EXP(-LN(2)/25))/(LN(2)/25)*Calculateur!V192*Calculateur!X192*VLOOKUP('Données projet'!$B$9,Paramètres!$A$1:$I$89,3,0)*0.475*44/12</f>
        <v>0.71626668429070262</v>
      </c>
      <c r="AB192" s="21">
        <f>EXP(-LN(2)/2)*AB191+(1-EXP(-LN(2)/2))/(LN(2)/2)*V192*Y192*VLOOKUP('Données projet'!$B$9,Paramètres!$A$1:$I$89,3,0)*0.475*44/12</f>
        <v>1.4135509217608062E-24</v>
      </c>
      <c r="AC192" s="22">
        <f t="shared" si="163"/>
        <v>7.8585196647054314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366.00000000000028</v>
      </c>
      <c r="AJ192" s="13">
        <f>AI192*VLOOKUP('Données projet'!$B$10,Paramètres!$A$1:$I$89,3,0)*VLOOKUP('Données projet'!$B$10,Paramètres!$A$1:$I$89,5,0)</f>
        <v>228.38400000000016</v>
      </c>
      <c r="AK192" s="13">
        <f t="shared" si="164"/>
        <v>55.933121291087339</v>
      </c>
      <c r="AL192" s="20">
        <f t="shared" si="165"/>
        <v>495.18565291531075</v>
      </c>
      <c r="AM192" s="59">
        <f t="shared" si="113"/>
        <v>788.51898624864407</v>
      </c>
      <c r="AN192" s="59">
        <f ca="1">AVERAGE(OFFSET($AM$3,0,0,'Données projet'!$E$10+1,1))-AVERAGE(OFFSET($H$3,0,0,'Données projet'!$E$10+1,1))</f>
        <v>282.98219518929034</v>
      </c>
      <c r="AO192" s="59">
        <f t="shared" si="144"/>
        <v>205.95652510682322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9.6932107480188705</v>
      </c>
      <c r="AV192" s="21">
        <f>EXP(-LN(2)/25)*AV191+(1-EXP(-LN(2)/25))/(LN(2)/25)*Calculateur!AQ192*Calculateur!AS192*VLOOKUP('Données projet'!$B$10,Paramètres!$A$1:$I$89,3,0)*0.475*44/12</f>
        <v>1.2982573899786374</v>
      </c>
      <c r="AW192" s="21">
        <f>EXP(-LN(2)/2)*AW191+(1-EXP(-LN(2)/2))/(LN(2)/2)*AQ192*AT192*VLOOKUP('Données projet'!$B$10,Paramètres!$A$1:$I$89,3,0)*0.475*44/12</f>
        <v>1.1761928135319951E-23</v>
      </c>
      <c r="AX192" s="21">
        <f t="shared" si="166"/>
        <v>10.991468137997508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295.99999999999977</v>
      </c>
      <c r="BE192" s="13">
        <f>BD192*VLOOKUP('Données projet'!$B$11,Paramètres!$A$1:$I$89,3,0)*VLOOKUP('Données projet'!$B$11,Paramètres!$A$1:$I$89,5,0)</f>
        <v>240.11519999999982</v>
      </c>
      <c r="BF192" s="13">
        <f t="shared" si="167"/>
        <v>58.464315631105265</v>
      </c>
      <c r="BG192" s="20">
        <f t="shared" si="168"/>
        <v>520.02598972417468</v>
      </c>
      <c r="BH192" s="59">
        <f t="shared" si="116"/>
        <v>813.35932305750794</v>
      </c>
      <c r="BI192" s="59">
        <f ca="1">AVERAGE(OFFSET($BH$3,0,0,'Données projet'!$E$11+1,1))-AVERAGE(OFFSET($H$3,0,0,'Données projet'!$E$11+1,1))</f>
        <v>293.14894570672351</v>
      </c>
      <c r="BJ192" s="59">
        <f t="shared" si="146"/>
        <v>252.47559879720762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5.306878569220979</v>
      </c>
      <c r="BQ192" s="21">
        <f>EXP(-LN(2)/25)*BQ191+(1-EXP(-LN(2)/25))/(LN(2)/25)*Calculateur!BL192*Calculateur!BN192*VLOOKUP('Données projet'!$B$11,Paramètres!$A$1:$I$89,3,0)*0.475*44/12</f>
        <v>0.38060454736210886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5.6874831165830875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607.99999999999977</v>
      </c>
      <c r="O193" s="13">
        <f>N193*VLOOKUP('Données projet'!$B$9,Paramètres!$A$1:$I$89,3,0)*VLOOKUP('Données projet'!$B$9,Paramètres!$A$1:$I$89,5,0)</f>
        <v>339.87199999999984</v>
      </c>
      <c r="P193" s="13">
        <f t="shared" si="141"/>
        <v>79.473500231862786</v>
      </c>
      <c r="Q193" s="20">
        <f t="shared" si="162"/>
        <v>730.36007957049412</v>
      </c>
      <c r="R193" s="59">
        <f t="shared" si="109"/>
        <v>1023.6934129038275</v>
      </c>
      <c r="S193" s="59">
        <f ca="1">AVERAGE(OFFSET($R$3,0,0,'Données projet'!$E$9+1,1))-AVERAGE(OFFSET($H$3,0,0,'Données projet'!$E$9+1,1))</f>
        <v>381.58561971183832</v>
      </c>
      <c r="T193" s="59">
        <f t="shared" si="142"/>
        <v>444.55874959426347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7.0021977558129613</v>
      </c>
      <c r="AA193" s="21">
        <f>EXP(-LN(2)/25)*AA192+(1-EXP(-LN(2)/25))/(LN(2)/25)*Calculateur!V193*Calculateur!X193*VLOOKUP('Données projet'!$B$9,Paramètres!$A$1:$I$89,3,0)*0.475*44/12</f>
        <v>0.69668033414194552</v>
      </c>
      <c r="AB193" s="21">
        <f>EXP(-LN(2)/2)*AB192+(1-EXP(-LN(2)/2))/(LN(2)/2)*V193*Y193*VLOOKUP('Données projet'!$B$9,Paramètres!$A$1:$I$89,3,0)*0.475*44/12</f>
        <v>9.9953144232956094E-25</v>
      </c>
      <c r="AC193" s="22">
        <f t="shared" si="163"/>
        <v>7.6988780899549072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366.00000000000028</v>
      </c>
      <c r="AJ193" s="13">
        <f>AI193*VLOOKUP('Données projet'!$B$10,Paramètres!$A$1:$I$89,3,0)*VLOOKUP('Données projet'!$B$10,Paramètres!$A$1:$I$89,5,0)</f>
        <v>228.38400000000016</v>
      </c>
      <c r="AK193" s="13">
        <f t="shared" si="164"/>
        <v>55.933121291087339</v>
      </c>
      <c r="AL193" s="20">
        <f t="shared" si="165"/>
        <v>495.18565291531075</v>
      </c>
      <c r="AM193" s="59">
        <f t="shared" si="113"/>
        <v>788.51898624864407</v>
      </c>
      <c r="AN193" s="59">
        <f ca="1">AVERAGE(OFFSET($AM$3,0,0,'Données projet'!$E$10+1,1))-AVERAGE(OFFSET($H$3,0,0,'Données projet'!$E$10+1,1))</f>
        <v>282.98219518929034</v>
      </c>
      <c r="AO193" s="59">
        <f t="shared" si="144"/>
        <v>205.95652510682322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9.5031327975249873</v>
      </c>
      <c r="AV193" s="21">
        <f>EXP(-LN(2)/25)*AV192+(1-EXP(-LN(2)/25))/(LN(2)/25)*Calculateur!AQ193*Calculateur!AS193*VLOOKUP('Données projet'!$B$10,Paramètres!$A$1:$I$89,3,0)*0.475*44/12</f>
        <v>1.2627564733772827</v>
      </c>
      <c r="AW193" s="21">
        <f>EXP(-LN(2)/2)*AW192+(1-EXP(-LN(2)/2))/(LN(2)/2)*AQ193*AT193*VLOOKUP('Données projet'!$B$10,Paramètres!$A$1:$I$89,3,0)*0.475*44/12</f>
        <v>8.3169391443135812E-24</v>
      </c>
      <c r="AX193" s="21">
        <f t="shared" si="166"/>
        <v>10.765889270902271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295.99999999999977</v>
      </c>
      <c r="BE193" s="13">
        <f>BD193*VLOOKUP('Données projet'!$B$11,Paramètres!$A$1:$I$89,3,0)*VLOOKUP('Données projet'!$B$11,Paramètres!$A$1:$I$89,5,0)</f>
        <v>240.11519999999982</v>
      </c>
      <c r="BF193" s="13">
        <f t="shared" si="167"/>
        <v>58.464315631105265</v>
      </c>
      <c r="BG193" s="20">
        <f t="shared" si="168"/>
        <v>520.02598972417468</v>
      </c>
      <c r="BH193" s="59">
        <f t="shared" si="116"/>
        <v>813.35932305750794</v>
      </c>
      <c r="BI193" s="59">
        <f ca="1">AVERAGE(OFFSET($BH$3,0,0,'Données projet'!$E$11+1,1))-AVERAGE(OFFSET($H$3,0,0,'Données projet'!$E$11+1,1))</f>
        <v>293.14894570672351</v>
      </c>
      <c r="BJ193" s="59">
        <f t="shared" si="146"/>
        <v>252.47559879720762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5.2028139173548675</v>
      </c>
      <c r="BQ193" s="21">
        <f>EXP(-LN(2)/25)*BQ192+(1-EXP(-LN(2)/25))/(LN(2)/25)*Calculateur!BL193*Calculateur!BN193*VLOOKUP('Données projet'!$B$11,Paramètres!$A$1:$I$89,3,0)*0.475*44/12</f>
        <v>0.37019689599936872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5.5730108133542364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607.99999999999977</v>
      </c>
      <c r="O194" s="13">
        <f>N194*VLOOKUP('Données projet'!$B$9,Paramètres!$A$1:$I$89,3,0)*VLOOKUP('Données projet'!$B$9,Paramètres!$A$1:$I$89,5,0)</f>
        <v>339.87199999999984</v>
      </c>
      <c r="P194" s="13">
        <f t="shared" si="141"/>
        <v>79.473500231862786</v>
      </c>
      <c r="Q194" s="20">
        <f t="shared" si="162"/>
        <v>730.36007957049412</v>
      </c>
      <c r="R194" s="59">
        <f t="shared" si="109"/>
        <v>1023.6934129038275</v>
      </c>
      <c r="S194" s="59">
        <f ca="1">AVERAGE(OFFSET($R$3,0,0,'Données projet'!$E$9+1,1))-AVERAGE(OFFSET($H$3,0,0,'Données projet'!$E$9+1,1))</f>
        <v>381.58561971183832</v>
      </c>
      <c r="T194" s="59">
        <f t="shared" si="142"/>
        <v>444.55874959426347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6.864888928740382</v>
      </c>
      <c r="AA194" s="21">
        <f>EXP(-LN(2)/25)*AA193+(1-EXP(-LN(2)/25))/(LN(2)/25)*Calculateur!V194*Calculateur!X194*VLOOKUP('Données projet'!$B$9,Paramètres!$A$1:$I$89,3,0)*0.475*44/12</f>
        <v>0.67762957376800759</v>
      </c>
      <c r="AB194" s="21">
        <f>EXP(-LN(2)/2)*AB193+(1-EXP(-LN(2)/2))/(LN(2)/2)*V194*Y194*VLOOKUP('Données projet'!$B$9,Paramètres!$A$1:$I$89,3,0)*0.475*44/12</f>
        <v>7.0677546088040311E-25</v>
      </c>
      <c r="AC194" s="22">
        <f t="shared" si="163"/>
        <v>7.5425185025083898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366.00000000000028</v>
      </c>
      <c r="AJ194" s="13">
        <f>AI194*VLOOKUP('Données projet'!$B$10,Paramètres!$A$1:$I$89,3,0)*VLOOKUP('Données projet'!$B$10,Paramètres!$A$1:$I$89,5,0)</f>
        <v>228.38400000000016</v>
      </c>
      <c r="AK194" s="13">
        <f t="shared" si="164"/>
        <v>55.933121291087339</v>
      </c>
      <c r="AL194" s="20">
        <f t="shared" si="165"/>
        <v>495.18565291531075</v>
      </c>
      <c r="AM194" s="59">
        <f t="shared" si="113"/>
        <v>788.51898624864407</v>
      </c>
      <c r="AN194" s="59">
        <f ca="1">AVERAGE(OFFSET($AM$3,0,0,'Données projet'!$E$10+1,1))-AVERAGE(OFFSET($H$3,0,0,'Données projet'!$E$10+1,1))</f>
        <v>282.98219518929034</v>
      </c>
      <c r="AO194" s="59">
        <f t="shared" si="144"/>
        <v>205.95652510682322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9.3167821597041875</v>
      </c>
      <c r="AV194" s="21">
        <f>EXP(-LN(2)/25)*AV193+(1-EXP(-LN(2)/25))/(LN(2)/25)*Calculateur!AQ194*Calculateur!AS194*VLOOKUP('Données projet'!$B$10,Paramètres!$A$1:$I$89,3,0)*0.475*44/12</f>
        <v>1.2282263312073041</v>
      </c>
      <c r="AW194" s="21">
        <f>EXP(-LN(2)/2)*AW193+(1-EXP(-LN(2)/2))/(LN(2)/2)*AQ194*AT194*VLOOKUP('Données projet'!$B$10,Paramètres!$A$1:$I$89,3,0)*0.475*44/12</f>
        <v>5.8809640676599753E-24</v>
      </c>
      <c r="AX194" s="21">
        <f t="shared" si="166"/>
        <v>10.545008490911492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295.99999999999977</v>
      </c>
      <c r="BE194" s="13">
        <f>BD194*VLOOKUP('Données projet'!$B$11,Paramètres!$A$1:$I$89,3,0)*VLOOKUP('Données projet'!$B$11,Paramètres!$A$1:$I$89,5,0)</f>
        <v>240.11519999999982</v>
      </c>
      <c r="BF194" s="13">
        <f t="shared" si="167"/>
        <v>58.464315631105265</v>
      </c>
      <c r="BG194" s="20">
        <f t="shared" si="168"/>
        <v>520.02598972417468</v>
      </c>
      <c r="BH194" s="59">
        <f t="shared" si="116"/>
        <v>813.35932305750794</v>
      </c>
      <c r="BI194" s="59">
        <f ca="1">AVERAGE(OFFSET($BH$3,0,0,'Données projet'!$E$11+1,1))-AVERAGE(OFFSET($H$3,0,0,'Données projet'!$E$11+1,1))</f>
        <v>293.14894570672351</v>
      </c>
      <c r="BJ194" s="59">
        <f t="shared" si="146"/>
        <v>252.47559879720762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5.1007899098386806</v>
      </c>
      <c r="BQ194" s="21">
        <f>EXP(-LN(2)/25)*BQ193+(1-EXP(-LN(2)/25))/(LN(2)/25)*Calculateur!BL194*Calculateur!BN194*VLOOKUP('Données projet'!$B$11,Paramètres!$A$1:$I$89,3,0)*0.475*44/12</f>
        <v>0.36007384241045731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5.4608637522491383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607.99999999999977</v>
      </c>
      <c r="O195" s="13">
        <f>N195*VLOOKUP('Données projet'!$B$9,Paramètres!$A$1:$I$89,3,0)*VLOOKUP('Données projet'!$B$9,Paramètres!$A$1:$I$89,5,0)</f>
        <v>339.87199999999984</v>
      </c>
      <c r="P195" s="13">
        <f t="shared" si="141"/>
        <v>79.473500231862786</v>
      </c>
      <c r="Q195" s="20">
        <f t="shared" si="162"/>
        <v>730.36007957049412</v>
      </c>
      <c r="R195" s="59">
        <f t="shared" ref="R195:R203" si="191">Q195+(I195+J195)*44/12</f>
        <v>1023.6934129038275</v>
      </c>
      <c r="S195" s="59">
        <f ca="1">AVERAGE(OFFSET($R$3,0,0,'Données projet'!$E$9+1,1))-AVERAGE(OFFSET($H$3,0,0,'Données projet'!$E$9+1,1))</f>
        <v>381.58561971183832</v>
      </c>
      <c r="T195" s="59">
        <f t="shared" si="142"/>
        <v>444.55874959426347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6.7302726440165808</v>
      </c>
      <c r="AA195" s="21">
        <f>EXP(-LN(2)/25)*AA194+(1-EXP(-LN(2)/25))/(LN(2)/25)*Calculateur!V195*Calculateur!X195*VLOOKUP('Données projet'!$B$9,Paramètres!$A$1:$I$89,3,0)*0.475*44/12</f>
        <v>0.65909975743833082</v>
      </c>
      <c r="AB195" s="21">
        <f>EXP(-LN(2)/2)*AB194+(1-EXP(-LN(2)/2))/(LN(2)/2)*V195*Y195*VLOOKUP('Données projet'!$B$9,Paramètres!$A$1:$I$89,3,0)*0.475*44/12</f>
        <v>4.9976572116478047E-25</v>
      </c>
      <c r="AC195" s="22">
        <f t="shared" si="163"/>
        <v>7.3893724014549118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366.00000000000028</v>
      </c>
      <c r="AJ195" s="13">
        <f>AI195*VLOOKUP('Données projet'!$B$10,Paramètres!$A$1:$I$89,3,0)*VLOOKUP('Données projet'!$B$10,Paramètres!$A$1:$I$89,5,0)</f>
        <v>228.38400000000016</v>
      </c>
      <c r="AK195" s="13">
        <f t="shared" si="164"/>
        <v>55.933121291087339</v>
      </c>
      <c r="AL195" s="20">
        <f t="shared" si="165"/>
        <v>495.18565291531075</v>
      </c>
      <c r="AM195" s="59">
        <f t="shared" si="113"/>
        <v>788.51898624864407</v>
      </c>
      <c r="AN195" s="59">
        <f ca="1">AVERAGE(OFFSET($AM$3,0,0,'Données projet'!$E$10+1,1))-AVERAGE(OFFSET($H$3,0,0,'Données projet'!$E$10+1,1))</f>
        <v>282.98219518929034</v>
      </c>
      <c r="AO195" s="59">
        <f t="shared" si="144"/>
        <v>205.95652510682322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9.134085744228388</v>
      </c>
      <c r="AV195" s="21">
        <f>EXP(-LN(2)/25)*AV194+(1-EXP(-LN(2)/25))/(LN(2)/25)*Calculateur!AQ195*Calculateur!AS195*VLOOKUP('Données projet'!$B$10,Paramètres!$A$1:$I$89,3,0)*0.475*44/12</f>
        <v>1.1946404175908247</v>
      </c>
      <c r="AW195" s="21">
        <f>EXP(-LN(2)/2)*AW194+(1-EXP(-LN(2)/2))/(LN(2)/2)*AQ195*AT195*VLOOKUP('Données projet'!$B$10,Paramètres!$A$1:$I$89,3,0)*0.475*44/12</f>
        <v>4.1584695721567906E-24</v>
      </c>
      <c r="AX195" s="21">
        <f t="shared" si="166"/>
        <v>10.328726161819212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295.99999999999977</v>
      </c>
      <c r="BE195" s="13">
        <f>BD195*VLOOKUP('Données projet'!$B$11,Paramètres!$A$1:$I$89,3,0)*VLOOKUP('Données projet'!$B$11,Paramètres!$A$1:$I$89,5,0)</f>
        <v>240.11519999999982</v>
      </c>
      <c r="BF195" s="13">
        <f t="shared" si="167"/>
        <v>58.464315631105265</v>
      </c>
      <c r="BG195" s="20">
        <f t="shared" si="168"/>
        <v>520.02598972417468</v>
      </c>
      <c r="BH195" s="59">
        <f t="shared" si="116"/>
        <v>813.35932305750794</v>
      </c>
      <c r="BI195" s="59">
        <f ca="1">AVERAGE(OFFSET($BH$3,0,0,'Données projet'!$E$11+1,1))-AVERAGE(OFFSET($H$3,0,0,'Données projet'!$E$11+1,1))</f>
        <v>293.14894570672351</v>
      </c>
      <c r="BJ195" s="59">
        <f t="shared" si="146"/>
        <v>252.47559879720762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5.0007665308813865</v>
      </c>
      <c r="BQ195" s="21">
        <f>EXP(-LN(2)/25)*BQ194+(1-EXP(-LN(2)/25))/(LN(2)/25)*Calculateur!BL195*Calculateur!BN195*VLOOKUP('Données projet'!$B$11,Paramètres!$A$1:$I$89,3,0)*0.475*44/12</f>
        <v>0.35022760425428295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5.3509941351356698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607.99999999999977</v>
      </c>
      <c r="O196" s="13">
        <f>N196*VLOOKUP('Données projet'!$B$9,Paramètres!$A$1:$I$89,3,0)*VLOOKUP('Données projet'!$B$9,Paramètres!$A$1:$I$89,5,0)</f>
        <v>339.87199999999984</v>
      </c>
      <c r="P196" s="13">
        <f t="shared" si="141"/>
        <v>79.473500231862786</v>
      </c>
      <c r="Q196" s="20">
        <f t="shared" si="162"/>
        <v>730.36007957049412</v>
      </c>
      <c r="R196" s="59">
        <f t="shared" si="191"/>
        <v>1023.6934129038275</v>
      </c>
      <c r="S196" s="59">
        <f ca="1">AVERAGE(OFFSET($R$3,0,0,'Données projet'!$E$9+1,1))-AVERAGE(OFFSET($H$3,0,0,'Données projet'!$E$9+1,1))</f>
        <v>381.58561971183832</v>
      </c>
      <c r="T196" s="59">
        <f t="shared" si="142"/>
        <v>444.55874959426347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6.5982961025283871</v>
      </c>
      <c r="AA196" s="21">
        <f>EXP(-LN(2)/25)*AA195+(1-EXP(-LN(2)/25))/(LN(2)/25)*Calculateur!V196*Calculateur!X196*VLOOKUP('Données projet'!$B$9,Paramètres!$A$1:$I$89,3,0)*0.475*44/12</f>
        <v>0.6410766399106298</v>
      </c>
      <c r="AB196" s="21">
        <f>EXP(-LN(2)/2)*AB195+(1-EXP(-LN(2)/2))/(LN(2)/2)*V196*Y196*VLOOKUP('Données projet'!$B$9,Paramètres!$A$1:$I$89,3,0)*0.475*44/12</f>
        <v>3.5338773044020155E-25</v>
      </c>
      <c r="AC196" s="22">
        <f t="shared" si="163"/>
        <v>7.2393727424390164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366.00000000000028</v>
      </c>
      <c r="AJ196" s="13">
        <f>AI196*VLOOKUP('Données projet'!$B$10,Paramètres!$A$1:$I$89,3,0)*VLOOKUP('Données projet'!$B$10,Paramètres!$A$1:$I$89,5,0)</f>
        <v>228.38400000000016</v>
      </c>
      <c r="AK196" s="13">
        <f t="shared" si="164"/>
        <v>55.933121291087339</v>
      </c>
      <c r="AL196" s="20">
        <f t="shared" si="165"/>
        <v>495.18565291531075</v>
      </c>
      <c r="AM196" s="59">
        <f t="shared" ref="AM196:AM203" si="193">AL196+(AD196+AE196)*44/12</f>
        <v>788.51898624864407</v>
      </c>
      <c r="AN196" s="59">
        <f ca="1">AVERAGE(OFFSET($AM$3,0,0,'Données projet'!$E$10+1,1))-AVERAGE(OFFSET($H$3,0,0,'Données projet'!$E$10+1,1))</f>
        <v>282.98219518929034</v>
      </c>
      <c r="AO196" s="59">
        <f t="shared" si="144"/>
        <v>205.95652510682322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8.9549718940262597</v>
      </c>
      <c r="AV196" s="21">
        <f>EXP(-LN(2)/25)*AV195+(1-EXP(-LN(2)/25))/(LN(2)/25)*Calculateur!AQ196*Calculateur!AS196*VLOOKUP('Données projet'!$B$10,Paramètres!$A$1:$I$89,3,0)*0.475*44/12</f>
        <v>1.1619729125483944</v>
      </c>
      <c r="AW196" s="21">
        <f>EXP(-LN(2)/2)*AW195+(1-EXP(-LN(2)/2))/(LN(2)/2)*AQ196*AT196*VLOOKUP('Données projet'!$B$10,Paramètres!$A$1:$I$89,3,0)*0.475*44/12</f>
        <v>2.9404820338299877E-24</v>
      </c>
      <c r="AX196" s="21">
        <f t="shared" si="166"/>
        <v>10.116944806574654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295.99999999999977</v>
      </c>
      <c r="BE196" s="13">
        <f>BD196*VLOOKUP('Données projet'!$B$11,Paramètres!$A$1:$I$89,3,0)*VLOOKUP('Données projet'!$B$11,Paramètres!$A$1:$I$89,5,0)</f>
        <v>240.11519999999982</v>
      </c>
      <c r="BF196" s="13">
        <f t="shared" si="167"/>
        <v>58.464315631105265</v>
      </c>
      <c r="BG196" s="20">
        <f t="shared" si="168"/>
        <v>520.02598972417468</v>
      </c>
      <c r="BH196" s="59">
        <f t="shared" ref="BH196:BH203" si="194">BG196+(AY196+AZ196)*44/12</f>
        <v>813.35932305750794</v>
      </c>
      <c r="BI196" s="59">
        <f ca="1">AVERAGE(OFFSET($BH$3,0,0,'Données projet'!$E$11+1,1))-AVERAGE(OFFSET($H$3,0,0,'Données projet'!$E$11+1,1))</f>
        <v>293.14894570672351</v>
      </c>
      <c r="BJ196" s="59">
        <f t="shared" si="146"/>
        <v>252.47559879720762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4.9027045493772077</v>
      </c>
      <c r="BQ196" s="21">
        <f>EXP(-LN(2)/25)*BQ195+(1-EXP(-LN(2)/25))/(LN(2)/25)*Calculateur!BL196*Calculateur!BN196*VLOOKUP('Données projet'!$B$11,Paramètres!$A$1:$I$89,3,0)*0.475*44/12</f>
        <v>0.34065061199828034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5.2433551613754883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607.99999999999977</v>
      </c>
      <c r="O197" s="13">
        <f>N197*VLOOKUP('Données projet'!$B$9,Paramètres!$A$1:$I$89,3,0)*VLOOKUP('Données projet'!$B$9,Paramètres!$A$1:$I$89,5,0)</f>
        <v>339.87199999999984</v>
      </c>
      <c r="P197" s="13">
        <f t="shared" ref="P197:P203" si="203">EXP(-1.0587+0.8836*LN(O197)+0.284)</f>
        <v>79.473500231862786</v>
      </c>
      <c r="Q197" s="20">
        <f t="shared" si="162"/>
        <v>730.36007957049412</v>
      </c>
      <c r="R197" s="59">
        <f t="shared" si="191"/>
        <v>1023.6934129038275</v>
      </c>
      <c r="S197" s="59">
        <f ca="1">AVERAGE(OFFSET($R$3,0,0,'Données projet'!$E$9+1,1))-AVERAGE(OFFSET($H$3,0,0,'Données projet'!$E$9+1,1))</f>
        <v>381.58561971183832</v>
      </c>
      <c r="T197" s="59">
        <f t="shared" ref="T197:T203" si="204">$T$3</f>
        <v>444.55874959426347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6.4689075405210357</v>
      </c>
      <c r="AA197" s="21">
        <f>EXP(-LN(2)/25)*AA196+(1-EXP(-LN(2)/25))/(LN(2)/25)*Calculateur!V197*Calculateur!X197*VLOOKUP('Données projet'!$B$9,Paramètres!$A$1:$I$89,3,0)*0.475*44/12</f>
        <v>0.62354636547951836</v>
      </c>
      <c r="AB197" s="21">
        <f>EXP(-LN(2)/2)*AB196+(1-EXP(-LN(2)/2))/(LN(2)/2)*V197*Y197*VLOOKUP('Données projet'!$B$9,Paramètres!$A$1:$I$89,3,0)*0.475*44/12</f>
        <v>2.4988286058239024E-25</v>
      </c>
      <c r="AC197" s="22">
        <f t="shared" si="163"/>
        <v>7.0924539060005536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366.00000000000028</v>
      </c>
      <c r="AJ197" s="13">
        <f>AI197*VLOOKUP('Données projet'!$B$10,Paramètres!$A$1:$I$89,3,0)*VLOOKUP('Données projet'!$B$10,Paramètres!$A$1:$I$89,5,0)</f>
        <v>228.38400000000016</v>
      </c>
      <c r="AK197" s="13">
        <f t="shared" si="164"/>
        <v>55.933121291087339</v>
      </c>
      <c r="AL197" s="20">
        <f t="shared" si="165"/>
        <v>495.18565291531075</v>
      </c>
      <c r="AM197" s="59">
        <f t="shared" si="193"/>
        <v>788.51898624864407</v>
      </c>
      <c r="AN197" s="59">
        <f ca="1">AVERAGE(OFFSET($AM$3,0,0,'Données projet'!$E$10+1,1))-AVERAGE(OFFSET($H$3,0,0,'Données projet'!$E$10+1,1))</f>
        <v>282.98219518929034</v>
      </c>
      <c r="AO197" s="59">
        <f t="shared" ref="AO197:AO203" si="205">$AO$3</f>
        <v>205.95652510682322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8.7793703571779336</v>
      </c>
      <c r="AV197" s="21">
        <f>EXP(-LN(2)/25)*AV196+(1-EXP(-LN(2)/25))/(LN(2)/25)*Calculateur!AQ197*Calculateur!AS197*VLOOKUP('Données projet'!$B$10,Paramètres!$A$1:$I$89,3,0)*0.475*44/12</f>
        <v>1.1301987021492588</v>
      </c>
      <c r="AW197" s="21">
        <f>EXP(-LN(2)/2)*AW196+(1-EXP(-LN(2)/2))/(LN(2)/2)*AQ197*AT197*VLOOKUP('Données projet'!$B$10,Paramètres!$A$1:$I$89,3,0)*0.475*44/12</f>
        <v>2.0792347860783953E-24</v>
      </c>
      <c r="AX197" s="21">
        <f t="shared" si="166"/>
        <v>9.9095690593271932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295.99999999999977</v>
      </c>
      <c r="BE197" s="13">
        <f>BD197*VLOOKUP('Données projet'!$B$11,Paramètres!$A$1:$I$89,3,0)*VLOOKUP('Données projet'!$B$11,Paramètres!$A$1:$I$89,5,0)</f>
        <v>240.11519999999982</v>
      </c>
      <c r="BF197" s="13">
        <f t="shared" si="167"/>
        <v>58.464315631105265</v>
      </c>
      <c r="BG197" s="20">
        <f t="shared" si="168"/>
        <v>520.02598972417468</v>
      </c>
      <c r="BH197" s="59">
        <f t="shared" si="194"/>
        <v>813.35932305750794</v>
      </c>
      <c r="BI197" s="59">
        <f ca="1">AVERAGE(OFFSET($BH$3,0,0,'Données projet'!$E$11+1,1))-AVERAGE(OFFSET($H$3,0,0,'Données projet'!$E$11+1,1))</f>
        <v>293.14894570672351</v>
      </c>
      <c r="BJ197" s="59">
        <f t="shared" ref="BJ197:BJ203" si="206">$BJ$3</f>
        <v>252.47559879720762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4.8065655035184225</v>
      </c>
      <c r="BQ197" s="21">
        <f>EXP(-LN(2)/25)*BQ196+(1-EXP(-LN(2)/25))/(LN(2)/25)*Calculateur!BL197*Calculateur!BN197*VLOOKUP('Données projet'!$B$11,Paramètres!$A$1:$I$89,3,0)*0.475*44/12</f>
        <v>0.33133550309915022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5.1379010066175725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607.99999999999977</v>
      </c>
      <c r="O198" s="13">
        <f>N198*VLOOKUP('Données projet'!$B$9,Paramètres!$A$1:$I$89,3,0)*VLOOKUP('Données projet'!$B$9,Paramètres!$A$1:$I$89,5,0)</f>
        <v>339.87199999999984</v>
      </c>
      <c r="P198" s="13">
        <f t="shared" si="203"/>
        <v>79.473500231862786</v>
      </c>
      <c r="Q198" s="20">
        <f t="shared" si="162"/>
        <v>730.36007957049412</v>
      </c>
      <c r="R198" s="59">
        <f t="shared" si="191"/>
        <v>1023.6934129038275</v>
      </c>
      <c r="S198" s="59">
        <f ca="1">AVERAGE(OFFSET($R$3,0,0,'Données projet'!$E$9+1,1))-AVERAGE(OFFSET($H$3,0,0,'Données projet'!$E$9+1,1))</f>
        <v>381.58561971183832</v>
      </c>
      <c r="T198" s="59">
        <f t="shared" si="204"/>
        <v>444.55874959426347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6.3420562092954178</v>
      </c>
      <c r="AA198" s="21">
        <f>EXP(-LN(2)/25)*AA197+(1-EXP(-LN(2)/25))/(LN(2)/25)*Calculateur!V198*Calculateur!X198*VLOOKUP('Données projet'!$B$9,Paramètres!$A$1:$I$89,3,0)*0.475*44/12</f>
        <v>0.60649545732460275</v>
      </c>
      <c r="AB198" s="21">
        <f>EXP(-LN(2)/2)*AB197+(1-EXP(-LN(2)/2))/(LN(2)/2)*V198*Y198*VLOOKUP('Données projet'!$B$9,Paramètres!$A$1:$I$89,3,0)*0.475*44/12</f>
        <v>1.7669386522010078E-25</v>
      </c>
      <c r="AC198" s="22">
        <f t="shared" si="163"/>
        <v>6.9485516666200207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366.00000000000028</v>
      </c>
      <c r="AJ198" s="13">
        <f>AI198*VLOOKUP('Données projet'!$B$10,Paramètres!$A$1:$I$89,3,0)*VLOOKUP('Données projet'!$B$10,Paramètres!$A$1:$I$89,5,0)</f>
        <v>228.38400000000016</v>
      </c>
      <c r="AK198" s="13">
        <f t="shared" si="164"/>
        <v>55.933121291087339</v>
      </c>
      <c r="AL198" s="20">
        <f t="shared" si="165"/>
        <v>495.18565291531075</v>
      </c>
      <c r="AM198" s="59">
        <f t="shared" si="193"/>
        <v>788.51898624864407</v>
      </c>
      <c r="AN198" s="59">
        <f ca="1">AVERAGE(OFFSET($AM$3,0,0,'Données projet'!$E$10+1,1))-AVERAGE(OFFSET($H$3,0,0,'Données projet'!$E$10+1,1))</f>
        <v>282.98219518929034</v>
      </c>
      <c r="AO198" s="59">
        <f t="shared" si="205"/>
        <v>205.95652510682322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8.6072122593608409</v>
      </c>
      <c r="AV198" s="21">
        <f>EXP(-LN(2)/25)*AV197+(1-EXP(-LN(2)/25))/(LN(2)/25)*Calculateur!AQ198*Calculateur!AS198*VLOOKUP('Données projet'!$B$10,Paramètres!$A$1:$I$89,3,0)*0.475*44/12</f>
        <v>1.0992933592044207</v>
      </c>
      <c r="AW198" s="21">
        <f>EXP(-LN(2)/2)*AW197+(1-EXP(-LN(2)/2))/(LN(2)/2)*AQ198*AT198*VLOOKUP('Données projet'!$B$10,Paramètres!$A$1:$I$89,3,0)*0.475*44/12</f>
        <v>1.4702410169149938E-24</v>
      </c>
      <c r="AX198" s="21">
        <f t="shared" si="166"/>
        <v>9.7065056185652612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295.99999999999977</v>
      </c>
      <c r="BE198" s="13">
        <f>BD198*VLOOKUP('Données projet'!$B$11,Paramètres!$A$1:$I$89,3,0)*VLOOKUP('Données projet'!$B$11,Paramètres!$A$1:$I$89,5,0)</f>
        <v>240.11519999999982</v>
      </c>
      <c r="BF198" s="13">
        <f t="shared" si="167"/>
        <v>58.464315631105265</v>
      </c>
      <c r="BG198" s="20">
        <f t="shared" si="168"/>
        <v>520.02598972417468</v>
      </c>
      <c r="BH198" s="59">
        <f t="shared" si="194"/>
        <v>813.35932305750794</v>
      </c>
      <c r="BI198" s="59">
        <f ca="1">AVERAGE(OFFSET($BH$3,0,0,'Données projet'!$E$11+1,1))-AVERAGE(OFFSET($H$3,0,0,'Données projet'!$E$11+1,1))</f>
        <v>293.14894570672351</v>
      </c>
      <c r="BJ198" s="59">
        <f t="shared" si="206"/>
        <v>252.47559879720762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4.7123116857099001</v>
      </c>
      <c r="BQ198" s="21">
        <f>EXP(-LN(2)/25)*BQ197+(1-EXP(-LN(2)/25))/(LN(2)/25)*Calculateur!BL198*Calculateur!BN198*VLOOKUP('Données projet'!$B$11,Paramètres!$A$1:$I$89,3,0)*0.475*44/12</f>
        <v>0.32227511634272715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5.034586802052627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607.99999999999977</v>
      </c>
      <c r="O199" s="13">
        <f>N199*VLOOKUP('Données projet'!$B$9,Paramètres!$A$1:$I$89,3,0)*VLOOKUP('Données projet'!$B$9,Paramètres!$A$1:$I$89,5,0)</f>
        <v>339.87199999999984</v>
      </c>
      <c r="P199" s="13">
        <f t="shared" si="203"/>
        <v>79.473500231862786</v>
      </c>
      <c r="Q199" s="20">
        <f t="shared" si="162"/>
        <v>730.36007957049412</v>
      </c>
      <c r="R199" s="59">
        <f t="shared" si="191"/>
        <v>1023.6934129038275</v>
      </c>
      <c r="S199" s="59">
        <f ca="1">AVERAGE(OFFSET($R$3,0,0,'Données projet'!$E$9+1,1))-AVERAGE(OFFSET($H$3,0,0,'Données projet'!$E$9+1,1))</f>
        <v>381.58561971183832</v>
      </c>
      <c r="T199" s="59">
        <f t="shared" si="204"/>
        <v>444.55874959426347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6.2176923553034618</v>
      </c>
      <c r="AA199" s="21">
        <f>EXP(-LN(2)/25)*AA198+(1-EXP(-LN(2)/25))/(LN(2)/25)*Calculateur!V199*Calculateur!X199*VLOOKUP('Données projet'!$B$9,Paramètres!$A$1:$I$89,3,0)*0.475*44/12</f>
        <v>0.58991080714985156</v>
      </c>
      <c r="AB199" s="21">
        <f>EXP(-LN(2)/2)*AB198+(1-EXP(-LN(2)/2))/(LN(2)/2)*V199*Y199*VLOOKUP('Données projet'!$B$9,Paramètres!$A$1:$I$89,3,0)*0.475*44/12</f>
        <v>1.2494143029119512E-25</v>
      </c>
      <c r="AC199" s="22">
        <f t="shared" si="163"/>
        <v>6.8076031624533133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366.00000000000028</v>
      </c>
      <c r="AJ199" s="13">
        <f>AI199*VLOOKUP('Données projet'!$B$10,Paramètres!$A$1:$I$89,3,0)*VLOOKUP('Données projet'!$B$10,Paramètres!$A$1:$I$89,5,0)</f>
        <v>228.38400000000016</v>
      </c>
      <c r="AK199" s="13">
        <f t="shared" si="164"/>
        <v>55.933121291087339</v>
      </c>
      <c r="AL199" s="20">
        <f t="shared" si="165"/>
        <v>495.18565291531075</v>
      </c>
      <c r="AM199" s="59">
        <f t="shared" si="193"/>
        <v>788.51898624864407</v>
      </c>
      <c r="AN199" s="59">
        <f ca="1">AVERAGE(OFFSET($AM$3,0,0,'Données projet'!$E$10+1,1))-AVERAGE(OFFSET($H$3,0,0,'Données projet'!$E$10+1,1))</f>
        <v>282.98219518929034</v>
      </c>
      <c r="AO199" s="59">
        <f t="shared" si="205"/>
        <v>205.95652510682322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8.4384300768358695</v>
      </c>
      <c r="AV199" s="21">
        <f>EXP(-LN(2)/25)*AV198+(1-EXP(-LN(2)/25))/(LN(2)/25)*Calculateur!AQ199*Calculateur!AS199*VLOOKUP('Données projet'!$B$10,Paramètres!$A$1:$I$89,3,0)*0.475*44/12</f>
        <v>1.0692331244876505</v>
      </c>
      <c r="AW199" s="21">
        <f>EXP(-LN(2)/2)*AW198+(1-EXP(-LN(2)/2))/(LN(2)/2)*AQ199*AT199*VLOOKUP('Données projet'!$B$10,Paramètres!$A$1:$I$89,3,0)*0.475*44/12</f>
        <v>1.0396173930391976E-24</v>
      </c>
      <c r="AX199" s="21">
        <f t="shared" si="166"/>
        <v>9.5076632013235205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295.99999999999977</v>
      </c>
      <c r="BE199" s="13">
        <f>BD199*VLOOKUP('Données projet'!$B$11,Paramètres!$A$1:$I$89,3,0)*VLOOKUP('Données projet'!$B$11,Paramètres!$A$1:$I$89,5,0)</f>
        <v>240.11519999999982</v>
      </c>
      <c r="BF199" s="13">
        <f t="shared" si="167"/>
        <v>58.464315631105265</v>
      </c>
      <c r="BG199" s="20">
        <f t="shared" si="168"/>
        <v>520.02598972417468</v>
      </c>
      <c r="BH199" s="59">
        <f t="shared" si="194"/>
        <v>813.35932305750794</v>
      </c>
      <c r="BI199" s="59">
        <f ca="1">AVERAGE(OFFSET($BH$3,0,0,'Données projet'!$E$11+1,1))-AVERAGE(OFFSET($H$3,0,0,'Données projet'!$E$11+1,1))</f>
        <v>293.14894570672351</v>
      </c>
      <c r="BJ199" s="59">
        <f t="shared" si="206"/>
        <v>252.47559879720762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4.6199061277794513</v>
      </c>
      <c r="BQ199" s="21">
        <f>EXP(-LN(2)/25)*BQ198+(1-EXP(-LN(2)/25))/(LN(2)/25)*Calculateur!BL199*Calculateur!BN199*VLOOKUP('Données projet'!$B$11,Paramètres!$A$1:$I$89,3,0)*0.475*44/12</f>
        <v>0.3134624863386235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4.9333686141180753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607.99999999999977</v>
      </c>
      <c r="O200" s="13">
        <f>N200*VLOOKUP('Données projet'!$B$9,Paramètres!$A$1:$I$89,3,0)*VLOOKUP('Données projet'!$B$9,Paramètres!$A$1:$I$89,5,0)</f>
        <v>339.87199999999984</v>
      </c>
      <c r="P200" s="13">
        <f t="shared" si="203"/>
        <v>79.473500231862786</v>
      </c>
      <c r="Q200" s="20">
        <f t="shared" si="162"/>
        <v>730.36007957049412</v>
      </c>
      <c r="R200" s="59">
        <f t="shared" si="191"/>
        <v>1023.6934129038275</v>
      </c>
      <c r="S200" s="59">
        <f ca="1">AVERAGE(OFFSET($R$3,0,0,'Données projet'!$E$9+1,1))-AVERAGE(OFFSET($H$3,0,0,'Données projet'!$E$9+1,1))</f>
        <v>381.58561971183832</v>
      </c>
      <c r="T200" s="59">
        <f t="shared" si="204"/>
        <v>444.55874959426347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6.0957672006338273</v>
      </c>
      <c r="AA200" s="21">
        <f>EXP(-LN(2)/25)*AA199+(1-EXP(-LN(2)/25))/(LN(2)/25)*Calculateur!V200*Calculateur!X200*VLOOKUP('Données projet'!$B$9,Paramètres!$A$1:$I$89,3,0)*0.475*44/12</f>
        <v>0.57377966510627776</v>
      </c>
      <c r="AB200" s="21">
        <f>EXP(-LN(2)/2)*AB199+(1-EXP(-LN(2)/2))/(LN(2)/2)*V200*Y200*VLOOKUP('Données projet'!$B$9,Paramètres!$A$1:$I$89,3,0)*0.475*44/12</f>
        <v>8.8346932610050388E-26</v>
      </c>
      <c r="AC200" s="22">
        <f t="shared" si="163"/>
        <v>6.6695468657401049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366.00000000000028</v>
      </c>
      <c r="AJ200" s="13">
        <f>AI200*VLOOKUP('Données projet'!$B$10,Paramètres!$A$1:$I$89,3,0)*VLOOKUP('Données projet'!$B$10,Paramètres!$A$1:$I$89,5,0)</f>
        <v>228.38400000000016</v>
      </c>
      <c r="AK200" s="13">
        <f t="shared" si="164"/>
        <v>55.933121291087339</v>
      </c>
      <c r="AL200" s="20">
        <f t="shared" si="165"/>
        <v>495.18565291531075</v>
      </c>
      <c r="AM200" s="59">
        <f t="shared" si="193"/>
        <v>788.51898624864407</v>
      </c>
      <c r="AN200" s="59">
        <f ca="1">AVERAGE(OFFSET($AM$3,0,0,'Données projet'!$E$10+1,1))-AVERAGE(OFFSET($H$3,0,0,'Données projet'!$E$10+1,1))</f>
        <v>282.98219518929034</v>
      </c>
      <c r="AO200" s="59">
        <f t="shared" si="205"/>
        <v>205.95652510682322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8.2729576099632478</v>
      </c>
      <c r="AV200" s="21">
        <f>EXP(-LN(2)/25)*AV199+(1-EXP(-LN(2)/25))/(LN(2)/25)*Calculateur!AQ200*Calculateur!AS200*VLOOKUP('Données projet'!$B$10,Paramètres!$A$1:$I$89,3,0)*0.475*44/12</f>
        <v>1.0399948884700094</v>
      </c>
      <c r="AW200" s="21">
        <f>EXP(-LN(2)/2)*AW199+(1-EXP(-LN(2)/2))/(LN(2)/2)*AQ200*AT200*VLOOKUP('Données projet'!$B$10,Paramètres!$A$1:$I$89,3,0)*0.475*44/12</f>
        <v>7.3512050845749692E-25</v>
      </c>
      <c r="AX200" s="21">
        <f t="shared" si="166"/>
        <v>9.3129524984332566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295.99999999999977</v>
      </c>
      <c r="BE200" s="13">
        <f>BD200*VLOOKUP('Données projet'!$B$11,Paramètres!$A$1:$I$89,3,0)*VLOOKUP('Données projet'!$B$11,Paramètres!$A$1:$I$89,5,0)</f>
        <v>240.11519999999982</v>
      </c>
      <c r="BF200" s="13">
        <f t="shared" si="167"/>
        <v>58.464315631105265</v>
      </c>
      <c r="BG200" s="20">
        <f t="shared" si="168"/>
        <v>520.02598972417468</v>
      </c>
      <c r="BH200" s="59">
        <f t="shared" si="194"/>
        <v>813.35932305750794</v>
      </c>
      <c r="BI200" s="59">
        <f ca="1">AVERAGE(OFFSET($BH$3,0,0,'Données projet'!$E$11+1,1))-AVERAGE(OFFSET($H$3,0,0,'Données projet'!$E$11+1,1))</f>
        <v>293.14894570672351</v>
      </c>
      <c r="BJ200" s="59">
        <f t="shared" si="206"/>
        <v>252.47559879720762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4.5293125864781931</v>
      </c>
      <c r="BQ200" s="21">
        <f>EXP(-LN(2)/25)*BQ199+(1-EXP(-LN(2)/25))/(LN(2)/25)*Calculateur!BL200*Calculateur!BN200*VLOOKUP('Données projet'!$B$11,Paramètres!$A$1:$I$89,3,0)*0.475*44/12</f>
        <v>0.30489083816541812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4.8342034246436114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607.99999999999977</v>
      </c>
      <c r="O201" s="13">
        <f>N201*VLOOKUP('Données projet'!$B$9,Paramètres!$A$1:$I$89,3,0)*VLOOKUP('Données projet'!$B$9,Paramètres!$A$1:$I$89,5,0)</f>
        <v>339.87199999999984</v>
      </c>
      <c r="P201" s="13">
        <f t="shared" si="203"/>
        <v>79.473500231862786</v>
      </c>
      <c r="Q201" s="20">
        <f t="shared" si="162"/>
        <v>730.36007957049412</v>
      </c>
      <c r="R201" s="59">
        <f t="shared" si="191"/>
        <v>1023.6934129038275</v>
      </c>
      <c r="S201" s="59">
        <f ca="1">AVERAGE(OFFSET($R$3,0,0,'Données projet'!$E$9+1,1))-AVERAGE(OFFSET($H$3,0,0,'Données projet'!$E$9+1,1))</f>
        <v>381.58561971183832</v>
      </c>
      <c r="T201" s="59">
        <f t="shared" si="204"/>
        <v>444.55874959426347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5.9762329238802634</v>
      </c>
      <c r="AA201" s="21">
        <f>EXP(-LN(2)/25)*AA200+(1-EXP(-LN(2)/25))/(LN(2)/25)*Calculateur!V201*Calculateur!X201*VLOOKUP('Données projet'!$B$9,Paramètres!$A$1:$I$89,3,0)*0.475*44/12</f>
        <v>0.55808962999018541</v>
      </c>
      <c r="AB201" s="21">
        <f>EXP(-LN(2)/2)*AB200+(1-EXP(-LN(2)/2))/(LN(2)/2)*V201*Y201*VLOOKUP('Données projet'!$B$9,Paramètres!$A$1:$I$89,3,0)*0.475*44/12</f>
        <v>6.2470715145597559E-26</v>
      </c>
      <c r="AC201" s="22">
        <f t="shared" si="163"/>
        <v>6.5343225538704486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366.00000000000028</v>
      </c>
      <c r="AJ201" s="13">
        <f>AI201*VLOOKUP('Données projet'!$B$10,Paramètres!$A$1:$I$89,3,0)*VLOOKUP('Données projet'!$B$10,Paramètres!$A$1:$I$89,5,0)</f>
        <v>228.38400000000016</v>
      </c>
      <c r="AK201" s="13">
        <f t="shared" si="164"/>
        <v>55.933121291087339</v>
      </c>
      <c r="AL201" s="20">
        <f t="shared" si="165"/>
        <v>495.18565291531075</v>
      </c>
      <c r="AM201" s="59">
        <f t="shared" si="193"/>
        <v>788.51898624864407</v>
      </c>
      <c r="AN201" s="59">
        <f ca="1">AVERAGE(OFFSET($AM$3,0,0,'Données projet'!$E$10+1,1))-AVERAGE(OFFSET($H$3,0,0,'Données projet'!$E$10+1,1))</f>
        <v>282.98219518929034</v>
      </c>
      <c r="AO201" s="59">
        <f t="shared" si="205"/>
        <v>205.95652510682322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8.1107299572377585</v>
      </c>
      <c r="AV201" s="21">
        <f>EXP(-LN(2)/25)*AV200+(1-EXP(-LN(2)/25))/(LN(2)/25)*Calculateur!AQ201*Calculateur!AS201*VLOOKUP('Données projet'!$B$10,Paramètres!$A$1:$I$89,3,0)*0.475*44/12</f>
        <v>1.0115561735538428</v>
      </c>
      <c r="AW201" s="21">
        <f>EXP(-LN(2)/2)*AW200+(1-EXP(-LN(2)/2))/(LN(2)/2)*AQ201*AT201*VLOOKUP('Données projet'!$B$10,Paramètres!$A$1:$I$89,3,0)*0.475*44/12</f>
        <v>5.1980869651959882E-25</v>
      </c>
      <c r="AX201" s="21">
        <f t="shared" si="166"/>
        <v>9.1222861307916006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295.99999999999977</v>
      </c>
      <c r="BE201" s="13">
        <f>BD201*VLOOKUP('Données projet'!$B$11,Paramètres!$A$1:$I$89,3,0)*VLOOKUP('Données projet'!$B$11,Paramètres!$A$1:$I$89,5,0)</f>
        <v>240.11519999999982</v>
      </c>
      <c r="BF201" s="13">
        <f t="shared" si="167"/>
        <v>58.464315631105265</v>
      </c>
      <c r="BG201" s="20">
        <f t="shared" si="168"/>
        <v>520.02598972417468</v>
      </c>
      <c r="BH201" s="59">
        <f t="shared" si="194"/>
        <v>813.35932305750794</v>
      </c>
      <c r="BI201" s="59">
        <f ca="1">AVERAGE(OFFSET($BH$3,0,0,'Données projet'!$E$11+1,1))-AVERAGE(OFFSET($H$3,0,0,'Données projet'!$E$11+1,1))</f>
        <v>293.14894570672351</v>
      </c>
      <c r="BJ201" s="59">
        <f t="shared" si="206"/>
        <v>252.47559879720762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4.4404955292652488</v>
      </c>
      <c r="BQ201" s="21">
        <f>EXP(-LN(2)/25)*BQ200+(1-EXP(-LN(2)/25))/(LN(2)/25)*Calculateur!BL201*Calculateur!BN201*VLOOKUP('Données projet'!$B$11,Paramètres!$A$1:$I$89,3,0)*0.475*44/12</f>
        <v>0.2965535821622724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4.7370491114275213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607.99999999999977</v>
      </c>
      <c r="O202" s="13">
        <f>N202*VLOOKUP('Données projet'!$B$9,Paramètres!$A$1:$I$89,3,0)*VLOOKUP('Données projet'!$B$9,Paramètres!$A$1:$I$89,5,0)</f>
        <v>339.87199999999984</v>
      </c>
      <c r="P202" s="13">
        <f t="shared" si="203"/>
        <v>79.473500231862786</v>
      </c>
      <c r="Q202" s="20">
        <f t="shared" si="162"/>
        <v>730.36007957049412</v>
      </c>
      <c r="R202" s="59">
        <f t="shared" si="191"/>
        <v>1023.6934129038275</v>
      </c>
      <c r="S202" s="59">
        <f ca="1">AVERAGE(OFFSET($R$3,0,0,'Données projet'!$E$9+1,1))-AVERAGE(OFFSET($H$3,0,0,'Données projet'!$E$9+1,1))</f>
        <v>381.58561971183832</v>
      </c>
      <c r="T202" s="59">
        <f t="shared" si="204"/>
        <v>444.55874959426347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5.8590426413851269</v>
      </c>
      <c r="AA202" s="21">
        <f>EXP(-LN(2)/25)*AA201+(1-EXP(-LN(2)/25))/(LN(2)/25)*Calculateur!V202*Calculateur!X202*VLOOKUP('Données projet'!$B$9,Paramètres!$A$1:$I$89,3,0)*0.475*44/12</f>
        <v>0.54282863970944573</v>
      </c>
      <c r="AB202" s="21">
        <f>EXP(-LN(2)/2)*AB201+(1-EXP(-LN(2)/2))/(LN(2)/2)*V202*Y202*VLOOKUP('Données projet'!$B$9,Paramètres!$A$1:$I$89,3,0)*0.475*44/12</f>
        <v>4.4173466305025194E-26</v>
      </c>
      <c r="AC202" s="22">
        <f t="shared" si="163"/>
        <v>6.4018712810945724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366.00000000000028</v>
      </c>
      <c r="AJ202" s="13">
        <f>AI202*VLOOKUP('Données projet'!$B$10,Paramètres!$A$1:$I$89,3,0)*VLOOKUP('Données projet'!$B$10,Paramètres!$A$1:$I$89,5,0)</f>
        <v>228.38400000000016</v>
      </c>
      <c r="AK202" s="13">
        <f t="shared" si="164"/>
        <v>55.933121291087339</v>
      </c>
      <c r="AL202" s="20">
        <f t="shared" si="165"/>
        <v>495.18565291531075</v>
      </c>
      <c r="AM202" s="59">
        <f t="shared" si="193"/>
        <v>788.51898624864407</v>
      </c>
      <c r="AN202" s="59">
        <f ca="1">AVERAGE(OFFSET($AM$3,0,0,'Données projet'!$E$10+1,1))-AVERAGE(OFFSET($H$3,0,0,'Données projet'!$E$10+1,1))</f>
        <v>282.98219518929034</v>
      </c>
      <c r="AO202" s="59">
        <f t="shared" si="205"/>
        <v>205.95652510682322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7.951683489833119</v>
      </c>
      <c r="AV202" s="21">
        <f>EXP(-LN(2)/25)*AV201+(1-EXP(-LN(2)/25))/(LN(2)/25)*Calculateur!AQ202*Calculateur!AS202*VLOOKUP('Données projet'!$B$10,Paramètres!$A$1:$I$89,3,0)*0.475*44/12</f>
        <v>0.98389511679258568</v>
      </c>
      <c r="AW202" s="21">
        <f>EXP(-LN(2)/2)*AW201+(1-EXP(-LN(2)/2))/(LN(2)/2)*AQ202*AT202*VLOOKUP('Données projet'!$B$10,Paramètres!$A$1:$I$89,3,0)*0.475*44/12</f>
        <v>3.6756025422874846E-25</v>
      </c>
      <c r="AX202" s="21">
        <f t="shared" si="166"/>
        <v>8.9355786066257039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295.99999999999977</v>
      </c>
      <c r="BE202" s="13">
        <f>BD202*VLOOKUP('Données projet'!$B$11,Paramètres!$A$1:$I$89,3,0)*VLOOKUP('Données projet'!$B$11,Paramètres!$A$1:$I$89,5,0)</f>
        <v>240.11519999999982</v>
      </c>
      <c r="BF202" s="13">
        <f t="shared" si="167"/>
        <v>58.464315631105265</v>
      </c>
      <c r="BG202" s="20">
        <f t="shared" si="168"/>
        <v>520.02598972417468</v>
      </c>
      <c r="BH202" s="59">
        <f t="shared" si="194"/>
        <v>813.35932305750794</v>
      </c>
      <c r="BI202" s="59">
        <f ca="1">AVERAGE(OFFSET($BH$3,0,0,'Données projet'!$E$11+1,1))-AVERAGE(OFFSET($H$3,0,0,'Données projet'!$E$11+1,1))</f>
        <v>293.14894570672351</v>
      </c>
      <c r="BJ202" s="59">
        <f t="shared" si="206"/>
        <v>252.47559879720762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4.3534201203711946</v>
      </c>
      <c r="BQ202" s="21">
        <f>EXP(-LN(2)/25)*BQ201+(1-EXP(-LN(2)/25))/(LN(2)/25)*Calculateur!BL202*Calculateur!BN202*VLOOKUP('Données projet'!$B$11,Paramètres!$A$1:$I$89,3,0)*0.475*44/12</f>
        <v>0.28844430886296996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4.6418644292341646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607.99999999999977</v>
      </c>
      <c r="O203" s="13">
        <f>N203*VLOOKUP('Données projet'!$B$9,Paramètres!$A$1:$I$89,3,0)*VLOOKUP('Données projet'!$B$9,Paramètres!$A$1:$I$89,5,0)</f>
        <v>339.87199999999984</v>
      </c>
      <c r="P203" s="13">
        <f t="shared" si="203"/>
        <v>79.473500231862786</v>
      </c>
      <c r="Q203" s="20">
        <f t="shared" si="162"/>
        <v>730.36007957049412</v>
      </c>
      <c r="R203" s="59">
        <f t="shared" si="191"/>
        <v>1023.6934129038275</v>
      </c>
      <c r="S203" s="59">
        <f ca="1">AVERAGE(OFFSET($R$3,0,0,'Données projet'!$E$9+1,1))-AVERAGE(OFFSET($H$3,0,0,'Données projet'!$E$9+1,1))</f>
        <v>381.58561971183832</v>
      </c>
      <c r="T203" s="59">
        <f t="shared" si="204"/>
        <v>444.55874959426347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5.7441503888507057</v>
      </c>
      <c r="AA203" s="21">
        <f>EXP(-LN(2)/25)*AA202+(1-EXP(-LN(2)/25))/(LN(2)/25)*Calculateur!V203*Calculateur!X203*VLOOKUP('Données projet'!$B$9,Paramètres!$A$1:$I$89,3,0)*0.475*44/12</f>
        <v>0.5279849620104734</v>
      </c>
      <c r="AB203" s="21">
        <f>EXP(-LN(2)/2)*AB202+(1-EXP(-LN(2)/2))/(LN(2)/2)*V203*Y203*VLOOKUP('Données projet'!$B$9,Paramètres!$A$1:$I$89,3,0)*0.475*44/12</f>
        <v>3.1235357572798779E-26</v>
      </c>
      <c r="AC203" s="22">
        <f t="shared" si="163"/>
        <v>6.2721353508611788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366.00000000000028</v>
      </c>
      <c r="AJ203" s="13">
        <f>AI203*VLOOKUP('Données projet'!$B$10,Paramètres!$A$1:$I$89,3,0)*VLOOKUP('Données projet'!$B$10,Paramètres!$A$1:$I$89,5,0)</f>
        <v>228.38400000000016</v>
      </c>
      <c r="AK203" s="13">
        <f t="shared" si="164"/>
        <v>55.933121291087339</v>
      </c>
      <c r="AL203" s="20">
        <f t="shared" si="165"/>
        <v>495.18565291531075</v>
      </c>
      <c r="AM203" s="59">
        <f t="shared" si="193"/>
        <v>788.51898624864407</v>
      </c>
      <c r="AN203" s="59">
        <f ca="1">AVERAGE(OFFSET($AM$3,0,0,'Données projet'!$E$10+1,1))-AVERAGE(OFFSET($H$3,0,0,'Données projet'!$E$10+1,1))</f>
        <v>282.98219518929034</v>
      </c>
      <c r="AO203" s="59">
        <f t="shared" si="205"/>
        <v>205.95652510682322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7.795755826645518</v>
      </c>
      <c r="AV203" s="21">
        <f>EXP(-LN(2)/25)*AV202+(1-EXP(-LN(2)/25))/(LN(2)/25)*Calculateur!AQ203*Calculateur!AS203*VLOOKUP('Données projet'!$B$10,Paramètres!$A$1:$I$89,3,0)*0.475*44/12</f>
        <v>0.95699045308309694</v>
      </c>
      <c r="AW203" s="21">
        <f>EXP(-LN(2)/2)*AW202+(1-EXP(-LN(2)/2))/(LN(2)/2)*AQ203*AT203*VLOOKUP('Données projet'!$B$10,Paramètres!$A$1:$I$89,3,0)*0.475*44/12</f>
        <v>2.5990434825979941E-25</v>
      </c>
      <c r="AX203" s="21">
        <f t="shared" si="166"/>
        <v>8.7527462797286155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295.99999999999977</v>
      </c>
      <c r="BE203" s="13">
        <f>BD203*VLOOKUP('Données projet'!$B$11,Paramètres!$A$1:$I$89,3,0)*VLOOKUP('Données projet'!$B$11,Paramètres!$A$1:$I$89,5,0)</f>
        <v>240.11519999999982</v>
      </c>
      <c r="BF203" s="13">
        <f t="shared" si="167"/>
        <v>58.464315631105265</v>
      </c>
      <c r="BG203" s="20">
        <f t="shared" si="168"/>
        <v>520.02598972417468</v>
      </c>
      <c r="BH203" s="59">
        <f t="shared" si="194"/>
        <v>813.35932305750794</v>
      </c>
      <c r="BI203" s="59">
        <f ca="1">AVERAGE(OFFSET($BH$3,0,0,'Données projet'!$E$11+1,1))-AVERAGE(OFFSET($H$3,0,0,'Données projet'!$E$11+1,1))</f>
        <v>293.14894570672351</v>
      </c>
      <c r="BJ203" s="59">
        <f t="shared" si="206"/>
        <v>252.47559879720762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4.2680522071347973</v>
      </c>
      <c r="BQ203" s="21">
        <f>EXP(-LN(2)/25)*BQ202+(1-EXP(-LN(2)/25))/(LN(2)/25)*Calculateur!BL203*Calculateur!BN203*VLOOKUP('Données projet'!$B$11,Paramètres!$A$1:$I$89,3,0)*0.475*44/12</f>
        <v>0.28055678406848511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4.5486089912032828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1.3195079107728942</v>
      </c>
      <c r="BA205" s="82">
        <f>EXP(LN('Données projet'!B88)/'Données projet'!A88)</f>
        <v>1.2709816152101407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0.6875</v>
      </c>
      <c r="C6" s="147">
        <f ca="1">IF(OR('Données projet'!B9="",'Données projet'!C9="",'Données projet'!C9=0%),0,Calculateur!S3)</f>
        <v>381.58561971183832</v>
      </c>
      <c r="D6" s="147">
        <f>IF(OR('Données projet'!B9="",'Données projet'!C9="",'Données projet'!C9=0%),0,Calculateur!T3)</f>
        <v>444.55874959426347</v>
      </c>
      <c r="E6" s="147">
        <f ca="1">MIN(C6,D6)</f>
        <v>381.58561971183832</v>
      </c>
      <c r="F6" s="147">
        <f ca="1">E6*B6</f>
        <v>262.34011355188886</v>
      </c>
      <c r="G6" s="147">
        <f ca="1">F6*(100%-'Données projet'!$C$24)*(100%-'Données projet'!$C$25)*(100%-'Données projet'!$C$26)*(100%-'Données projet'!$C$27)</f>
        <v>236.10610219669999</v>
      </c>
      <c r="H6" s="148">
        <f>IF(OR('Données projet'!B9="",'Données projet'!C9="",'Données projet'!C9=0%),0,AVERAGE(Calculateur!$AC$3:$AC$33)*B6)</f>
        <v>2.0888671334343063</v>
      </c>
      <c r="I6" s="149">
        <f>H6*(100%-'Données projet'!$C$24)*(100%-'Données projet'!$C$25)*(100%-'Données projet'!$C$26)*(100%-'Données projet'!$C$27)</f>
        <v>1.8799804200908756</v>
      </c>
      <c r="J6" s="150">
        <f>IF(OR('Données projet'!B9="",'Données projet'!C9="",'Données projet'!C9=0%),0,SUM(Calculateur!$V$3:$V$33)*VLOOKUP('Données projet'!$B$9,Paramètres!$A$1:$I$89,9,0)*B6)</f>
        <v>15.963749999999999</v>
      </c>
      <c r="K6" s="151">
        <f>J6*(100%-'Données projet'!$C$24)*(100%-'Données projet'!$C$25)*(100%-'Données projet'!$C$26)*(100%-'Données projet'!$C$27)</f>
        <v>14.367374999999999</v>
      </c>
      <c r="L6" s="152">
        <f ca="1">G6+I6+K6</f>
        <v>252.35345761679088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Mélèze d'Europe</v>
      </c>
      <c r="B7" s="154">
        <f>'Données projet'!D10</f>
        <v>0.375</v>
      </c>
      <c r="C7" s="147">
        <f ca="1">IF(OR('Données projet'!B10="",'Données projet'!C10="",'Données projet'!C10=0%),0,Calculateur!AN3)</f>
        <v>282.98219518929034</v>
      </c>
      <c r="D7" s="147">
        <f>IF(OR('Données projet'!B10="",'Données projet'!C10="",'Données projet'!C10=0%),0,Calculateur!AO3)</f>
        <v>205.95652510682322</v>
      </c>
      <c r="E7" s="147">
        <f t="shared" ref="E7:E15" ca="1" si="0">MIN(C7,D7)</f>
        <v>205.95652510682322</v>
      </c>
      <c r="F7" s="147">
        <f t="shared" ref="F7:F15" ca="1" si="1">E7*B7</f>
        <v>77.233696915058715</v>
      </c>
      <c r="G7" s="147">
        <f ca="1">F7*(100%-'Données projet'!$C$24)*(100%-'Données projet'!$C$25)*(100%-'Données projet'!$C$26)*(100%-'Données projet'!$C$27)</f>
        <v>69.510327223552849</v>
      </c>
      <c r="H7" s="155">
        <f>IF(OR('Données projet'!B10="",'Données projet'!C10="",'Données projet'!C10=0%),0,AVERAGE(Calculateur!$AX$3:$AX$33)*B7)</f>
        <v>1.8592634229385037</v>
      </c>
      <c r="I7" s="149">
        <f>H7*(100%-'Données projet'!$C$24)*(100%-'Données projet'!$C$25)*(100%-'Données projet'!$C$26)*(100%-'Données projet'!$C$27)</f>
        <v>1.6733370806446533</v>
      </c>
      <c r="J7" s="150">
        <f>IF(OR('Données projet'!B10="",'Données projet'!C10="",'Données projet'!C10=0%),0,SUM(Calculateur!$AQ$3:$AQ$33)*VLOOKUP('Données projet'!$B$10,Paramètres!$A$1:$I$89,9,0)*B7)</f>
        <v>17.25375</v>
      </c>
      <c r="K7" s="151">
        <f>J7*(100%-'Données projet'!$C$24)*(100%-'Données projet'!$C$25)*(100%-'Données projet'!$C$26)*(100%-'Données projet'!$C$27)</f>
        <v>15.528375</v>
      </c>
      <c r="L7" s="152">
        <f t="shared" ref="L7:L15" ca="1" si="2">G7+I7+K7</f>
        <v>86.712039304197503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Bouleau verruqueux</v>
      </c>
      <c r="B8" s="154">
        <f>'Données projet'!D11</f>
        <v>0.1875</v>
      </c>
      <c r="C8" s="147">
        <f ca="1">IF(OR('Données projet'!B11="",'Données projet'!C11="",'Données projet'!C11=0%),0,Calculateur!BI3)</f>
        <v>293.14894570672351</v>
      </c>
      <c r="D8" s="147">
        <f>IF(OR('Données projet'!B11="",'Données projet'!C11="",'Données projet'!C11=0%),0,Calculateur!BJ3)</f>
        <v>252.47559879720762</v>
      </c>
      <c r="E8" s="147">
        <f t="shared" ca="1" si="0"/>
        <v>252.47559879720762</v>
      </c>
      <c r="F8" s="147">
        <f t="shared" ca="1" si="1"/>
        <v>47.339174774476433</v>
      </c>
      <c r="G8" s="147">
        <f ca="1">F8*(100%-'Données projet'!$C$24)*(100%-'Données projet'!$C$25)*(100%-'Données projet'!$C$26)*(100%-'Données projet'!$C$27)</f>
        <v>42.605257297028793</v>
      </c>
      <c r="H8" s="155">
        <f>IF(OR('Données projet'!B11="",'Données projet'!C11="",'Données projet'!C11=0%),0,AVERAGE(Calculateur!$BS$3:$BS$33)*B8)</f>
        <v>0.86158179023925208</v>
      </c>
      <c r="I8" s="149">
        <f>H8*(100%-'Données projet'!$C$24)*(100%-'Données projet'!$C$25)*(100%-'Données projet'!$C$26)*(100%-'Données projet'!$C$27)</f>
        <v>0.77542361121532688</v>
      </c>
      <c r="J8" s="150">
        <f>IF(OR('Données projet'!B11="",'Données projet'!C11="",'Données projet'!C11=0%),0,SUM(Calculateur!$BL$3:$BL$33)*VLOOKUP('Données projet'!$B$11,Paramètres!$A$1:$I$89,9,0)*B8)</f>
        <v>6.421875</v>
      </c>
      <c r="K8" s="151">
        <f>J8*(100%-'Données projet'!$C$24)*(100%-'Données projet'!$C$25)*(100%-'Données projet'!$C$26)*(100%-'Données projet'!$C$27)</f>
        <v>5.7796875000000005</v>
      </c>
      <c r="L8" s="152">
        <f t="shared" ca="1" si="2"/>
        <v>49.160368408244118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386.912985241424</v>
      </c>
      <c r="G16" s="166">
        <f t="shared" ca="1" si="3"/>
        <v>348.22168671728167</v>
      </c>
      <c r="H16" s="167">
        <f t="shared" si="3"/>
        <v>4.8097123466120619</v>
      </c>
      <c r="I16" s="167">
        <f t="shared" si="3"/>
        <v>4.3287411119508556</v>
      </c>
      <c r="J16" s="168">
        <f t="shared" si="3"/>
        <v>39.639375000000001</v>
      </c>
      <c r="K16" s="168">
        <f t="shared" si="3"/>
        <v>35.675437500000001</v>
      </c>
      <c r="L16" s="169">
        <f t="shared" ca="1" si="3"/>
        <v>388.22586532923248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Q1" zoomScale="60" zoomScaleNormal="60" zoomScaleSheetLayoutView="85" workbookViewId="0">
      <selection activeCell="M34" sqref="M3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-931.56890197146618</v>
      </c>
      <c r="U10" s="178">
        <f>'Données projet'!D9</f>
        <v>0.6875</v>
      </c>
      <c r="V10" s="177">
        <f>U10*T10</f>
        <v>-640.45362010538304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18.582124734650524</v>
      </c>
      <c r="U11" s="178">
        <f>'Données projet'!D10</f>
        <v>0.375</v>
      </c>
      <c r="V11" s="177">
        <f t="shared" ref="V11" si="0">U11*T11</f>
        <v>6.9682967754939469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466.17064139076939</v>
      </c>
      <c r="U12" s="178">
        <f>'Données projet'!D11</f>
        <v>0.1875</v>
      </c>
      <c r="V12" s="177">
        <f t="shared" ref="V12:V19" si="1">U12*T12</f>
        <v>87.406995260769264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15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3475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15.000000000000005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16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240.00000000000009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2320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950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950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19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950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-8483.4127712876252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54</v>
      </c>
      <c r="C24" s="193">
        <v>16</v>
      </c>
      <c r="D24" s="182">
        <f>B24*C24</f>
        <v>864</v>
      </c>
      <c r="E24" s="193"/>
      <c r="F24" s="233"/>
      <c r="H24" s="190">
        <v>4</v>
      </c>
      <c r="I24" s="191">
        <v>950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155.01613269473043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0</v>
      </c>
      <c r="C25" s="193"/>
      <c r="D25" s="182">
        <f t="shared" ref="D25:D42" si="2">B25*C25</f>
        <v>0</v>
      </c>
      <c r="E25" s="193"/>
      <c r="F25" s="233"/>
      <c r="H25" s="190">
        <v>5</v>
      </c>
      <c r="I25" s="191">
        <v>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-8638.4289039823561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123</v>
      </c>
      <c r="C26" s="193">
        <v>30</v>
      </c>
      <c r="D26" s="182">
        <f t="shared" si="2"/>
        <v>3690</v>
      </c>
      <c r="E26" s="193"/>
      <c r="F26" s="233"/>
      <c r="G26" s="229"/>
      <c r="H26" s="190">
        <v>6</v>
      </c>
      <c r="I26" s="191">
        <v>50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50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138</v>
      </c>
      <c r="C28" s="193">
        <v>50</v>
      </c>
      <c r="D28" s="182">
        <f t="shared" si="2"/>
        <v>6900</v>
      </c>
      <c r="E28" s="193"/>
      <c r="F28" s="233"/>
      <c r="G28" s="205"/>
      <c r="H28" s="190">
        <v>8</v>
      </c>
      <c r="I28" s="191">
        <v>50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50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83</v>
      </c>
      <c r="C30" s="193">
        <v>50</v>
      </c>
      <c r="D30" s="182">
        <f t="shared" si="2"/>
        <v>4150</v>
      </c>
      <c r="E30" s="193"/>
      <c r="F30" s="233"/>
      <c r="G30" s="203"/>
      <c r="H30" s="190">
        <v>10</v>
      </c>
      <c r="I30" s="191">
        <v>50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29</v>
      </c>
      <c r="C31" s="193">
        <v>70</v>
      </c>
      <c r="D31" s="182">
        <f t="shared" si="2"/>
        <v>2030</v>
      </c>
      <c r="E31" s="193"/>
      <c r="F31" s="233"/>
      <c r="G31" s="203"/>
      <c r="H31" s="190">
        <v>11</v>
      </c>
      <c r="I31" s="191">
        <v>50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50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50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50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50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50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50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50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50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50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50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>
        <v>25</v>
      </c>
      <c r="I45" s="191">
        <v>50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50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50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1895</v>
      </c>
      <c r="F48" s="231"/>
      <c r="G48" s="203"/>
      <c r="H48" s="190">
        <v>28</v>
      </c>
      <c r="I48" s="191">
        <v>50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50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50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37</v>
      </c>
      <c r="C56" s="191">
        <v>16</v>
      </c>
      <c r="D56" s="179">
        <f t="shared" si="4"/>
        <v>592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25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30</v>
      </c>
      <c r="B58" s="181">
        <f>'Données projet'!D66</f>
        <v>70</v>
      </c>
      <c r="C58" s="191">
        <v>25</v>
      </c>
      <c r="D58" s="179">
        <f t="shared" si="4"/>
        <v>1750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35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70</v>
      </c>
      <c r="C60" s="191">
        <v>45</v>
      </c>
      <c r="D60" s="179">
        <f t="shared" si="4"/>
        <v>3150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45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50</v>
      </c>
      <c r="B62" s="181">
        <f>'Données projet'!D70</f>
        <v>60</v>
      </c>
      <c r="C62" s="191">
        <v>45</v>
      </c>
      <c r="D62" s="179">
        <f t="shared" si="4"/>
        <v>2700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55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60</v>
      </c>
      <c r="B64" s="181">
        <f>'Données projet'!D72</f>
        <v>47</v>
      </c>
      <c r="C64" s="191">
        <v>55</v>
      </c>
      <c r="D64" s="179">
        <f t="shared" si="4"/>
        <v>2585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65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70</v>
      </c>
      <c r="B66" s="181">
        <f>'Données projet'!D74</f>
        <v>36</v>
      </c>
      <c r="C66" s="191">
        <v>55</v>
      </c>
      <c r="D66" s="179">
        <f t="shared" si="4"/>
        <v>1980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75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80</v>
      </c>
      <c r="B68" s="181">
        <f>'Données projet'!D76</f>
        <v>29</v>
      </c>
      <c r="C68" s="191">
        <v>55</v>
      </c>
      <c r="D68" s="179">
        <f t="shared" si="4"/>
        <v>1595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85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90</v>
      </c>
      <c r="B70" s="181">
        <f>'Données projet'!D78</f>
        <v>23</v>
      </c>
      <c r="C70" s="191">
        <v>55</v>
      </c>
      <c r="D70" s="179">
        <f t="shared" si="4"/>
        <v>1265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95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100</v>
      </c>
      <c r="B72" s="181">
        <f>'Données projet'!D80</f>
        <v>19</v>
      </c>
      <c r="C72" s="191">
        <v>60</v>
      </c>
      <c r="D72" s="179">
        <f t="shared" si="4"/>
        <v>1140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893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67</v>
      </c>
      <c r="C87" s="191">
        <v>20</v>
      </c>
      <c r="D87" s="179">
        <f t="shared" si="6"/>
        <v>1340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25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30</v>
      </c>
      <c r="B89" s="181">
        <f>'Données projet'!D92</f>
        <v>70</v>
      </c>
      <c r="C89" s="191">
        <v>20</v>
      </c>
      <c r="D89" s="179">
        <f t="shared" si="6"/>
        <v>1400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35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40</v>
      </c>
      <c r="B91" s="181">
        <f>'Données projet'!D94</f>
        <v>70</v>
      </c>
      <c r="C91" s="191">
        <v>20</v>
      </c>
      <c r="D91" s="179">
        <f t="shared" si="6"/>
        <v>1400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45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50</v>
      </c>
      <c r="B93" s="181">
        <f>'Données projet'!D96</f>
        <v>43</v>
      </c>
      <c r="C93" s="191">
        <v>20</v>
      </c>
      <c r="D93" s="179">
        <f t="shared" si="6"/>
        <v>860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55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60</v>
      </c>
      <c r="B95" s="181">
        <f>'Données projet'!D98</f>
        <v>30</v>
      </c>
      <c r="C95" s="191">
        <v>20</v>
      </c>
      <c r="D95" s="179">
        <f t="shared" si="6"/>
        <v>600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65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70</v>
      </c>
      <c r="B97" s="181">
        <f>'Données projet'!D100</f>
        <v>26</v>
      </c>
      <c r="C97" s="191">
        <v>20</v>
      </c>
      <c r="D97" s="179">
        <f t="shared" si="6"/>
        <v>520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75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80</v>
      </c>
      <c r="B99" s="181">
        <f>'Données projet'!D102</f>
        <v>23</v>
      </c>
      <c r="C99" s="191">
        <v>40</v>
      </c>
      <c r="D99" s="179">
        <f t="shared" si="6"/>
        <v>920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scale="89" orientation="portrait" r:id="rId1"/>
  <rowBreaks count="2" manualBreakCount="2">
    <brk id="44" max="21" man="1"/>
    <brk id="75" max="21" man="1"/>
  </rowBreaks>
  <colBreaks count="3" manualBreakCount="3">
    <brk id="6" min="6" max="103" man="1"/>
    <brk id="10" min="6" max="103" man="1"/>
    <brk id="17" min="6" max="1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VAN!Zone_d_impression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alexis filaire</cp:lastModifiedBy>
  <dcterms:created xsi:type="dcterms:W3CDTF">2021-02-01T08:22:39Z</dcterms:created>
  <dcterms:modified xsi:type="dcterms:W3CDTF">2024-05-28T21:01:58Z</dcterms:modified>
</cp:coreProperties>
</file>