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Plantation 2024 dossier 2023\BONDONNIERE (41)\"/>
    </mc:Choice>
  </mc:AlternateContent>
  <xr:revisionPtr revIDLastSave="0" documentId="8_{9A92FFA9-3BD4-48F0-AC37-69B9B947A8C4}" xr6:coauthVersionLast="47" xr6:coauthVersionMax="47" xr10:uidLastSave="{00000000-0000-0000-0000-000000000000}"/>
  <bookViews>
    <workbookView xWindow="-120" yWindow="-120" windowWidth="29040" windowHeight="15840" tabRatio="866" activeTab="2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2" i="6" l="1"/>
  <c r="B150" i="1" l="1"/>
  <c r="D150" i="1" s="1"/>
  <c r="D149" i="1"/>
  <c r="D148" i="1"/>
  <c r="D147" i="1"/>
  <c r="D146" i="1"/>
  <c r="D145" i="1"/>
  <c r="D144" i="1"/>
  <c r="D143" i="1"/>
  <c r="D142" i="1"/>
  <c r="D141" i="1"/>
  <c r="B124" i="1"/>
  <c r="D124" i="1" s="1"/>
  <c r="D123" i="1"/>
  <c r="D122" i="1"/>
  <c r="D121" i="1"/>
  <c r="D120" i="1"/>
  <c r="D119" i="1"/>
  <c r="D118" i="1"/>
  <c r="D117" i="1"/>
  <c r="D116" i="1"/>
  <c r="D115" i="1"/>
  <c r="B98" i="1"/>
  <c r="D98" i="1" s="1"/>
  <c r="D97" i="1"/>
  <c r="D96" i="1"/>
  <c r="D95" i="1"/>
  <c r="D94" i="1"/>
  <c r="D93" i="1"/>
  <c r="D92" i="1"/>
  <c r="D91" i="1"/>
  <c r="D90" i="1"/>
  <c r="D89" i="1"/>
  <c r="D4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D155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DF179" i="2"/>
  <c r="EB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AA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D194" i="2" l="1"/>
  <c r="EB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43" i="2" a="1"/>
  <c r="BC143" i="2" s="1"/>
  <c r="BC185" i="2" a="1"/>
  <c r="BC185" i="2" s="1"/>
  <c r="BC7" i="2" a="1"/>
  <c r="BC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CS52" i="2" a="1"/>
  <c r="CS52" i="2" s="1"/>
  <c r="CS66" i="2" a="1"/>
  <c r="CS66" i="2" s="1"/>
  <c r="CS77" i="2" a="1"/>
  <c r="CS77" i="2" s="1"/>
  <c r="BC83" i="2" a="1"/>
  <c r="BC83" i="2" s="1"/>
  <c r="BC164" i="2" a="1"/>
  <c r="BC164" i="2" s="1"/>
  <c r="BC151" i="2" a="1"/>
  <c r="BC151" i="2" s="1"/>
  <c r="BC192" i="2" a="1"/>
  <c r="BC192" i="2" s="1"/>
  <c r="BC130" i="2" a="1"/>
  <c r="BC130" i="2" s="1"/>
  <c r="BC117" i="2" a="1"/>
  <c r="BC117" i="2" s="1"/>
  <c r="BC181" i="2" a="1"/>
  <c r="BC181" i="2" s="1"/>
  <c r="BC31" i="2" a="1"/>
  <c r="BC31" i="2" s="1"/>
  <c r="BC82" i="2" a="1"/>
  <c r="BC82" i="2" s="1"/>
  <c r="BC84" i="2" a="1"/>
  <c r="BC84" i="2" s="1"/>
  <c r="BC68" i="2" a="1"/>
  <c r="BC68" i="2" s="1"/>
  <c r="BC32" i="2" a="1"/>
  <c r="BC32" i="2" s="1"/>
  <c r="BC114" i="2" a="1"/>
  <c r="BC114" i="2" s="1"/>
  <c r="BC126" i="2" a="1"/>
  <c r="BC126" i="2" s="1"/>
  <c r="BC47" i="2" a="1"/>
  <c r="BC47" i="2" s="1"/>
  <c r="BC58" i="2" a="1"/>
  <c r="BC58" i="2" s="1"/>
  <c r="BC34" i="2" a="1"/>
  <c r="BC34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65" i="2" l="1"/>
  <c r="CY24" i="2"/>
  <c r="CY139" i="2"/>
  <c r="CY200" i="2"/>
  <c r="CY70" i="2"/>
  <c r="CY3" i="2"/>
  <c r="C10" i="4" s="1"/>
  <c r="E10" i="4" s="1"/>
  <c r="F10" i="4" s="1"/>
  <c r="G10" i="4" s="1"/>
  <c r="L10" i="4" s="1"/>
  <c r="CY14" i="2"/>
  <c r="CY161" i="2"/>
  <c r="CY10" i="2"/>
  <c r="CY55" i="2"/>
  <c r="CY57" i="2"/>
  <c r="CY58" i="2"/>
  <c r="CY93" i="2"/>
  <c r="CY190" i="2"/>
  <c r="CY199" i="2"/>
  <c r="CY189" i="2"/>
  <c r="CY173" i="2"/>
  <c r="CY120" i="2"/>
  <c r="CY54" i="2"/>
  <c r="CY30" i="2"/>
  <c r="CY158" i="2"/>
  <c r="CY68" i="2"/>
  <c r="CY95" i="2"/>
  <c r="CY91" i="2"/>
  <c r="CY169" i="2"/>
  <c r="CY94" i="2"/>
  <c r="CY171" i="2"/>
  <c r="CY92" i="2"/>
  <c r="CY184" i="2"/>
  <c r="CY112" i="2"/>
  <c r="CY195" i="2"/>
  <c r="CY114" i="2"/>
  <c r="CY174" i="2"/>
  <c r="CY62" i="2"/>
  <c r="CY75" i="2"/>
  <c r="CY140" i="2"/>
  <c r="CY101" i="2"/>
  <c r="CY129" i="2"/>
  <c r="CY59" i="2"/>
  <c r="CY34" i="2"/>
  <c r="CY96" i="2"/>
  <c r="CY197" i="2"/>
  <c r="CY108" i="2"/>
  <c r="CY150" i="2"/>
  <c r="CY134" i="2"/>
  <c r="CY98" i="2"/>
  <c r="CY159" i="2"/>
  <c r="CY149" i="2"/>
  <c r="CY31" i="2"/>
  <c r="CY110" i="2"/>
  <c r="CY170" i="2"/>
  <c r="CY29" i="2"/>
  <c r="CY118" i="2"/>
  <c r="CY127" i="2"/>
  <c r="CY141" i="2"/>
  <c r="CY16" i="2"/>
  <c r="CY65" i="2"/>
  <c r="CY32" i="2"/>
  <c r="CY18" i="2"/>
  <c r="CY151" i="2"/>
  <c r="CY53" i="2"/>
  <c r="CY148" i="2"/>
  <c r="CY107" i="2"/>
  <c r="CY136" i="2"/>
  <c r="CY15" i="2"/>
  <c r="CY67" i="2"/>
  <c r="CY162" i="2"/>
  <c r="CY7" i="2"/>
  <c r="CY87" i="2"/>
  <c r="CY47" i="2"/>
  <c r="CY74" i="2"/>
  <c r="CY153" i="2"/>
  <c r="CY203" i="2"/>
  <c r="CY180" i="2"/>
  <c r="CY41" i="2"/>
  <c r="CY164" i="2"/>
  <c r="CY85" i="2"/>
  <c r="CY163" i="2"/>
  <c r="CY79" i="2"/>
  <c r="CY143" i="2"/>
  <c r="CY124" i="2"/>
  <c r="CY113" i="2"/>
  <c r="CY142" i="2"/>
  <c r="CY183" i="2"/>
  <c r="CY168" i="2"/>
  <c r="CY145" i="2"/>
  <c r="CY9" i="2"/>
  <c r="CY81" i="2"/>
  <c r="CY4" i="2"/>
  <c r="CY181" i="2"/>
  <c r="CY61" i="2"/>
  <c r="CY52" i="2"/>
  <c r="CY201" i="2"/>
  <c r="CY135" i="2"/>
  <c r="CY185" i="2"/>
  <c r="CY102" i="2"/>
  <c r="CY44" i="2"/>
  <c r="CY198" i="2"/>
  <c r="CY155" i="2"/>
  <c r="CY188" i="2"/>
  <c r="CY46" i="2"/>
  <c r="CY48" i="2"/>
  <c r="CY38" i="2"/>
  <c r="CY137" i="2"/>
  <c r="CY125" i="2"/>
  <c r="CY133" i="2"/>
  <c r="CY104" i="2"/>
  <c r="CY63" i="2"/>
  <c r="CY177" i="2"/>
  <c r="CY178" i="2"/>
  <c r="CY82" i="2"/>
  <c r="CY80" i="2"/>
  <c r="CY194" i="2"/>
  <c r="CY146" i="2"/>
  <c r="CY22" i="2"/>
  <c r="CY132" i="2"/>
  <c r="CY202" i="2"/>
  <c r="CY78" i="2"/>
  <c r="CY166" i="2"/>
  <c r="CY123" i="2"/>
  <c r="CY21" i="2"/>
  <c r="CY187" i="2"/>
  <c r="CY191" i="2"/>
  <c r="CY154" i="2"/>
  <c r="CY144" i="2"/>
  <c r="CY111" i="2"/>
  <c r="CY51" i="2"/>
  <c r="CY193" i="2"/>
  <c r="CY88" i="2"/>
  <c r="CY160" i="2"/>
  <c r="CY42" i="2"/>
  <c r="CY84" i="2"/>
  <c r="CY192" i="2"/>
  <c r="CY8" i="2"/>
  <c r="CY182" i="2"/>
  <c r="CY37" i="2"/>
  <c r="CY89" i="2"/>
  <c r="CY33" i="2"/>
  <c r="CY157" i="2"/>
  <c r="CY138" i="2"/>
  <c r="CY130" i="2"/>
  <c r="CY13" i="2"/>
  <c r="CY99" i="2"/>
  <c r="CY156" i="2"/>
  <c r="CY49" i="2"/>
  <c r="CY103" i="2"/>
  <c r="CY126" i="2"/>
  <c r="CY119" i="2"/>
  <c r="CY66" i="2"/>
  <c r="CY122" i="2"/>
  <c r="CY116" i="2"/>
  <c r="CY186" i="2"/>
  <c r="CY106" i="2"/>
  <c r="CY176" i="2"/>
  <c r="CY86" i="2"/>
  <c r="CY175" i="2"/>
  <c r="CY131" i="2"/>
  <c r="CY50" i="2"/>
  <c r="CY105" i="2"/>
  <c r="CY45" i="2"/>
  <c r="CY36" i="2"/>
  <c r="CY35" i="2"/>
  <c r="CY12" i="2"/>
  <c r="CY71" i="2"/>
  <c r="CY83" i="2"/>
  <c r="CY56" i="2"/>
  <c r="CY117" i="2"/>
  <c r="CY23" i="2"/>
  <c r="CY90" i="2"/>
  <c r="CY72" i="2"/>
  <c r="CY179" i="2"/>
  <c r="CY77" i="2"/>
  <c r="CY25" i="2"/>
  <c r="CY109" i="2"/>
  <c r="CY64" i="2"/>
  <c r="CY152" i="2"/>
  <c r="CY167" i="2"/>
  <c r="CY40" i="2"/>
  <c r="CY128" i="2"/>
  <c r="CY19" i="2"/>
  <c r="CY11" i="2"/>
  <c r="CY172" i="2"/>
  <c r="CY27" i="2"/>
  <c r="CY17" i="2"/>
  <c r="CY20" i="2"/>
  <c r="CY26" i="2"/>
  <c r="CY196" i="2"/>
  <c r="CY6" i="2"/>
  <c r="CY39" i="2"/>
  <c r="CY100" i="2"/>
  <c r="CY28" i="2"/>
  <c r="CY147" i="2"/>
  <c r="CY97" i="2"/>
  <c r="CY5" i="2"/>
  <c r="CY43" i="2"/>
  <c r="CY115" i="2"/>
  <c r="CY121" i="2"/>
  <c r="CY73" i="2"/>
  <c r="CY76" i="2"/>
  <c r="CY60" i="2"/>
  <c r="CY69" i="2"/>
  <c r="CD97" i="2"/>
  <c r="CD179" i="2"/>
  <c r="CD60" i="2"/>
  <c r="CD99" i="2"/>
  <c r="CD41" i="2"/>
  <c r="CD98" i="2"/>
  <c r="CD117" i="2"/>
  <c r="CD19" i="2"/>
  <c r="CD95" i="2"/>
  <c r="CD88" i="2"/>
  <c r="CD70" i="2"/>
  <c r="CD50" i="2"/>
  <c r="CD4" i="2"/>
  <c r="CD203" i="2"/>
  <c r="CD148" i="2"/>
  <c r="CD175" i="2"/>
  <c r="CD139" i="2"/>
  <c r="CD9" i="2"/>
  <c r="CD106" i="2"/>
  <c r="CD39" i="2"/>
  <c r="CD161" i="2"/>
  <c r="CD194" i="2"/>
  <c r="CD62" i="2"/>
  <c r="CD156" i="2"/>
  <c r="CD147" i="2"/>
  <c r="CD168" i="2"/>
  <c r="CD16" i="2"/>
  <c r="CD155" i="2"/>
  <c r="CD128" i="2"/>
  <c r="CD26" i="2"/>
  <c r="CD105" i="2"/>
  <c r="CD94" i="2"/>
  <c r="CD91" i="2"/>
  <c r="CD198" i="2"/>
  <c r="CD13" i="2"/>
  <c r="CD53" i="2"/>
  <c r="CD47" i="2"/>
  <c r="CD63" i="2"/>
  <c r="CD192" i="2"/>
  <c r="CD56" i="2"/>
  <c r="CD59" i="2"/>
  <c r="CD129" i="2"/>
  <c r="CD52" i="2"/>
  <c r="CD173" i="2"/>
  <c r="CD76" i="2"/>
  <c r="CD153" i="2"/>
  <c r="CD71" i="2"/>
  <c r="CD34" i="2"/>
  <c r="CD72" i="2"/>
  <c r="CD55" i="2"/>
  <c r="CD109" i="2"/>
  <c r="CD104" i="2"/>
  <c r="CD51" i="2"/>
  <c r="CD87" i="2"/>
  <c r="CD7" i="2"/>
  <c r="CD133" i="2"/>
  <c r="CD86" i="2"/>
  <c r="CD184" i="2"/>
  <c r="CD5" i="2"/>
  <c r="CD30" i="2"/>
  <c r="CD21" i="2"/>
  <c r="CD170" i="2"/>
  <c r="CD191" i="2"/>
  <c r="CD177" i="2"/>
  <c r="CD18" i="2"/>
  <c r="CD201" i="2"/>
  <c r="CD45" i="2"/>
  <c r="CD92" i="2"/>
  <c r="CD136" i="2"/>
  <c r="CD134" i="2"/>
  <c r="CD96" i="2"/>
  <c r="CD169" i="2"/>
  <c r="CD172" i="2"/>
  <c r="CD44" i="2"/>
  <c r="CD46" i="2"/>
  <c r="CD196" i="2"/>
  <c r="CD14" i="2"/>
  <c r="CD121" i="2"/>
  <c r="CD6" i="2"/>
  <c r="CD67" i="2"/>
  <c r="CD167" i="2"/>
  <c r="CD197" i="2"/>
  <c r="CD102" i="2"/>
  <c r="CD58" i="2"/>
  <c r="CD123" i="2"/>
  <c r="CD57" i="2"/>
  <c r="CD162" i="2"/>
  <c r="CD11" i="2"/>
  <c r="CD25" i="2"/>
  <c r="CD141" i="2"/>
  <c r="CD23" i="2"/>
  <c r="CD199" i="2"/>
  <c r="CD42" i="2"/>
  <c r="CD183" i="2"/>
  <c r="CD8" i="2"/>
  <c r="CD176" i="2"/>
  <c r="CD138" i="2"/>
  <c r="CD90" i="2"/>
  <c r="CD190" i="2"/>
  <c r="CD38" i="2"/>
  <c r="CD122" i="2"/>
  <c r="CD188" i="2"/>
  <c r="CD160" i="2"/>
  <c r="CD103" i="2"/>
  <c r="CD28" i="2"/>
  <c r="CD143" i="2"/>
  <c r="CD73" i="2"/>
  <c r="CD84" i="2"/>
  <c r="CD31" i="2"/>
  <c r="CD132" i="2"/>
  <c r="CD200" i="2"/>
  <c r="CD65" i="2"/>
  <c r="CD202" i="2"/>
  <c r="CD157" i="2"/>
  <c r="CD40" i="2"/>
  <c r="CD107" i="2"/>
  <c r="CD17" i="2"/>
  <c r="CD158" i="2"/>
  <c r="CD150" i="2"/>
  <c r="CD37" i="2"/>
  <c r="CD186" i="2"/>
  <c r="CD166" i="2"/>
  <c r="CD20" i="2"/>
  <c r="CD135" i="2"/>
  <c r="CD151" i="2"/>
  <c r="CD29" i="2"/>
  <c r="CD112" i="2"/>
  <c r="CD77" i="2"/>
  <c r="CD187" i="2"/>
  <c r="CD163" i="2"/>
  <c r="CD82" i="2"/>
  <c r="CD68" i="2"/>
  <c r="CD33" i="2"/>
  <c r="CD119" i="2"/>
  <c r="CD3" i="2"/>
  <c r="C9" i="4" s="1"/>
  <c r="E9" i="4" s="1"/>
  <c r="F9" i="4" s="1"/>
  <c r="G9" i="4" s="1"/>
  <c r="L9" i="4" s="1"/>
  <c r="CD22" i="2"/>
  <c r="CD145" i="2"/>
  <c r="CD75" i="2"/>
  <c r="CD180" i="2"/>
  <c r="CD149" i="2"/>
  <c r="CD178" i="2"/>
  <c r="CD69" i="2"/>
  <c r="CD89" i="2"/>
  <c r="CD185" i="2"/>
  <c r="CD101" i="2"/>
  <c r="CD61" i="2"/>
  <c r="CD164" i="2"/>
  <c r="CD126" i="2"/>
  <c r="CD189" i="2"/>
  <c r="CD118" i="2"/>
  <c r="CD152" i="2"/>
  <c r="CD154" i="2"/>
  <c r="CD10" i="2"/>
  <c r="CD159" i="2"/>
  <c r="CD165" i="2"/>
  <c r="CD115" i="2"/>
  <c r="CD81" i="2"/>
  <c r="CD54" i="2"/>
  <c r="CD79" i="2"/>
  <c r="CD144" i="2"/>
  <c r="CD174" i="2"/>
  <c r="CD140" i="2"/>
  <c r="CD110" i="2"/>
  <c r="CD108" i="2"/>
  <c r="CD171" i="2"/>
  <c r="CD100" i="2"/>
  <c r="CD193" i="2"/>
  <c r="CD181" i="2"/>
  <c r="CD125" i="2"/>
  <c r="CD124" i="2"/>
  <c r="CD127" i="2"/>
  <c r="CD195" i="2"/>
  <c r="CD24" i="2"/>
  <c r="CD111" i="2"/>
  <c r="CD142" i="2"/>
  <c r="CD120" i="2"/>
  <c r="CD113" i="2"/>
  <c r="CD49" i="2"/>
  <c r="CD114" i="2"/>
  <c r="CD78" i="2"/>
  <c r="CD35" i="2"/>
  <c r="CD85" i="2"/>
  <c r="CD27" i="2"/>
  <c r="CD137" i="2"/>
  <c r="CD64" i="2"/>
  <c r="CD12" i="2"/>
  <c r="CD36" i="2"/>
  <c r="CD80" i="2"/>
  <c r="CD130" i="2"/>
  <c r="CD32" i="2"/>
  <c r="CD182" i="2"/>
  <c r="CD93" i="2"/>
  <c r="CD43" i="2"/>
  <c r="CD146" i="2"/>
  <c r="CD15" i="2"/>
  <c r="CD66" i="2"/>
  <c r="CD131" i="2"/>
  <c r="CD48" i="2"/>
  <c r="CD74" i="2"/>
  <c r="CD83" i="2"/>
  <c r="CD11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4" i="2" l="1"/>
  <c r="BI47" i="2"/>
  <c r="BI50" i="2"/>
  <c r="BI3" i="2"/>
  <c r="C8" i="4" s="1"/>
  <c r="E8" i="4" s="1"/>
  <c r="F8" i="4" s="1"/>
  <c r="G8" i="4" s="1"/>
  <c r="L8" i="4" s="1"/>
  <c r="BI64" i="2"/>
  <c r="BI29" i="2"/>
  <c r="BI201" i="2"/>
  <c r="BI37" i="2"/>
  <c r="BI4" i="2"/>
  <c r="BI135" i="2"/>
  <c r="BI124" i="2"/>
  <c r="BI82" i="2"/>
  <c r="BI59" i="2"/>
  <c r="BI112" i="2"/>
  <c r="BI143" i="2"/>
  <c r="BI11" i="2"/>
  <c r="BI158" i="2"/>
  <c r="BI163" i="2"/>
  <c r="BI171" i="2"/>
  <c r="BI24" i="2"/>
  <c r="BI130" i="2"/>
  <c r="BI53" i="2"/>
  <c r="BI87" i="2"/>
  <c r="BI98" i="2"/>
  <c r="BI44" i="2"/>
  <c r="BI92" i="2"/>
  <c r="BI100" i="2"/>
  <c r="BI162" i="2"/>
  <c r="BI84" i="2"/>
  <c r="BI93" i="2"/>
  <c r="BI38" i="2"/>
  <c r="BI183" i="2"/>
  <c r="BI86" i="2"/>
  <c r="BI168" i="2"/>
  <c r="BI101" i="2"/>
  <c r="BI75" i="2"/>
  <c r="BI41" i="2"/>
  <c r="BI96" i="2"/>
  <c r="BI9" i="2"/>
  <c r="BI94" i="2"/>
  <c r="BI104" i="2"/>
  <c r="BI197" i="2"/>
  <c r="BI145" i="2"/>
  <c r="BI28" i="2"/>
  <c r="BI61" i="2"/>
  <c r="BI148" i="2"/>
  <c r="BI90" i="2"/>
  <c r="BI14" i="2"/>
  <c r="BI97" i="2"/>
  <c r="BI23" i="2"/>
  <c r="BI72" i="2"/>
  <c r="BI175" i="2"/>
  <c r="BI164" i="2"/>
  <c r="BI133" i="2"/>
  <c r="BI116" i="2"/>
  <c r="BI192" i="2"/>
  <c r="BI19" i="2"/>
  <c r="BI7" i="2"/>
  <c r="BI10" i="2"/>
  <c r="BI85" i="2"/>
  <c r="BI113" i="2"/>
  <c r="BI202" i="2"/>
  <c r="BI189" i="2"/>
  <c r="BI34" i="2"/>
  <c r="BI31" i="2"/>
  <c r="BI106" i="2"/>
  <c r="BI182" i="2"/>
  <c r="BI153" i="2"/>
  <c r="BI60" i="2"/>
  <c r="BI114" i="2"/>
  <c r="BI191" i="2"/>
  <c r="BI69" i="2"/>
  <c r="BI103" i="2"/>
  <c r="BI20" i="2"/>
  <c r="BI8" i="2"/>
  <c r="BI167" i="2"/>
  <c r="BI193" i="2"/>
  <c r="BI166" i="2"/>
  <c r="BI45" i="2"/>
  <c r="BI13" i="2"/>
  <c r="BI58" i="2"/>
  <c r="BI120" i="2"/>
  <c r="BI66" i="2"/>
  <c r="BI91" i="2"/>
  <c r="BI151" i="2"/>
  <c r="BI108" i="2"/>
  <c r="BI12" i="2"/>
  <c r="BI55" i="2"/>
  <c r="BI51" i="2"/>
  <c r="BI173" i="2"/>
  <c r="BI40" i="2"/>
  <c r="BI109" i="2"/>
  <c r="BI39" i="2"/>
  <c r="BI25" i="2"/>
  <c r="BI26" i="2"/>
  <c r="BI196" i="2"/>
  <c r="BI127" i="2"/>
  <c r="BI89" i="2"/>
  <c r="BI125" i="2"/>
  <c r="BI132" i="2"/>
  <c r="BI150" i="2"/>
  <c r="BI48" i="2"/>
  <c r="BI177" i="2"/>
  <c r="BI5" i="2"/>
  <c r="BI105" i="2"/>
  <c r="BI165" i="2"/>
  <c r="BI152" i="2"/>
  <c r="BI129" i="2"/>
  <c r="BI160" i="2"/>
  <c r="BI190" i="2"/>
  <c r="BI16" i="2"/>
  <c r="BI157" i="2"/>
  <c r="BI76" i="2"/>
  <c r="BI70" i="2"/>
  <c r="BI67" i="2"/>
  <c r="BI149" i="2"/>
  <c r="BI186" i="2"/>
  <c r="BI78" i="2"/>
  <c r="BI128" i="2"/>
  <c r="BI161" i="2"/>
  <c r="BI33" i="2"/>
  <c r="BI169" i="2"/>
  <c r="BI137" i="2"/>
  <c r="BI141" i="2"/>
  <c r="BI155" i="2"/>
  <c r="BI36" i="2"/>
  <c r="BI73" i="2"/>
  <c r="BI30" i="2"/>
  <c r="BI35" i="2"/>
  <c r="BI180" i="2"/>
  <c r="BI184" i="2"/>
  <c r="BI80" i="2"/>
  <c r="BI194" i="2"/>
  <c r="BI178" i="2"/>
  <c r="BI43" i="2"/>
  <c r="BI63" i="2"/>
  <c r="BI176" i="2"/>
  <c r="BI179" i="2"/>
  <c r="BI99" i="2"/>
  <c r="BI88" i="2"/>
  <c r="BI111" i="2"/>
  <c r="BI136" i="2"/>
  <c r="BI134" i="2"/>
  <c r="BI22" i="2"/>
  <c r="BI6" i="2"/>
  <c r="BI117" i="2"/>
  <c r="BI62" i="2"/>
  <c r="BI203" i="2"/>
  <c r="BI122" i="2"/>
  <c r="BI172" i="2"/>
  <c r="BI107" i="2"/>
  <c r="BI46" i="2"/>
  <c r="BI126" i="2"/>
  <c r="BI77" i="2"/>
  <c r="BI74" i="2"/>
  <c r="BI57" i="2"/>
  <c r="BI195" i="2"/>
  <c r="BI174" i="2"/>
  <c r="BI131" i="2"/>
  <c r="BI56" i="2"/>
  <c r="BI102" i="2"/>
  <c r="BI199" i="2"/>
  <c r="BI118" i="2"/>
  <c r="BI139" i="2"/>
  <c r="BI21" i="2"/>
  <c r="BI110" i="2"/>
  <c r="BI170" i="2"/>
  <c r="BI17" i="2"/>
  <c r="BI147" i="2"/>
  <c r="BI65" i="2"/>
  <c r="BI42" i="2"/>
  <c r="BI123" i="2"/>
  <c r="BI140" i="2"/>
  <c r="BI115" i="2"/>
  <c r="BI95" i="2"/>
  <c r="BI142" i="2"/>
  <c r="BI71" i="2"/>
  <c r="BI188" i="2"/>
  <c r="BI15" i="2"/>
  <c r="BI27" i="2"/>
  <c r="BI156" i="2"/>
  <c r="BI119" i="2"/>
  <c r="BI81" i="2"/>
  <c r="BI159" i="2"/>
  <c r="BI146" i="2"/>
  <c r="BI138" i="2"/>
  <c r="BI187" i="2"/>
  <c r="BI54" i="2"/>
  <c r="BI79" i="2"/>
  <c r="BI49" i="2"/>
  <c r="BI68" i="2"/>
  <c r="BI198" i="2"/>
  <c r="BI18" i="2"/>
  <c r="BI121" i="2"/>
  <c r="BI32" i="2"/>
  <c r="BI144" i="2"/>
  <c r="BI52" i="2"/>
  <c r="BI200" i="2"/>
  <c r="BI185" i="2"/>
  <c r="BI181" i="2"/>
  <c r="BI8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<sst xmlns="http://schemas.openxmlformats.org/spreadsheetml/2006/main" count="1176" uniqueCount="326">
  <si>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</si>
  <si>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</si>
  <si>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</si>
  <si>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</si>
  <si>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</si>
  <si>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</si>
  <si>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</si>
  <si>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</si>
  <si>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</si>
  <si>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</si>
  <si>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</si>
  <si>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</si>
  <si>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</si>
  <si>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</si>
  <si>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</si>
  <si>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</si>
  <si>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</si>
  <si>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</si>
  <si>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</si>
  <si>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</si>
  <si>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</si>
  <si>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</si>
  <si>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</si>
  <si>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</si>
  <si>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</si>
  <si>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</si>
  <si>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</si>
  <si>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</si>
  <si>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</si>
  <si>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</si>
  <si>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</si>
  <si>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</si>
  <si>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</si>
  <si>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</si>
  <si>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</si>
  <si>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</si>
  <si>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</si>
  <si>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</si>
  <si>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</si>
  <si>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</si>
  <si>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</si>
  <si>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</si>
  <si>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</si>
  <si>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</si>
  <si>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</si>
  <si>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</si>
  <si>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</si>
  <si>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</si>
  <si>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</si>
  <si>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</si>
  <si>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</si>
  <si>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</si>
  <si>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</si>
  <si>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</si>
  <si>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</si>
  <si>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</si>
  <si>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</si>
  <si>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</si>
  <si>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</si>
  <si>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</si>
  <si>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</si>
  <si>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</si>
  <si>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</si>
  <si>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</si>
  <si>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</si>
  <si>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</si>
  <si>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</si>
  <si>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</si>
  <si>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</si>
  <si>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</si>
  <si>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</si>
  <si>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</si>
  <si>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</si>
  <si>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</si>
  <si>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</si>
  <si>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</si>
  <si>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</si>
  <si>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</si>
  <si>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</si>
  <si>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</si>
  <si>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</si>
  <si>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</si>
  <si>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</si>
  <si>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</si>
  <si>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</si>
  <si>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</si>
  <si>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</si>
  <si>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</si>
  <si>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</si>
  <si>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</si>
  <si>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</si>
  <si>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</si>
  <si>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</si>
  <si>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</si>
  <si>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</si>
  <si>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</si>
  <si>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</si>
  <si>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</si>
  <si>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</si>
  <si>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</si>
  <si>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</si>
  <si>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</si>
  <si>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</si>
  <si>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</si>
  <si>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</si>
  <si>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</si>
  <si>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</si>
  <si>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</si>
  <si>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</si>
  <si>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</si>
  <si>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</si>
  <si>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</si>
  <si>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</si>
  <si>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</si>
  <si>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</si>
  <si>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</si>
  <si>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</si>
  <si>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</si>
  <si>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</si>
  <si>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</si>
  <si>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</si>
  <si>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</si>
  <si>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</si>
  <si>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</si>
  <si>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</si>
  <si>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</si>
  <si>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</si>
  <si>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</si>
  <si>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</si>
  <si>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</si>
  <si>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</si>
  <si>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</si>
  <si>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</si>
  <si>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</si>
  <si>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</si>
  <si>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</si>
  <si>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</si>
  <si>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</si>
  <si>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</si>
  <si>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</si>
  <si>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</si>
  <si>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</si>
  <si>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</si>
  <si>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</si>
  <si>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</si>
  <si>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</si>
  <si>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</si>
  <si>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</si>
  <si>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</si>
  <si>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</si>
  <si>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</si>
  <si>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</si>
  <si>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</si>
  <si>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</si>
  <si>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</si>
  <si>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</si>
  <si>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</si>
  <si>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</si>
  <si>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</si>
  <si>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</si>
  <si>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</si>
  <si>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</si>
  <si>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</si>
  <si>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</si>
  <si>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</si>
  <si>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</si>
  <si>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</si>
  <si>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</si>
  <si>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</si>
  <si>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</si>
  <si>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</si>
  <si>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</si>
  <si>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</si>
  <si>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</si>
  <si>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</si>
  <si>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</si>
  <si>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</si>
  <si>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</si>
  <si>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</si>
  <si>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</si>
  <si>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</si>
  <si>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</si>
  <si>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</si>
  <si>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</si>
  <si>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</si>
  <si>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</si>
  <si>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</si>
  <si>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</si>
  <si>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</si>
  <si>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</si>
  <si>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</si>
  <si>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</si>
  <si>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</si>
  <si>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</si>
  <si>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</si>
  <si>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</si>
  <si>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</si>
  <si>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</si>
  <si>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</si>
  <si>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</si>
  <si>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</si>
  <si>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</si>
  <si>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</si>
  <si>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</si>
  <si>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</si>
  <si>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</si>
  <si>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</si>
  <si>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</si>
  <si>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</si>
  <si>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</si>
  <si>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</si>
  <si>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</si>
  <si>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</si>
  <si>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</si>
  <si>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</si>
  <si>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</si>
  <si>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</si>
  <si>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</si>
  <si>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</si>
  <si>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</si>
  <si>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</si>
  <si>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</si>
  <si>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</si>
  <si>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</si>
  <si>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</si>
  <si>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</si>
  <si>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</si>
  <si>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</si>
  <si>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</si>
  <si>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</si>
  <si>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</si>
  <si>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</si>
  <si>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</si>
  <si>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</si>
  <si>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</si>
  <si>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</si>
  <si>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</si>
  <si>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</si>
  <si>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</si>
  <si>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</si>
  <si>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</si>
  <si>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</si>
  <si>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</si>
  <si>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</si>
  <si>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</si>
  <si>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</si>
  <si>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</si>
  <si>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</si>
  <si>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</si>
  <si>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</si>
  <si>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</si>
  <si>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</si>
  <si>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</si>
  <si>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</si>
  <si>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</si>
  <si>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</si>
  <si>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</si>
  <si>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</si>
  <si>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</si>
  <si>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</si>
  <si>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</si>
  <si>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</si>
  <si>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</si>
  <si>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</si>
  <si>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</si>
  <si>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</si>
  <si>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</si>
  <si>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</si>
  <si>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</si>
  <si>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</si>
  <si>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</si>
  <si>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</si>
  <si>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</si>
  <si>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</si>
  <si>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</si>
  <si>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</si>
  <si>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</si>
  <si>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</si>
  <si>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</si>
  <si>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</si>
  <si>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</si>
  <si>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</si>
  <si>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</si>
  <si>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</si>
  <si>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</si>
  <si>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</si>
  <si>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</si>
  <si>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</si>
  <si>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</si>
  <si>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</si>
  <si>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</si>
  <si>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</si>
  <si>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</si>
  <si>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</si>
  <si>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</si>
  <si>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</si>
  <si>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</si>
  <si>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</si>
  <si>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</si>
  <si>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</si>
  <si>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</si>
  <si>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</si>
  <si>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</si>
  <si>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</si>
  <si>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</si>
  <si>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</si>
  <si>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</si>
  <si>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</si>
  <si>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</si>
  <si>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</si>
  <si>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</si>
  <si>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</si>
  <si>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</si>
  <si>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</si>
  <si>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</si>
  <si>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</si>
  <si>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</si>
  <si>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</si>
  <si>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</si>
  <si>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</si>
  <si>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</si>
  <si>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</si>
  <si>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</si>
  <si>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</si>
  <si>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Poirier absent de la liste</t>
  </si>
  <si>
    <t>Poirier non pris en compte dans les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</si>
</sst>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51" xfId="0" applyNumberFormat="1" applyBorder="1" applyProtection="1">
      <protection locked="0" hidden="1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116.89485563510304</c:v>
                </c:pt>
                <c:pt idx="22">
                  <c:v>131.72001628084266</c:v>
                </c:pt>
                <c:pt idx="23">
                  <c:v>146.50486807208301</c:v>
                </c:pt>
                <c:pt idx="24">
                  <c:v>161.25405583173711</c:v>
                </c:pt>
                <c:pt idx="25">
                  <c:v>175.97130339884507</c:v>
                </c:pt>
                <c:pt idx="26">
                  <c:v>190.65965977632126</c:v>
                </c:pt>
                <c:pt idx="27">
                  <c:v>205.32166516759025</c:v>
                </c:pt>
                <c:pt idx="28">
                  <c:v>219.95946695955351</c:v>
                </c:pt>
                <c:pt idx="29">
                  <c:v>234.57490313969427</c:v>
                </c:pt>
                <c:pt idx="30">
                  <c:v>249.16956379358496</c:v>
                </c:pt>
                <c:pt idx="31">
                  <c:v>200.90243103308021</c:v>
                </c:pt>
                <c:pt idx="32">
                  <c:v>219.95946695955351</c:v>
                </c:pt>
                <c:pt idx="33">
                  <c:v>238.97858846210613</c:v>
                </c:pt>
                <c:pt idx="34">
                  <c:v>257.96323733243617</c:v>
                </c:pt>
                <c:pt idx="35">
                  <c:v>276.91630711457987</c:v>
                </c:pt>
                <c:pt idx="36">
                  <c:v>295.84026279064108</c:v>
                </c:pt>
                <c:pt idx="37">
                  <c:v>314.7372281920492</c:v>
                </c:pt>
                <c:pt idx="38">
                  <c:v>333.60905129466971</c:v>
                </c:pt>
                <c:pt idx="39">
                  <c:v>352.45735395348788</c:v>
                </c:pt>
                <c:pt idx="40">
                  <c:v>371.28357043570469</c:v>
                </c:pt>
                <c:pt idx="41">
                  <c:v>293.76459769344609</c:v>
                </c:pt>
                <c:pt idx="42">
                  <c:v>312.89475650137189</c:v>
                </c:pt>
                <c:pt idx="43">
                  <c:v>331.9989817691162</c:v>
                </c:pt>
                <c:pt idx="44">
                  <c:v>351.07897517630312</c:v>
                </c:pt>
                <c:pt idx="45">
                  <c:v>370.13623838046755</c:v>
                </c:pt>
                <c:pt idx="46">
                  <c:v>389.17210583018453</c:v>
                </c:pt>
                <c:pt idx="47">
                  <c:v>408.18777082091782</c:v>
                </c:pt>
                <c:pt idx="48">
                  <c:v>427.18430644135782</c:v>
                </c:pt>
                <c:pt idx="49">
                  <c:v>446.16268259938101</c:v>
                </c:pt>
                <c:pt idx="50">
                  <c:v>465.12378000022363</c:v>
                </c:pt>
                <c:pt idx="51">
                  <c:v>386.87972063328522</c:v>
                </c:pt>
                <c:pt idx="52">
                  <c:v>404.75265083611265</c:v>
                </c:pt>
                <c:pt idx="53">
                  <c:v>422.60852377532825</c:v>
                </c:pt>
                <c:pt idx="54">
                  <c:v>440.44816126040695</c:v>
                </c:pt>
                <c:pt idx="55">
                  <c:v>458.27231312639077</c:v>
                </c:pt>
                <c:pt idx="56">
                  <c:v>476.08166614924016</c:v>
                </c:pt>
                <c:pt idx="57">
                  <c:v>493.87685155793548</c:v>
                </c:pt>
                <c:pt idx="58">
                  <c:v>511.65845140779737</c:v>
                </c:pt>
                <c:pt idx="59">
                  <c:v>529.42700402201615</c:v>
                </c:pt>
                <c:pt idx="60">
                  <c:v>547.18300866493496</c:v>
                </c:pt>
                <c:pt idx="61">
                  <c:v>467.40712233198627</c:v>
                </c:pt>
                <c:pt idx="62">
                  <c:v>483.3839347860071</c:v>
                </c:pt>
                <c:pt idx="63">
                  <c:v>499.34953422631787</c:v>
                </c:pt>
                <c:pt idx="64">
                  <c:v>515.30432949652743</c:v>
                </c:pt>
                <c:pt idx="65">
                  <c:v>531.2487020698627</c:v>
                </c:pt>
                <c:pt idx="66">
                  <c:v>547.18300866493496</c:v>
                </c:pt>
                <c:pt idx="67">
                  <c:v>563.10758354108691</c:v>
                </c:pt>
                <c:pt idx="68">
                  <c:v>579.02274052069481</c:v>
                </c:pt>
                <c:pt idx="69">
                  <c:v>594.92877477767308</c:v>
                </c:pt>
                <c:pt idx="70">
                  <c:v>610.82596442486022</c:v>
                </c:pt>
                <c:pt idx="71">
                  <c:v>529.19928249776444</c:v>
                </c:pt>
                <c:pt idx="72">
                  <c:v>543.08655802570433</c:v>
                </c:pt>
                <c:pt idx="73">
                  <c:v>556.96637999303061</c:v>
                </c:pt>
                <c:pt idx="74">
                  <c:v>570.83896024648345</c:v>
                </c:pt>
                <c:pt idx="75">
                  <c:v>584.70449950058844</c:v>
                </c:pt>
                <c:pt idx="76">
                  <c:v>598.56318817825183</c:v>
                </c:pt>
                <c:pt idx="77">
                  <c:v>612.4152071694856</c:v>
                </c:pt>
                <c:pt idx="78">
                  <c:v>626.26072851795345</c:v>
                </c:pt>
                <c:pt idx="79">
                  <c:v>640.09991604367588</c:v>
                </c:pt>
                <c:pt idx="80">
                  <c:v>653.93292590911119</c:v>
                </c:pt>
                <c:pt idx="81">
                  <c:v>571.29367866643076</c:v>
                </c:pt>
                <c:pt idx="82">
                  <c:v>584.02274942390375</c:v>
                </c:pt>
                <c:pt idx="83">
                  <c:v>596.74603902946581</c:v>
                </c:pt>
                <c:pt idx="84">
                  <c:v>609.46368807028455</c:v>
                </c:pt>
                <c:pt idx="85">
                  <c:v>622.17583079004964</c:v>
                </c:pt>
                <c:pt idx="86">
                  <c:v>634.8825955016722</c:v>
                </c:pt>
                <c:pt idx="87">
                  <c:v>647.58410496524175</c:v>
                </c:pt>
                <c:pt idx="88">
                  <c:v>660.28047673480012</c:v>
                </c:pt>
                <c:pt idx="89">
                  <c:v>672.97182347707405</c:v>
                </c:pt>
                <c:pt idx="90">
                  <c:v>685.65825326492529</c:v>
                </c:pt>
                <c:pt idx="91">
                  <c:v>601.51581107912864</c:v>
                </c:pt>
                <c:pt idx="92">
                  <c:v>612.6422348572687</c:v>
                </c:pt>
                <c:pt idx="93">
                  <c:v>623.76446791937724</c:v>
                </c:pt>
                <c:pt idx="94">
                  <c:v>634.8825955016722</c:v>
                </c:pt>
                <c:pt idx="95">
                  <c:v>645.9966996124806</c:v>
                </c:pt>
                <c:pt idx="96">
                  <c:v>657.10685920908134</c:v>
                </c:pt>
                <c:pt idx="97">
                  <c:v>668.213150361972</c:v>
                </c:pt>
                <c:pt idx="98">
                  <c:v>679.31564640765021</c:v>
                </c:pt>
                <c:pt idx="99">
                  <c:v>690.41441809089395</c:v>
                </c:pt>
                <c:pt idx="100">
                  <c:v>701.50953369741922</c:v>
                </c:pt>
                <c:pt idx="101">
                  <c:v>616.2744410035516</c:v>
                </c:pt>
                <c:pt idx="102">
                  <c:v>626.26072851795345</c:v>
                </c:pt>
                <c:pt idx="103">
                  <c:v>636.24372076531847</c:v>
                </c:pt>
                <c:pt idx="104">
                  <c:v>646.22347672875947</c:v>
                </c:pt>
                <c:pt idx="105">
                  <c:v>656.20005342145384</c:v>
                </c:pt>
                <c:pt idx="106">
                  <c:v>666.17350598202279</c:v>
                </c:pt>
                <c:pt idx="107">
                  <c:v>676.14388776390194</c:v>
                </c:pt>
                <c:pt idx="108">
                  <c:v>686.11125041916978</c:v>
                </c:pt>
                <c:pt idx="109">
                  <c:v>696.07564397725218</c:v>
                </c:pt>
                <c:pt idx="110">
                  <c:v>706.03711691888964</c:v>
                </c:pt>
                <c:pt idx="111">
                  <c:v>626.03380426043839</c:v>
                </c:pt>
                <c:pt idx="112">
                  <c:v>634.42887368260006</c:v>
                </c:pt>
                <c:pt idx="113">
                  <c:v>642.82164719403238</c:v>
                </c:pt>
                <c:pt idx="114">
                  <c:v>651.21215899492643</c:v>
                </c:pt>
                <c:pt idx="115">
                  <c:v>659.60044233238023</c:v>
                </c:pt>
                <c:pt idx="116">
                  <c:v>667.98652953900239</c:v>
                </c:pt>
                <c:pt idx="117">
                  <c:v>676.37045206947698</c:v>
                </c:pt>
                <c:pt idx="118">
                  <c:v>684.75224053522061</c:v>
                </c:pt>
                <c:pt idx="119">
                  <c:v>693.13192473725724</c:v>
                </c:pt>
                <c:pt idx="120">
                  <c:v>701.50953369741853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105.33256160896025</c:v>
                </c:pt>
                <c:pt idx="22">
                  <c:v>118.68765703693884</c:v>
                </c:pt>
                <c:pt idx="23">
                  <c:v>132.00607910533233</c:v>
                </c:pt>
                <c:pt idx="24">
                  <c:v>145.29205371594364</c:v>
                </c:pt>
                <c:pt idx="25">
                  <c:v>158.54896885113661</c:v>
                </c:pt>
                <c:pt idx="26">
                  <c:v>171.77959852127819</c:v>
                </c:pt>
                <c:pt idx="27">
                  <c:v>184.98625382636752</c:v>
                </c:pt>
                <c:pt idx="28">
                  <c:v>198.17088847838662</c:v>
                </c:pt>
                <c:pt idx="29">
                  <c:v>211.33517469493427</c:v>
                </c:pt>
                <c:pt idx="30">
                  <c:v>224.48055915021371</c:v>
                </c:pt>
                <c:pt idx="31">
                  <c:v>181.0056966472836</c:v>
                </c:pt>
                <c:pt idx="32">
                  <c:v>198.17088847838662</c:v>
                </c:pt>
                <c:pt idx="33">
                  <c:v>215.30158542445329</c:v>
                </c:pt>
                <c:pt idx="34">
                  <c:v>232.40091885863032</c:v>
                </c:pt>
                <c:pt idx="35">
                  <c:v>249.47152135339442</c:v>
                </c:pt>
                <c:pt idx="36">
                  <c:v>266.51563557170846</c:v>
                </c:pt>
                <c:pt idx="37">
                  <c:v>283.53519379457327</c:v>
                </c:pt>
                <c:pt idx="38">
                  <c:v>300.53187732710791</c:v>
                </c:pt>
                <c:pt idx="39">
                  <c:v>317.50716174761413</c:v>
                </c:pt>
                <c:pt idx="40">
                  <c:v>334.46235196533485</c:v>
                </c:pt>
                <c:pt idx="41">
                  <c:v>264.64617237974602</c:v>
                </c:pt>
                <c:pt idx="42">
                  <c:v>281.875781441058</c:v>
                </c:pt>
                <c:pt idx="43">
                  <c:v>299.08179593347916</c:v>
                </c:pt>
                <c:pt idx="44">
                  <c:v>316.26576406048815</c:v>
                </c:pt>
                <c:pt idx="45">
                  <c:v>333.42905204366178</c:v>
                </c:pt>
                <c:pt idx="46">
                  <c:v>350.57287397635611</c:v>
                </c:pt>
                <c:pt idx="47">
                  <c:v>367.69831552955276</c:v>
                </c:pt>
                <c:pt idx="48">
                  <c:v>384.80635300902651</c:v>
                </c:pt>
                <c:pt idx="49">
                  <c:v>401.89786884571572</c:v>
                </c:pt>
                <c:pt idx="50">
                  <c:v>418.97366431319239</c:v>
                </c:pt>
                <c:pt idx="51">
                  <c:v>348.5083475091464</c:v>
                </c:pt>
                <c:pt idx="52">
                  <c:v>364.60467177597531</c:v>
                </c:pt>
                <c:pt idx="53">
                  <c:v>380.6854771904396</c:v>
                </c:pt>
                <c:pt idx="54">
                  <c:v>396.75151144221542</c:v>
                </c:pt>
                <c:pt idx="55">
                  <c:v>412.80345673799087</c:v>
                </c:pt>
                <c:pt idx="56">
                  <c:v>428.8419379127327</c:v>
                </c:pt>
                <c:pt idx="57">
                  <c:v>444.8675292642634</c:v>
                </c:pt>
                <c:pt idx="58">
                  <c:v>460.88076035176641</c:v>
                </c:pt>
                <c:pt idx="59">
                  <c:v>476.88212094653846</c:v>
                </c:pt>
                <c:pt idx="60">
                  <c:v>492.87206528378442</c:v>
                </c:pt>
                <c:pt idx="61">
                  <c:v>421.02996350009477</c:v>
                </c:pt>
                <c:pt idx="62">
                  <c:v>435.41806774560138</c:v>
                </c:pt>
                <c:pt idx="63">
                  <c:v>449.7959702900439</c:v>
                </c:pt>
                <c:pt idx="64">
                  <c:v>464.16404310302801</c:v>
                </c:pt>
                <c:pt idx="65">
                  <c:v>478.5226332523373</c:v>
                </c:pt>
                <c:pt idx="66">
                  <c:v>492.87206528378442</c:v>
                </c:pt>
                <c:pt idx="67">
                  <c:v>507.21264330953494</c:v>
                </c:pt>
                <c:pt idx="68">
                  <c:v>521.54465284801927</c:v>
                </c:pt>
                <c:pt idx="69">
                  <c:v>535.86836245112841</c:v>
                </c:pt>
                <c:pt idx="70">
                  <c:v>550.18402514843262</c:v>
                </c:pt>
                <c:pt idx="71">
                  <c:v>476.67704847595706</c:v>
                </c:pt>
                <c:pt idx="72">
                  <c:v>489.18306881439611</c:v>
                </c:pt>
                <c:pt idx="73">
                  <c:v>501.6823078361254</c:v>
                </c:pt>
                <c:pt idx="74">
                  <c:v>514.17495828122071</c:v>
                </c:pt>
                <c:pt idx="75">
                  <c:v>526.66120276156892</c:v>
                </c:pt>
                <c:pt idx="76">
                  <c:v>539.14121452564848</c:v>
                </c:pt>
                <c:pt idx="77">
                  <c:v>551.61515814882478</c:v>
                </c:pt>
                <c:pt idx="78">
                  <c:v>564.0831901579752</c:v>
                </c:pt>
                <c:pt idx="79">
                  <c:v>576.54545959803352</c:v>
                </c:pt>
                <c:pt idx="80">
                  <c:v>589.00210854701334</c:v>
                </c:pt>
                <c:pt idx="81">
                  <c:v>514.58444394878381</c:v>
                </c:pt>
                <c:pt idx="82">
                  <c:v>526.04727227111459</c:v>
                </c:pt>
                <c:pt idx="83">
                  <c:v>537.50484084926575</c:v>
                </c:pt>
                <c:pt idx="84">
                  <c:v>548.95727759071076</c:v>
                </c:pt>
                <c:pt idx="85">
                  <c:v>560.4047046315701</c:v>
                </c:pt>
                <c:pt idx="86">
                  <c:v>571.84723871208837</c:v>
                </c:pt>
                <c:pt idx="87">
                  <c:v>583.28499152050256</c:v>
                </c:pt>
                <c:pt idx="88">
                  <c:v>594.71807000854108</c:v>
                </c:pt>
                <c:pt idx="89">
                  <c:v>606.14657668140865</c:v>
                </c:pt>
                <c:pt idx="90">
                  <c:v>617.57060986477029</c:v>
                </c:pt>
                <c:pt idx="91">
                  <c:v>541.80009933248812</c:v>
                </c:pt>
                <c:pt idx="92">
                  <c:v>551.81959936072542</c:v>
                </c:pt>
                <c:pt idx="93">
                  <c:v>561.83528663769869</c:v>
                </c:pt>
                <c:pt idx="94">
                  <c:v>571.84723871208837</c:v>
                </c:pt>
                <c:pt idx="95">
                  <c:v>581.85553019581005</c:v>
                </c:pt>
                <c:pt idx="96">
                  <c:v>591.86023292490881</c:v>
                </c:pt>
                <c:pt idx="97">
                  <c:v>601.86141610901029</c:v>
                </c:pt>
                <c:pt idx="98">
                  <c:v>611.85914647032121</c:v>
                </c:pt>
                <c:pt idx="99">
                  <c:v>621.85348837307913</c:v>
                </c:pt>
                <c:pt idx="100">
                  <c:v>631.84450394424505</c:v>
                </c:pt>
                <c:pt idx="101">
                  <c:v>555.09044325536786</c:v>
                </c:pt>
                <c:pt idx="102">
                  <c:v>564.0831901579752</c:v>
                </c:pt>
                <c:pt idx="103">
                  <c:v>573.072938996895</c:v>
                </c:pt>
                <c:pt idx="104">
                  <c:v>582.05974343549497</c:v>
                </c:pt>
                <c:pt idx="105">
                  <c:v>591.04365534487897</c:v>
                </c:pt>
                <c:pt idx="106">
                  <c:v>600.02472489066179</c:v>
                </c:pt>
                <c:pt idx="107">
                  <c:v>609.00300061428106</c:v>
                </c:pt>
                <c:pt idx="108">
                  <c:v>617.97852950926347</c:v>
                </c:pt>
                <c:pt idx="109">
                  <c:v>626.95135709283238</c:v>
                </c:pt>
                <c:pt idx="110">
                  <c:v>635.9215274732029</c:v>
                </c:pt>
                <c:pt idx="111">
                  <c:v>563.87884304786564</c:v>
                </c:pt>
                <c:pt idx="112">
                  <c:v>571.43865976099494</c:v>
                </c:pt>
                <c:pt idx="113">
                  <c:v>578.99638763382347</c:v>
                </c:pt>
                <c:pt idx="114">
                  <c:v>586.55205778199377</c:v>
                </c:pt>
                <c:pt idx="115">
                  <c:v>594.10570045401585</c:v>
                </c:pt>
                <c:pt idx="116">
                  <c:v>601.65734506638853</c:v>
                </c:pt>
                <c:pt idx="117">
                  <c:v>609.20702023686715</c:v>
                </c:pt>
                <c:pt idx="118">
                  <c:v>616.75475381599517</c:v>
                </c:pt>
                <c:pt idx="119">
                  <c:v>624.3005729170128</c:v>
                </c:pt>
                <c:pt idx="120">
                  <c:v>631.84450394424448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30" sqref="C3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0" t="s">
        <v>231</v>
      </c>
      <c r="B5" s="270"/>
      <c r="C5" s="24">
        <v>4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0.33</v>
      </c>
      <c r="D9" s="33">
        <f t="shared" ref="D9:D18" si="0">C9*$C$5</f>
        <v>1.32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36</v>
      </c>
      <c r="C10" s="32">
        <v>0.33</v>
      </c>
      <c r="D10" s="33">
        <f t="shared" si="0"/>
        <v>1.32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0.17</v>
      </c>
      <c r="D11" s="33">
        <f t="shared" si="0"/>
        <v>0.68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52</v>
      </c>
      <c r="C12" s="32">
        <v>0.06</v>
      </c>
      <c r="D12" s="33">
        <f t="shared" si="0"/>
        <v>0.24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</v>
      </c>
      <c r="C13" s="32">
        <v>0.06</v>
      </c>
      <c r="D13" s="33">
        <f t="shared" si="0"/>
        <v>0.24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>
        <v>0.05</v>
      </c>
      <c r="D14" s="33">
        <f t="shared" si="0"/>
        <v>0.2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G14" s="23" t="s">
        <v>325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4.0000000000000009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91</v>
      </c>
      <c r="C36" s="60">
        <v>1</v>
      </c>
      <c r="D36" s="60">
        <v>3</v>
      </c>
      <c r="E36" s="51"/>
      <c r="F36" s="51">
        <v>0.5</v>
      </c>
      <c r="G36" s="51">
        <v>0.5</v>
      </c>
      <c r="H36" s="51"/>
      <c r="I36" s="49">
        <f>IFERROR(B36/A36,"")</f>
        <v>4.55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218</v>
      </c>
      <c r="C37" s="60">
        <v>2</v>
      </c>
      <c r="D37" s="60">
        <v>70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285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13.7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343</v>
      </c>
      <c r="C39" s="60">
        <v>4</v>
      </c>
      <c r="D39" s="60">
        <v>70</v>
      </c>
      <c r="E39" s="51"/>
      <c r="F39" s="51"/>
      <c r="G39" s="51"/>
      <c r="H39" s="51"/>
      <c r="I39" s="49">
        <f t="shared" si="1"/>
        <v>12.8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387</v>
      </c>
      <c r="C40" s="60">
        <v>5</v>
      </c>
      <c r="D40" s="60">
        <v>57</v>
      </c>
      <c r="E40" s="51"/>
      <c r="F40" s="51"/>
      <c r="G40" s="51"/>
      <c r="H40" s="51"/>
      <c r="I40" s="49">
        <f t="shared" si="1"/>
        <v>11.4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422</v>
      </c>
      <c r="C41" s="60">
        <v>6</v>
      </c>
      <c r="D41" s="60">
        <v>44</v>
      </c>
      <c r="E41" s="51"/>
      <c r="F41" s="51"/>
      <c r="G41" s="51"/>
      <c r="H41" s="51"/>
      <c r="I41" s="53">
        <f t="shared" si="1"/>
        <v>9.1999999999999993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450</v>
      </c>
      <c r="C42" s="60">
        <v>7</v>
      </c>
      <c r="D42" s="60">
        <f>B42</f>
        <v>450</v>
      </c>
      <c r="E42" s="51"/>
      <c r="F42" s="51"/>
      <c r="G42" s="51"/>
      <c r="H42" s="51"/>
      <c r="I42" s="53">
        <f t="shared" si="1"/>
        <v>7.2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12</v>
      </c>
      <c r="B62" s="60">
        <v>36</v>
      </c>
      <c r="C62" s="60"/>
      <c r="D62" s="60">
        <v>0</v>
      </c>
      <c r="E62" s="51"/>
      <c r="F62" s="51"/>
      <c r="G62" s="51"/>
      <c r="H62" s="51"/>
      <c r="I62" s="53">
        <f>IFERROR(B62/A62,"")</f>
        <v>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16</v>
      </c>
      <c r="B63" s="60">
        <v>81</v>
      </c>
      <c r="C63" s="60">
        <v>1</v>
      </c>
      <c r="D63" s="60">
        <v>15</v>
      </c>
      <c r="E63" s="51"/>
      <c r="F63" s="51">
        <v>0.5</v>
      </c>
      <c r="G63" s="51">
        <v>0.5</v>
      </c>
      <c r="H63" s="51"/>
      <c r="I63" s="49">
        <f>IF(A63&lt;&gt;0,(B63-(B62-D62))/(A63-A62),"")</f>
        <v>11.25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119</v>
      </c>
      <c r="C64" s="60">
        <v>2</v>
      </c>
      <c r="D64" s="60">
        <v>22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13.25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24</v>
      </c>
      <c r="B65" s="60">
        <v>157</v>
      </c>
      <c r="C65" s="60">
        <v>3</v>
      </c>
      <c r="D65" s="60">
        <v>31</v>
      </c>
      <c r="E65" s="51">
        <v>0.2</v>
      </c>
      <c r="F65" s="51">
        <v>0.4</v>
      </c>
      <c r="G65" s="51">
        <v>0.4</v>
      </c>
      <c r="H65" s="51"/>
      <c r="I65" s="49">
        <f>IF(A65&lt;&gt;0,(B65-(B64-D64))/(A65-A64),"")</f>
        <v>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28</v>
      </c>
      <c r="B66" s="60">
        <v>190</v>
      </c>
      <c r="C66" s="60">
        <v>4</v>
      </c>
      <c r="D66" s="60">
        <v>35</v>
      </c>
      <c r="E66" s="51">
        <v>0.3</v>
      </c>
      <c r="F66" s="51">
        <v>0.35</v>
      </c>
      <c r="G66" s="51">
        <v>0.35</v>
      </c>
      <c r="H66" s="51"/>
      <c r="I66" s="49">
        <f t="shared" ref="I66:I81" si="2">IF(A66&lt;&gt;0,(B66-(B65-D65))/(A66-A65),"")</f>
        <v>16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34</v>
      </c>
      <c r="B67" s="60">
        <v>244</v>
      </c>
      <c r="C67" s="60">
        <v>5</v>
      </c>
      <c r="D67" s="60">
        <v>46</v>
      </c>
      <c r="E67" s="51"/>
      <c r="F67" s="51"/>
      <c r="G67" s="51"/>
      <c r="H67" s="51"/>
      <c r="I67" s="49">
        <f t="shared" si="2"/>
        <v>14.833333333333334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275</v>
      </c>
      <c r="C68" s="60">
        <v>6</v>
      </c>
      <c r="D68" s="60">
        <v>41</v>
      </c>
      <c r="E68" s="51"/>
      <c r="F68" s="51"/>
      <c r="G68" s="51"/>
      <c r="H68" s="51"/>
      <c r="I68" s="49">
        <f t="shared" si="2"/>
        <v>12.833333333333334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46</v>
      </c>
      <c r="B69" s="50">
        <v>293</v>
      </c>
      <c r="C69" s="50">
        <v>7</v>
      </c>
      <c r="D69" s="50">
        <v>29</v>
      </c>
      <c r="E69" s="51"/>
      <c r="F69" s="51"/>
      <c r="G69" s="51"/>
      <c r="H69" s="51"/>
      <c r="I69" s="49">
        <f t="shared" si="2"/>
        <v>9.8333333333333339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54</v>
      </c>
      <c r="B70" s="50">
        <v>311</v>
      </c>
      <c r="C70" s="50">
        <v>8</v>
      </c>
      <c r="D70" s="50">
        <v>16</v>
      </c>
      <c r="E70" s="51"/>
      <c r="F70" s="51"/>
      <c r="G70" s="51"/>
      <c r="H70" s="51"/>
      <c r="I70" s="49">
        <f t="shared" si="2"/>
        <v>5.875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62</v>
      </c>
      <c r="B71" s="50">
        <v>316</v>
      </c>
      <c r="C71" s="50">
        <v>9</v>
      </c>
      <c r="D71" s="50">
        <v>316</v>
      </c>
      <c r="E71" s="51"/>
      <c r="F71" s="51"/>
      <c r="G71" s="51"/>
      <c r="H71" s="51"/>
      <c r="I71" s="49">
        <f t="shared" si="2"/>
        <v>2.625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3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199</v>
      </c>
      <c r="C91" s="60">
        <v>3</v>
      </c>
      <c r="D91" s="60">
        <f t="shared" ref="D91:D96" si="4">21+21</f>
        <v>42</v>
      </c>
      <c r="E91" s="87"/>
      <c r="F91" s="87"/>
      <c r="G91" s="87"/>
      <c r="H91" s="87"/>
      <c r="I91" s="53">
        <f t="shared" si="3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235</v>
      </c>
      <c r="C92" s="60">
        <v>4</v>
      </c>
      <c r="D92" s="60">
        <f t="shared" si="4"/>
        <v>42</v>
      </c>
      <c r="E92" s="87"/>
      <c r="F92" s="87"/>
      <c r="G92" s="87"/>
      <c r="H92" s="87"/>
      <c r="I92" s="53">
        <f t="shared" si="3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263</v>
      </c>
      <c r="C93" s="60">
        <v>5</v>
      </c>
      <c r="D93" s="60">
        <f t="shared" si="4"/>
        <v>42</v>
      </c>
      <c r="E93" s="87"/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282</v>
      </c>
      <c r="C94" s="60">
        <v>6</v>
      </c>
      <c r="D94" s="60">
        <f t="shared" si="4"/>
        <v>42</v>
      </c>
      <c r="E94" s="87"/>
      <c r="F94" s="87"/>
      <c r="G94" s="87"/>
      <c r="H94" s="87"/>
      <c r="I94" s="53">
        <f t="shared" si="3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296</v>
      </c>
      <c r="C95" s="60">
        <v>7</v>
      </c>
      <c r="D95" s="60">
        <f t="shared" si="4"/>
        <v>42</v>
      </c>
      <c r="E95" s="87"/>
      <c r="F95" s="87"/>
      <c r="G95" s="87"/>
      <c r="H95" s="87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303</v>
      </c>
      <c r="C96" s="60">
        <v>8</v>
      </c>
      <c r="D96" s="60">
        <f t="shared" si="4"/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3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/>
      <c r="D114" s="60"/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105</v>
      </c>
      <c r="C115" s="50">
        <v>1</v>
      </c>
      <c r="D115" s="60">
        <f>21+8</f>
        <v>29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158</v>
      </c>
      <c r="C116" s="50">
        <v>2</v>
      </c>
      <c r="D116" s="60">
        <f>21+21</f>
        <v>42</v>
      </c>
      <c r="E116" s="51"/>
      <c r="F116" s="51"/>
      <c r="G116" s="51"/>
      <c r="H116" s="51"/>
      <c r="I116" s="53">
        <f t="shared" si="5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199</v>
      </c>
      <c r="C117" s="50">
        <v>3</v>
      </c>
      <c r="D117" s="60">
        <f t="shared" ref="D117:D122" si="6">21+21</f>
        <v>42</v>
      </c>
      <c r="E117" s="51"/>
      <c r="F117" s="51"/>
      <c r="G117" s="51"/>
      <c r="H117" s="51"/>
      <c r="I117" s="53">
        <f t="shared" si="5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235</v>
      </c>
      <c r="C118" s="50">
        <v>4</v>
      </c>
      <c r="D118" s="60">
        <f t="shared" si="6"/>
        <v>42</v>
      </c>
      <c r="E118" s="51"/>
      <c r="F118" s="51"/>
      <c r="G118" s="51"/>
      <c r="H118" s="51"/>
      <c r="I118" s="53">
        <f t="shared" si="5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263</v>
      </c>
      <c r="C119" s="50">
        <v>5</v>
      </c>
      <c r="D119" s="60">
        <f t="shared" si="6"/>
        <v>42</v>
      </c>
      <c r="E119" s="51"/>
      <c r="F119" s="51"/>
      <c r="G119" s="51"/>
      <c r="H119" s="51"/>
      <c r="I119" s="53">
        <f t="shared" si="5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282</v>
      </c>
      <c r="C120" s="60">
        <v>6</v>
      </c>
      <c r="D120" s="60">
        <f t="shared" si="6"/>
        <v>42</v>
      </c>
      <c r="E120" s="87"/>
      <c r="F120" s="87"/>
      <c r="G120" s="87"/>
      <c r="H120" s="87"/>
      <c r="I120" s="53">
        <f t="shared" si="5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296</v>
      </c>
      <c r="C121" s="60">
        <v>7</v>
      </c>
      <c r="D121" s="60">
        <f t="shared" si="6"/>
        <v>42</v>
      </c>
      <c r="E121" s="87"/>
      <c r="F121" s="87"/>
      <c r="G121" s="87"/>
      <c r="H121" s="87"/>
      <c r="I121" s="53">
        <f t="shared" si="5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303</v>
      </c>
      <c r="C122" s="60">
        <v>8</v>
      </c>
      <c r="D122" s="60">
        <f t="shared" si="6"/>
        <v>42</v>
      </c>
      <c r="E122" s="87"/>
      <c r="F122" s="87"/>
      <c r="G122" s="87"/>
      <c r="H122" s="87"/>
      <c r="I122" s="53">
        <f t="shared" si="5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v>305</v>
      </c>
      <c r="C123" s="60">
        <v>9</v>
      </c>
      <c r="D123" s="60">
        <f>20+19</f>
        <v>39</v>
      </c>
      <c r="E123" s="87"/>
      <c r="F123" s="87"/>
      <c r="G123" s="87"/>
      <c r="H123" s="87"/>
      <c r="I123" s="53">
        <f t="shared" si="5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/>
      <c r="F124" s="87"/>
      <c r="G124" s="87"/>
      <c r="H124" s="87"/>
      <c r="I124" s="53">
        <f t="shared" si="5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42</v>
      </c>
      <c r="C140" s="50"/>
      <c r="D140" s="60"/>
      <c r="E140" s="51"/>
      <c r="F140" s="51"/>
      <c r="G140" s="51"/>
      <c r="H140" s="51"/>
      <c r="I140" s="57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105</v>
      </c>
      <c r="C141" s="50">
        <v>1</v>
      </c>
      <c r="D141" s="60">
        <f>21+8</f>
        <v>29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7">IF(A141&lt;&gt;0,(B141-(B140-D140))/(A141-A140),"")</f>
        <v>6.3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158</v>
      </c>
      <c r="C142" s="50">
        <v>2</v>
      </c>
      <c r="D142" s="60">
        <f>21+21</f>
        <v>42</v>
      </c>
      <c r="E142" s="51"/>
      <c r="F142" s="51"/>
      <c r="G142" s="51"/>
      <c r="H142" s="51"/>
      <c r="I142" s="57">
        <f t="shared" si="7"/>
        <v>8.1999999999999993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199</v>
      </c>
      <c r="C143" s="50">
        <v>3</v>
      </c>
      <c r="D143" s="60">
        <f t="shared" ref="D143:D148" si="8">21+21</f>
        <v>42</v>
      </c>
      <c r="E143" s="51"/>
      <c r="F143" s="51"/>
      <c r="G143" s="51"/>
      <c r="H143" s="51"/>
      <c r="I143" s="57">
        <f t="shared" si="7"/>
        <v>8.3000000000000007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235</v>
      </c>
      <c r="C144" s="50">
        <v>4</v>
      </c>
      <c r="D144" s="60">
        <f t="shared" si="8"/>
        <v>42</v>
      </c>
      <c r="E144" s="51"/>
      <c r="F144" s="51"/>
      <c r="G144" s="51"/>
      <c r="H144" s="51"/>
      <c r="I144" s="57">
        <f t="shared" si="7"/>
        <v>7.8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263</v>
      </c>
      <c r="C145" s="50">
        <v>5</v>
      </c>
      <c r="D145" s="60">
        <f t="shared" si="8"/>
        <v>42</v>
      </c>
      <c r="E145" s="51"/>
      <c r="F145" s="51"/>
      <c r="G145" s="51"/>
      <c r="H145" s="51"/>
      <c r="I145" s="57">
        <f t="shared" si="7"/>
        <v>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282</v>
      </c>
      <c r="C146" s="50">
        <v>6</v>
      </c>
      <c r="D146" s="60">
        <f t="shared" si="8"/>
        <v>42</v>
      </c>
      <c r="E146" s="51"/>
      <c r="F146" s="51"/>
      <c r="G146" s="51"/>
      <c r="H146" s="51"/>
      <c r="I146" s="57">
        <f t="shared" si="7"/>
        <v>6.1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296</v>
      </c>
      <c r="C147" s="50">
        <v>7</v>
      </c>
      <c r="D147" s="60">
        <f t="shared" si="8"/>
        <v>42</v>
      </c>
      <c r="E147" s="51"/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303</v>
      </c>
      <c r="C148" s="50">
        <v>8</v>
      </c>
      <c r="D148" s="60">
        <f t="shared" si="8"/>
        <v>42</v>
      </c>
      <c r="E148" s="51"/>
      <c r="F148" s="51"/>
      <c r="G148" s="51"/>
      <c r="H148" s="51"/>
      <c r="I148" s="57">
        <f t="shared" si="7"/>
        <v>4.9000000000000004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305</v>
      </c>
      <c r="C149" s="50">
        <v>9</v>
      </c>
      <c r="D149" s="60">
        <f>20+19</f>
        <v>39</v>
      </c>
      <c r="E149" s="51"/>
      <c r="F149" s="51"/>
      <c r="G149" s="51"/>
      <c r="H149" s="51"/>
      <c r="I149" s="57">
        <f t="shared" si="7"/>
        <v>4.4000000000000004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268+17+18</f>
        <v>303</v>
      </c>
      <c r="C150" s="50">
        <v>10</v>
      </c>
      <c r="D150" s="60">
        <f>B150</f>
        <v>303</v>
      </c>
      <c r="E150" s="51"/>
      <c r="F150" s="51"/>
      <c r="G150" s="51"/>
      <c r="H150" s="51"/>
      <c r="I150" s="57">
        <f t="shared" si="7"/>
        <v>3.7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C162" s="23" t="s">
        <v>324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9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9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9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9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9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9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9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9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9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9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9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9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9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9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9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9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9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9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9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10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10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10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10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10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10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10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10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10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10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0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0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0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0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0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0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0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0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0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1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1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1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1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1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1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1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1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1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1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2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2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2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2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2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2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2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2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2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2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2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2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2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2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2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2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2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3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3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3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3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3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3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3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3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3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3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3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3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3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3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3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3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3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3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O22" sqref="O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6" t="s">
        <v>271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1.32</v>
      </c>
      <c r="C6" s="147">
        <f ca="1">IF(OR('Données projet'!B9="",'Données projet'!C9="",'Données projet'!C9=0%),0,Calculateur!S3)</f>
        <v>246.59447135626942</v>
      </c>
      <c r="D6" s="147">
        <f>IF(OR('Données projet'!B9="",'Données projet'!C9="",'Données projet'!C9=0%),0,Calculateur!T3)</f>
        <v>262.00382544285367</v>
      </c>
      <c r="E6" s="147">
        <f ca="1">MIN(C6,D6)</f>
        <v>246.59447135626942</v>
      </c>
      <c r="F6" s="147">
        <f ca="1">E6*B6</f>
        <v>325.50470219027568</v>
      </c>
      <c r="G6" s="147">
        <f ca="1">F6*(100%-'Données projet'!$C$24)*(100%-'Données projet'!$C$25)*(100%-'Données projet'!$C$26)*(100%-'Données projet'!$C$27)</f>
        <v>249.01109717556091</v>
      </c>
      <c r="H6" s="148">
        <f>IF(OR('Données projet'!B9="",'Données projet'!C9="",'Données projet'!C9=0%),0,AVERAGE(Calculateur!$AC$3:$AC$33)*B6)</f>
        <v>1.9016815652861354</v>
      </c>
      <c r="I6" s="149">
        <f>H6*(100%-'Données projet'!$C$24)*(100%-'Données projet'!$C$25)*(100%-'Données projet'!$C$26)*(100%-'Données projet'!$C$27)</f>
        <v>1.4547863974438935</v>
      </c>
      <c r="J6" s="150">
        <f>IF(OR('Données projet'!B9="",'Données projet'!C9="",'Données projet'!C9=0%),0,SUM(Calculateur!$V$3:$V$33)*VLOOKUP('Données projet'!$B$9,Paramètres!$A$1:$I$89,9,0)*B6)</f>
        <v>41.434800000000003</v>
      </c>
      <c r="K6" s="151">
        <f>J6*(100%-'Données projet'!$C$24)*(100%-'Données projet'!$C$25)*(100%-'Données projet'!$C$26)*(100%-'Données projet'!$C$27)</f>
        <v>31.697622000000003</v>
      </c>
      <c r="L6" s="152">
        <f ca="1">G6+I6+K6</f>
        <v>282.16350557300478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maritime</v>
      </c>
      <c r="B7" s="154">
        <f>'Données projet'!D10</f>
        <v>1.32</v>
      </c>
      <c r="C7" s="147">
        <f ca="1">IF(OR('Données projet'!B10="",'Données projet'!C10="",'Données projet'!C10=0%),0,Calculateur!AN3)</f>
        <v>195.73441209602686</v>
      </c>
      <c r="D7" s="147">
        <f>IF(OR('Données projet'!B10="",'Données projet'!C10="",'Données projet'!C10=0%),0,Calculateur!AO3)</f>
        <v>219.19129224309006</v>
      </c>
      <c r="E7" s="147">
        <f t="shared" ref="E7:E15" ca="1" si="0">MIN(C7,D7)</f>
        <v>195.73441209602686</v>
      </c>
      <c r="F7" s="147">
        <f t="shared" ref="F7:F15" ca="1" si="1">E7*B7</f>
        <v>258.36942396675545</v>
      </c>
      <c r="G7" s="147">
        <f ca="1">F7*(100%-'Données projet'!$C$24)*(100%-'Données projet'!$C$25)*(100%-'Données projet'!$C$26)*(100%-'Données projet'!$C$27)</f>
        <v>197.65260933456793</v>
      </c>
      <c r="H7" s="155">
        <f>IF(OR('Données projet'!B10="",'Données projet'!C10="",'Données projet'!C10=0%),0,AVERAGE(Calculateur!$AX$3:$AX$33)*B7)</f>
        <v>9.6110381721436138</v>
      </c>
      <c r="I7" s="149">
        <f>H7*(100%-'Données projet'!$C$24)*(100%-'Données projet'!$C$25)*(100%-'Données projet'!$C$26)*(100%-'Données projet'!$C$27)</f>
        <v>7.3524442016898641</v>
      </c>
      <c r="J7" s="150">
        <f>IF(OR('Données projet'!B10="",'Données projet'!C10="",'Données projet'!C10=0%),0,SUM(Calculateur!$AQ$3:$AQ$33)*VLOOKUP('Données projet'!$B$10,Paramètres!$A$1:$I$89,9,0)*B7)</f>
        <v>80.216399999999993</v>
      </c>
      <c r="K7" s="151">
        <f>J7*(100%-'Données projet'!$C$24)*(100%-'Données projet'!$C$25)*(100%-'Données projet'!$C$26)*(100%-'Données projet'!$C$27)</f>
        <v>61.365546000000002</v>
      </c>
      <c r="L7" s="152">
        <f t="shared" ref="L7:L15" ca="1" si="2">G7+I7+K7</f>
        <v>266.37059953625783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0.68</v>
      </c>
      <c r="C8" s="147">
        <f ca="1">IF(OR('Données projet'!B11="",'Données projet'!C11="",'Données projet'!C11=0%),0,Calculateur!BI3)</f>
        <v>269.19146943657933</v>
      </c>
      <c r="D8" s="147">
        <f>IF(OR('Données projet'!B11="",'Données projet'!C11="",'Données projet'!C11=0%),0,Calculateur!BJ3)</f>
        <v>185.94138814570965</v>
      </c>
      <c r="E8" s="147">
        <f t="shared" ca="1" si="0"/>
        <v>185.94138814570965</v>
      </c>
      <c r="F8" s="147">
        <f t="shared" ca="1" si="1"/>
        <v>126.44014393908257</v>
      </c>
      <c r="G8" s="147">
        <f ca="1">F8*(100%-'Données projet'!$C$24)*(100%-'Données projet'!$C$25)*(100%-'Données projet'!$C$26)*(100%-'Données projet'!$C$27)</f>
        <v>96.72671011339817</v>
      </c>
      <c r="H8" s="155">
        <f>IF(OR('Données projet'!B11="",'Données projet'!C11="",'Données projet'!C11=0%),0,AVERAGE(Calculateur!$BS$3:$BS$33)*B8)</f>
        <v>0.20389659671949895</v>
      </c>
      <c r="I8" s="149">
        <f>H8*(100%-'Données projet'!$C$24)*(100%-'Données projet'!$C$25)*(100%-'Données projet'!$C$26)*(100%-'Données projet'!$C$27)</f>
        <v>0.15598089649041669</v>
      </c>
      <c r="J8" s="150">
        <f>IF(OR('Données projet'!B11="",'Données projet'!C11="",'Données projet'!C11=0%),0,SUM(Calculateur!$BL$3:$BL$33)*VLOOKUP('Données projet'!$B$11,Paramètres!$A$1:$I$89,9,0)*B8)</f>
        <v>4.9300000000000006</v>
      </c>
      <c r="K8" s="151">
        <f>J8*(100%-'Données projet'!$C$24)*(100%-'Données projet'!$C$25)*(100%-'Données projet'!$C$26)*(100%-'Données projet'!$C$27)</f>
        <v>3.7714500000000002</v>
      </c>
      <c r="L8" s="152">
        <f t="shared" ca="1" si="2"/>
        <v>100.65414100988859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Cormier</v>
      </c>
      <c r="B9" s="154">
        <f>'Données projet'!D12</f>
        <v>0.24</v>
      </c>
      <c r="C9" s="147">
        <f ca="1">IF(OR('Données projet'!B12="",'Données projet'!C12="",'Données projet'!C12=0%),0,Calculateur!CD3)</f>
        <v>335.12015893291874</v>
      </c>
      <c r="D9" s="147">
        <f>IF(OR('Données projet'!B12="",'Données projet'!C12="",'Données projet'!C12=0%),0,Calculateur!CE3)</f>
        <v>224.76596283033166</v>
      </c>
      <c r="E9" s="147">
        <f t="shared" ca="1" si="0"/>
        <v>224.76596283033166</v>
      </c>
      <c r="F9" s="147">
        <f t="shared" ca="1" si="1"/>
        <v>53.943831079279597</v>
      </c>
      <c r="G9" s="147">
        <f ca="1">F9*(100%-'Données projet'!$C$24)*(100%-'Données projet'!$C$25)*(100%-'Données projet'!$C$26)*(100%-'Données projet'!$C$27)</f>
        <v>41.267030775648891</v>
      </c>
      <c r="H9" s="155">
        <f>IF(OR('Données projet'!B12="",'Données projet'!C12="",'Données projet'!C12=0%),0,AVERAGE(Calculateur!$CN$3:$CN$33)*B9)</f>
        <v>8.5611755620560406E-2</v>
      </c>
      <c r="I9" s="149">
        <f>H9*(100%-'Données projet'!$C$24)*(100%-'Données projet'!$C$25)*(100%-'Données projet'!$C$26)*(100%-'Données projet'!$C$27)</f>
        <v>6.5492993049728707E-2</v>
      </c>
      <c r="J9" s="150">
        <f>IF(OR('Données projet'!B12="",'Données projet'!C12="",'Données projet'!C12=0%),0,SUM(Calculateur!$CG$3:$CG$33)*VLOOKUP('Données projet'!$B$12,Paramètres!$A$1:$I$89,9,0)*B9)</f>
        <v>1.74</v>
      </c>
      <c r="K9" s="151">
        <f>J9*(100%-'Données projet'!$C$24)*(100%-'Données projet'!$C$25)*(100%-'Données projet'!$C$26)*(100%-'Données projet'!$C$27)</f>
        <v>1.3310999999999999</v>
      </c>
      <c r="L9" s="152">
        <f t="shared" ca="1" si="2"/>
        <v>42.663623768698621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Alisier torminal</v>
      </c>
      <c r="B10" s="154">
        <f>'Données projet'!D13</f>
        <v>0.24</v>
      </c>
      <c r="C10" s="147">
        <f ca="1">IF(OR('Données projet'!B13="",'Données projet'!C13="",'Données projet'!C13=0%),0,Calculateur!CY3)</f>
        <v>293.19327646293601</v>
      </c>
      <c r="D10" s="147">
        <f>IF(OR('Données projet'!B13="",'Données projet'!C13="",'Données projet'!C13=0%),0,Calculateur!CZ3)</f>
        <v>200.0769581869605</v>
      </c>
      <c r="E10" s="147">
        <f t="shared" ca="1" si="0"/>
        <v>200.0769581869605</v>
      </c>
      <c r="F10" s="147">
        <f t="shared" ca="1" si="1"/>
        <v>48.018469964870519</v>
      </c>
      <c r="G10" s="147">
        <f ca="1">F10*(100%-'Données projet'!$C$24)*(100%-'Données projet'!$C$25)*(100%-'Données projet'!$C$26)*(100%-'Données projet'!$C$27)</f>
        <v>36.734129523125951</v>
      </c>
      <c r="H10" s="155">
        <f>IF(OR('Données projet'!B13="",'Données projet'!C13="",'Données projet'!C13=0%),0,AVERAGE(Calculateur!$DI$3:$DI$33)*B10)</f>
        <v>7.6926505050358612E-2</v>
      </c>
      <c r="I10" s="149">
        <f>H10*(100%-'Données projet'!$C$24)*(100%-'Données projet'!$C$25)*(100%-'Données projet'!$C$26)*(100%-'Données projet'!$C$27)</f>
        <v>5.8848776363524341E-2</v>
      </c>
      <c r="J10" s="150">
        <f>IF(OR('Données projet'!B13="",'Données projet'!C13="",'Données projet'!C13=0%),0,SUM(Calculateur!$DB$3:$DB$33)*VLOOKUP('Données projet'!$B$13,Paramètres!$A$1:$I$89,9,0)*B10)</f>
        <v>1.74</v>
      </c>
      <c r="K10" s="151">
        <f>J10*(100%-'Données projet'!$C$24)*(100%-'Données projet'!$C$25)*(100%-'Données projet'!$C$26)*(100%-'Données projet'!$C$27)</f>
        <v>1.3310999999999999</v>
      </c>
      <c r="L10" s="152">
        <f t="shared" ca="1" si="2"/>
        <v>38.124078299489476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0.2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812.27657114026374</v>
      </c>
      <c r="G16" s="166">
        <f t="shared" ca="1" si="3"/>
        <v>621.39157692230185</v>
      </c>
      <c r="H16" s="167">
        <f t="shared" si="3"/>
        <v>11.879154594820168</v>
      </c>
      <c r="I16" s="167">
        <f t="shared" si="3"/>
        <v>9.0875532650374282</v>
      </c>
      <c r="J16" s="168">
        <f t="shared" si="3"/>
        <v>130.06120000000001</v>
      </c>
      <c r="K16" s="168">
        <f t="shared" si="3"/>
        <v>99.496818000000019</v>
      </c>
      <c r="L16" s="169">
        <f t="shared" ca="1" si="3"/>
        <v>729.97594818733921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73" t="s">
        <v>246</v>
      </c>
      <c r="G17" s="274"/>
      <c r="H17" s="274"/>
      <c r="I17" s="274"/>
      <c r="J17" s="274"/>
      <c r="K17" s="274"/>
      <c r="L17" s="27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5"/>
      <c r="G18" s="275"/>
      <c r="H18" s="275"/>
      <c r="I18" s="275"/>
      <c r="J18" s="275"/>
      <c r="K18" s="275"/>
      <c r="L18" s="27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9" sqref="G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6" t="s">
        <v>191</v>
      </c>
      <c r="C2" s="277"/>
      <c r="D2" s="277"/>
      <c r="E2" s="277"/>
      <c r="F2" s="277"/>
      <c r="G2" s="27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5"/>
      <c r="C4" s="275"/>
      <c r="D4" s="275"/>
      <c r="E4" s="275"/>
      <c r="F4" s="275"/>
      <c r="G4" s="27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2" t="s">
        <v>176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Pin laricio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Pin maritime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>Chêne sessile</v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>Cormier</v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>Alisier torminal</v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246.59447135626942</v>
      </c>
      <c r="T3" s="59">
        <f>IF('Données projet'!E9&gt;30,$R$33-$H$33,LOOKUP('Données projet'!$E$9,$A$3:$A$203,R3:R203)-LOOKUP('Données projet'!$E$9,$A$3:$A$203,$H$3:$H$203))</f>
        <v>262.00382544285367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195.73441209602686</v>
      </c>
      <c r="AO3" s="59">
        <f>IF('Données projet'!E10&gt;30,$AM$33-$H$33,LOOKUP('Données projet'!$E$10,$A$3:$A$203,AM3:AM203)-LOOKUP('Données projet'!$E$10,$A$3:$A$203,$H$3:$H$203))</f>
        <v>219.19129224309006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269.19146943657933</v>
      </c>
      <c r="BJ3" s="59">
        <f>IF('Données projet'!E11&gt;30,$BH$33-$H$33,LOOKUP('Données projet'!$E$11,$A$3:$A$203,BH3:BH203)-LOOKUP('Données projet'!$E$11,$A$3:$A$203,$H$3:$H$203))</f>
        <v>185.94138814570965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335.12015893291874</v>
      </c>
      <c r="CE3" s="59">
        <f>IF('Données projet'!E12&gt;30,$CC$33-$H$33,LOOKUP('Données projet'!$E$12,$A$3:$A$203,CC3:CC203)-LOOKUP('Données projet'!$E$12,$A$3:$A$203,$H$3:$H$203))</f>
        <v>224.76596283033166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293.19327646293601</v>
      </c>
      <c r="CZ3" s="59">
        <f>IF('Données projet'!E13&gt;30,$CX$33-$H$33,LOOKUP('Données projet'!$E$13,$A$3:$A$203,CX3:CX203)-LOOKUP('Données projet'!$E$13,$A$3:$A$203,$H$3:$H$203))</f>
        <v>200.0769581869605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4.55</v>
      </c>
      <c r="N4" s="13">
        <f>IF('Données projet'!$A$36&gt;35,N3+M4-V3,IF(A4&lt;'Données projet'!$A$36,$K$205^A4,IF(A4='Données projet'!$A$36,'Données projet'!$B$36,N3+M4-V3)))</f>
        <v>1.2530028811664373</v>
      </c>
      <c r="O4" s="13">
        <f>N4*VLOOKUP('Données projet'!$B$9,Paramètres!$A$1:$I$89,3,0)*VLOOKUP('Données projet'!$B$9,Paramètres!$A$1:$I$89,5,0)</f>
        <v>0.74929572293752955</v>
      </c>
      <c r="P4" s="13">
        <f>EXP(-1.0587+0.8836*LN(O4)+0.284)</f>
        <v>0.35710479340754359</v>
      </c>
      <c r="Q4" s="20">
        <f t="shared" ref="Q4:Q34" si="2">(O4+P4)*0.475*44/12</f>
        <v>1.9269808993010022</v>
      </c>
      <c r="R4" s="59">
        <f t="shared" si="0"/>
        <v>259.81586978818984</v>
      </c>
      <c r="S4" s="59">
        <f ca="1">AVERAGE(OFFSET($R$3,0,0,'Données projet'!$E$9+1,1))-AVERAGE(OFFSET($H$3,0,0,'Données projet'!$E$9+1,1))</f>
        <v>246.59447135626942</v>
      </c>
      <c r="T4" s="59">
        <f>$T$3</f>
        <v>262.00382544285367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</v>
      </c>
      <c r="AI4" s="13">
        <f>IF('Données projet'!$A$62&gt;35,AI3+AH4-AQ3,IF(A4&lt;'Données projet'!$A$62,$AF$205^A4,IF(A4='Données projet'!$A$62,'Données projet'!$B$62,AI3+AH4-AQ3)))</f>
        <v>1.3480061545972777</v>
      </c>
      <c r="AJ4" s="13">
        <f>AI4*VLOOKUP('Données projet'!$B$10,Paramètres!$A$1:$I$89,3,0)*VLOOKUP('Données projet'!$B$10,Paramètres!$A$1:$I$89,5,0)</f>
        <v>0.80610768044917203</v>
      </c>
      <c r="AK4" s="13">
        <f>EXP(-1.0587+0.8836*LN(AJ4)+0.284)</f>
        <v>0.38092631183578585</v>
      </c>
      <c r="AL4" s="20">
        <f t="shared" ref="AL4:AL67" si="4">(AJ4+AK4)*0.475*44/12</f>
        <v>2.0674175365629677</v>
      </c>
      <c r="AM4" s="59">
        <f t="shared" ref="AM4:AM67" si="5">AL4+(AD4+AE4)*44/12</f>
        <v>259.95630642545183</v>
      </c>
      <c r="AN4" s="59">
        <f ca="1">AVERAGE(OFFSET($AM$3,0,0,'Données projet'!$E$10+1,1))-AVERAGE(OFFSET($H$3,0,0,'Données projet'!$E$10+1,1))</f>
        <v>195.73441209602686</v>
      </c>
      <c r="AO4" s="59">
        <f>$AO$3</f>
        <v>219.19129224309006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1.0907244698905405</v>
      </c>
      <c r="BF4" s="13">
        <f>EXP(-1.0587+0.8836*LN(BE4)+0.284)</f>
        <v>0.49759623852608204</v>
      </c>
      <c r="BG4" s="20">
        <f t="shared" ref="BG4:BG67" si="7">(BE4+BF4)*0.475*44/12</f>
        <v>2.7663252338256172</v>
      </c>
      <c r="BH4" s="59">
        <f t="shared" ref="BH4:BH67" si="8">BG4+(AY4+AZ4)*44/12</f>
        <v>260.65521412271448</v>
      </c>
      <c r="BI4" s="59">
        <f ca="1">AVERAGE(OFFSET($BH$3,0,0,'Données projet'!$E$11+1,1))-AVERAGE(OFFSET($H$3,0,0,'Données projet'!$E$11+1,1))</f>
        <v>269.19146943657933</v>
      </c>
      <c r="BJ4" s="59">
        <f>$BJ$3</f>
        <v>185.94138814570965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1.2975860072835741</v>
      </c>
      <c r="CA4" s="13">
        <f>EXP(-1.0587+0.8836*LN(BZ4)+0.284)</f>
        <v>0.58012177912374829</v>
      </c>
      <c r="CB4" s="20">
        <f t="shared" ref="CB4:CB67" si="10">(BZ4+CA4)*0.475*44/12</f>
        <v>3.2703410613260862</v>
      </c>
      <c r="CC4" s="59">
        <f t="shared" ref="CC4:CC67" si="11">CB4+(BT4+BU4)*44/12</f>
        <v>261.15922995021492</v>
      </c>
      <c r="CD4" s="59">
        <f ca="1">AVERAGE(OFFSET($CC$3,0,0,'Données projet'!$E$12+1,1))-AVERAGE(OFFSET($H$3,0,0,'Données projet'!$E$12+1,1))</f>
        <v>335.12015893291874</v>
      </c>
      <c r="CE4" s="59">
        <f>$CE$3</f>
        <v>224.76596283033166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1.165946847124371</v>
      </c>
      <c r="CV4" s="13">
        <f>EXP(-1.0587+0.8836*LN(CU4)+0.284)</f>
        <v>0.52780002987456354</v>
      </c>
      <c r="CW4" s="20">
        <f t="shared" ref="CW4:CW67" si="13">(CU4+CV4)*0.475*44/12</f>
        <v>2.9499424774398109</v>
      </c>
      <c r="CX4" s="59">
        <f t="shared" ref="CX4:CX67" si="14">CW4+(CO4+CP4)*44/12</f>
        <v>260.83883136632869</v>
      </c>
      <c r="CY4" s="59">
        <f ca="1">AVERAGE(OFFSET($CX$3,0,0,'Données projet'!$E$13+1,1))-AVERAGE(OFFSET($H$3,0,0,'Données projet'!$E$13+1,1))</f>
        <v>293.19327646293601</v>
      </c>
      <c r="CZ4" s="59">
        <f>$CZ$3</f>
        <v>200.0769581869605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4.55</v>
      </c>
      <c r="N5" s="13">
        <f>IF('Données projet'!$A$36&gt;35,N4+M5-V4,IF(A5&lt;'Données projet'!$A$36,$K$205^A5,IF(A5='Données projet'!$A$36,'Données projet'!$B$36,N4+M5-V4)))</f>
        <v>1.570016220211393</v>
      </c>
      <c r="O5" s="13">
        <f>N5*VLOOKUP('Données projet'!$B$9,Paramètres!$A$1:$I$89,3,0)*VLOOKUP('Données projet'!$B$9,Paramètres!$A$1:$I$89,5,0)</f>
        <v>0.9388696996864131</v>
      </c>
      <c r="P5" s="13">
        <f t="shared" ref="P5:P68" si="33">EXP(-1.0587+0.8836*LN(O5)+0.284)</f>
        <v>0.43585911075604999</v>
      </c>
      <c r="Q5" s="20">
        <f t="shared" si="2"/>
        <v>2.3943193448539568</v>
      </c>
      <c r="R5" s="59">
        <f t="shared" si="0"/>
        <v>261.5054304559651</v>
      </c>
      <c r="S5" s="59">
        <f ca="1">AVERAGE(OFFSET($R$3,0,0,'Données projet'!$E$9+1,1))-AVERAGE(OFFSET($H$3,0,0,'Données projet'!$E$9+1,1))</f>
        <v>246.59447135626942</v>
      </c>
      <c r="T5" s="59">
        <f t="shared" ref="T5:T68" si="34">$T$3</f>
        <v>262.00382544285367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</v>
      </c>
      <c r="AI5" s="13">
        <f>IF('Données projet'!$A$62&gt;35,AI4+AH5-AQ4,IF(A5&lt;'Données projet'!$A$62,$AF$205^A5,IF(A5='Données projet'!$A$62,'Données projet'!$B$62,AI4+AH5-AQ4)))</f>
        <v>1.8171205928321397</v>
      </c>
      <c r="AJ5" s="13">
        <f>AI5*VLOOKUP('Données projet'!$B$10,Paramètres!$A$1:$I$89,3,0)*VLOOKUP('Données projet'!$B$10,Paramètres!$A$1:$I$89,5,0)</f>
        <v>1.0866381145136197</v>
      </c>
      <c r="AK5" s="13">
        <f t="shared" ref="AK5:AK68" si="35">EXP(-1.0587+0.8836*LN(AJ5)+0.284)</f>
        <v>0.49594865026181029</v>
      </c>
      <c r="AL5" s="20">
        <f t="shared" si="4"/>
        <v>2.7563386153172069</v>
      </c>
      <c r="AM5" s="59">
        <f t="shared" si="5"/>
        <v>261.86744972642833</v>
      </c>
      <c r="AN5" s="59">
        <f ca="1">AVERAGE(OFFSET($AM$3,0,0,'Données projet'!$E$10+1,1))-AVERAGE(OFFSET($H$3,0,0,'Données projet'!$E$10+1,1))</f>
        <v>195.73441209602686</v>
      </c>
      <c r="AO5" s="59">
        <f t="shared" ref="AO5:AO68" si="36">$AO$3</f>
        <v>219.19129224309006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1.3148539668633961</v>
      </c>
      <c r="BF5" s="13">
        <f t="shared" ref="BF5:BF68" si="37">EXP(-1.0587+0.8836*LN(BE5)+0.284)</f>
        <v>0.58693801963664449</v>
      </c>
      <c r="BG5" s="20">
        <f t="shared" si="7"/>
        <v>3.3122877098209038</v>
      </c>
      <c r="BH5" s="59">
        <f t="shared" si="8"/>
        <v>262.42339882093205</v>
      </c>
      <c r="BI5" s="59">
        <f ca="1">AVERAGE(OFFSET($BH$3,0,0,'Données projet'!$E$11+1,1))-AVERAGE(OFFSET($H$3,0,0,'Données projet'!$E$11+1,1))</f>
        <v>269.19146943657933</v>
      </c>
      <c r="BJ5" s="59">
        <f t="shared" ref="BJ5:BJ68" si="38">$BJ$3</f>
        <v>185.94138814570965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1.5642228226478332</v>
      </c>
      <c r="CA5" s="13">
        <f t="shared" ref="CA5:CA68" si="39">EXP(-1.0587+0.8836*LN(BZ5)+0.284)</f>
        <v>0.68428075179095682</v>
      </c>
      <c r="CB5" s="20">
        <f t="shared" si="10"/>
        <v>3.9161437254808931</v>
      </c>
      <c r="CC5" s="59">
        <f t="shared" si="11"/>
        <v>263.02725483659202</v>
      </c>
      <c r="CD5" s="59">
        <f ca="1">AVERAGE(OFFSET($CC$3,0,0,'Données projet'!$E$12+1,1))-AVERAGE(OFFSET($H$3,0,0,'Données projet'!$E$12+1,1))</f>
        <v>335.12015893291874</v>
      </c>
      <c r="CE5" s="59">
        <f t="shared" ref="CE5:CE68" si="40">$CE$3</f>
        <v>224.76596283033166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1.4055335507850097</v>
      </c>
      <c r="CV5" s="13">
        <f t="shared" ref="CV5:CV68" si="41">EXP(-1.0587+0.8836*LN(CU5)+0.284)</f>
        <v>0.62256480317525631</v>
      </c>
      <c r="CW5" s="20">
        <f t="shared" si="13"/>
        <v>3.5322712998141292</v>
      </c>
      <c r="CX5" s="59">
        <f t="shared" si="14"/>
        <v>262.64338241092526</v>
      </c>
      <c r="CY5" s="59">
        <f ca="1">AVERAGE(OFFSET($CX$3,0,0,'Données projet'!$E$13+1,1))-AVERAGE(OFFSET($H$3,0,0,'Données projet'!$E$13+1,1))</f>
        <v>293.19327646293601</v>
      </c>
      <c r="CZ5" s="59">
        <f t="shared" ref="CZ5:CZ68" si="42">$CZ$3</f>
        <v>200.0769581869605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4.55</v>
      </c>
      <c r="N6" s="13">
        <f>IF('Données projet'!$A$36&gt;35,N5+M6-V5,IF(A6&lt;'Données projet'!$A$36,$K$205^A6,IF(A6='Données projet'!$A$36,'Données projet'!$B$36,N5+M6-V5)))</f>
        <v>1.9672348474029151</v>
      </c>
      <c r="O6" s="13">
        <f>N6*VLOOKUP('Données projet'!$B$9,Paramètres!$A$1:$I$89,3,0)*VLOOKUP('Données projet'!$B$9,Paramètres!$A$1:$I$89,5,0)</f>
        <v>1.1764064387469433</v>
      </c>
      <c r="P6" s="13">
        <f t="shared" si="33"/>
        <v>0.53198155817597481</v>
      </c>
      <c r="Q6" s="20">
        <f t="shared" si="2"/>
        <v>2.9754424279740825</v>
      </c>
      <c r="R6" s="59">
        <f t="shared" si="0"/>
        <v>263.3087757613074</v>
      </c>
      <c r="S6" s="59">
        <f ca="1">AVERAGE(OFFSET($R$3,0,0,'Données projet'!$E$9+1,1))-AVERAGE(OFFSET($H$3,0,0,'Données projet'!$E$9+1,1))</f>
        <v>246.59447135626942</v>
      </c>
      <c r="T6" s="59">
        <f t="shared" si="34"/>
        <v>262.00382544285367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</v>
      </c>
      <c r="AI6" s="13">
        <f>IF('Données projet'!$A$62&gt;35,AI5+AH6-AQ5,IF(A6&lt;'Données projet'!$A$62,$AF$205^A6,IF(A6='Données projet'!$A$62,'Données projet'!$B$62,AI5+AH6-AQ5)))</f>
        <v>2.4494897427831783</v>
      </c>
      <c r="AJ6" s="13">
        <f>AI6*VLOOKUP('Données projet'!$B$10,Paramètres!$A$1:$I$89,3,0)*VLOOKUP('Données projet'!$B$10,Paramètres!$A$1:$I$89,5,0)</f>
        <v>1.4647948661843406</v>
      </c>
      <c r="AK6" s="13">
        <f t="shared" si="35"/>
        <v>0.64570247854798968</v>
      </c>
      <c r="AL6" s="20">
        <f t="shared" si="4"/>
        <v>3.6757828754088084</v>
      </c>
      <c r="AM6" s="59">
        <f t="shared" si="5"/>
        <v>264.00911620874211</v>
      </c>
      <c r="AN6" s="59">
        <f ca="1">AVERAGE(OFFSET($AM$3,0,0,'Données projet'!$E$10+1,1))-AVERAGE(OFFSET($H$3,0,0,'Données projet'!$E$10+1,1))</f>
        <v>195.73441209602686</v>
      </c>
      <c r="AO6" s="59">
        <f t="shared" si="36"/>
        <v>219.19129224309006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1.5850391202371266</v>
      </c>
      <c r="BF6" s="13">
        <f t="shared" si="37"/>
        <v>0.69232082604846479</v>
      </c>
      <c r="BG6" s="20">
        <f t="shared" si="7"/>
        <v>3.966401906447405</v>
      </c>
      <c r="BH6" s="59">
        <f t="shared" si="8"/>
        <v>264.29973523978072</v>
      </c>
      <c r="BI6" s="59">
        <f ca="1">AVERAGE(OFFSET($BH$3,0,0,'Données projet'!$E$11+1,1))-AVERAGE(OFFSET($H$3,0,0,'Données projet'!$E$11+1,1))</f>
        <v>269.19146943657933</v>
      </c>
      <c r="BJ6" s="59">
        <f t="shared" si="38"/>
        <v>185.94138814570965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1.885649987868306</v>
      </c>
      <c r="CA6" s="13">
        <f t="shared" si="39"/>
        <v>0.8071411281590839</v>
      </c>
      <c r="CB6" s="20">
        <f t="shared" si="10"/>
        <v>4.6899445270810372</v>
      </c>
      <c r="CC6" s="59">
        <f t="shared" si="11"/>
        <v>265.02327786041434</v>
      </c>
      <c r="CD6" s="59">
        <f ca="1">AVERAGE(OFFSET($CC$3,0,0,'Données projet'!$E$12+1,1))-AVERAGE(OFFSET($H$3,0,0,'Données projet'!$E$12+1,1))</f>
        <v>335.12015893291874</v>
      </c>
      <c r="CE6" s="59">
        <f t="shared" si="40"/>
        <v>224.76596283033166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1.694352163012101</v>
      </c>
      <c r="CV6" s="13">
        <f t="shared" si="41"/>
        <v>0.73434428233124405</v>
      </c>
      <c r="CW6" s="20">
        <f t="shared" si="13"/>
        <v>4.2299796423063247</v>
      </c>
      <c r="CX6" s="59">
        <f t="shared" si="14"/>
        <v>264.56331297563963</v>
      </c>
      <c r="CY6" s="59">
        <f ca="1">AVERAGE(OFFSET($CX$3,0,0,'Données projet'!$E$13+1,1))-AVERAGE(OFFSET($H$3,0,0,'Données projet'!$E$13+1,1))</f>
        <v>293.19327646293601</v>
      </c>
      <c r="CZ6" s="59">
        <f t="shared" si="42"/>
        <v>200.0769581869605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4.55</v>
      </c>
      <c r="N7" s="13">
        <f>IF('Données projet'!$A$36&gt;35,N6+M7-V6,IF(A7&lt;'Données projet'!$A$36,$K$205^A7,IF(A7='Données projet'!$A$36,'Données projet'!$B$36,N6+M7-V6)))</f>
        <v>2.4649509317268694</v>
      </c>
      <c r="O7" s="13">
        <f>N7*VLOOKUP('Données projet'!$B$9,Paramètres!$A$1:$I$89,3,0)*VLOOKUP('Données projet'!$B$9,Paramètres!$A$1:$I$89,5,0)</f>
        <v>1.4740406571726681</v>
      </c>
      <c r="P7" s="13">
        <f t="shared" si="33"/>
        <v>0.64930242653052039</v>
      </c>
      <c r="Q7" s="20">
        <f t="shared" si="2"/>
        <v>3.6981558707830531</v>
      </c>
      <c r="R7" s="59">
        <f t="shared" si="0"/>
        <v>265.25371142633861</v>
      </c>
      <c r="S7" s="59">
        <f ca="1">AVERAGE(OFFSET($R$3,0,0,'Données projet'!$E$9+1,1))-AVERAGE(OFFSET($H$3,0,0,'Données projet'!$E$9+1,1))</f>
        <v>246.59447135626942</v>
      </c>
      <c r="T7" s="59">
        <f t="shared" si="34"/>
        <v>262.00382544285367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</v>
      </c>
      <c r="AI7" s="13">
        <f>IF('Données projet'!$A$62&gt;35,AI6+AH7-AQ6,IF(A7&lt;'Données projet'!$A$62,$AF$205^A7,IF(A7='Données projet'!$A$62,'Données projet'!$B$62,AI6+AH7-AQ6)))</f>
        <v>3.3019272488946267</v>
      </c>
      <c r="AJ7" s="13">
        <f>AI7*VLOOKUP('Données projet'!$B$10,Paramètres!$A$1:$I$89,3,0)*VLOOKUP('Données projet'!$B$10,Paramètres!$A$1:$I$89,5,0)</f>
        <v>1.974552494838987</v>
      </c>
      <c r="AK7" s="13">
        <f t="shared" si="35"/>
        <v>0.84067511945625772</v>
      </c>
      <c r="AL7" s="20">
        <f t="shared" si="4"/>
        <v>4.9031880948975504</v>
      </c>
      <c r="AM7" s="59">
        <f t="shared" si="5"/>
        <v>266.45874365045307</v>
      </c>
      <c r="AN7" s="59">
        <f ca="1">AVERAGE(OFFSET($AM$3,0,0,'Données projet'!$E$10+1,1))-AVERAGE(OFFSET($H$3,0,0,'Données projet'!$E$10+1,1))</f>
        <v>195.73441209602686</v>
      </c>
      <c r="AO7" s="59">
        <f t="shared" si="36"/>
        <v>219.19129224309006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1.9107437601419195</v>
      </c>
      <c r="BF7" s="13">
        <f t="shared" si="37"/>
        <v>0.81662477151702284</v>
      </c>
      <c r="BG7" s="20">
        <f t="shared" si="7"/>
        <v>4.7501668593059909</v>
      </c>
      <c r="BH7" s="59">
        <f t="shared" si="8"/>
        <v>266.30572241486152</v>
      </c>
      <c r="BI7" s="59">
        <f ca="1">AVERAGE(OFFSET($BH$3,0,0,'Données projet'!$E$11+1,1))-AVERAGE(OFFSET($H$3,0,0,'Données projet'!$E$11+1,1))</f>
        <v>269.19146943657933</v>
      </c>
      <c r="BJ7" s="59">
        <f t="shared" si="38"/>
        <v>185.94138814570965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2.2731261974102144</v>
      </c>
      <c r="CA7" s="13">
        <f t="shared" si="39"/>
        <v>0.95206068424520052</v>
      </c>
      <c r="CB7" s="20">
        <f t="shared" si="10"/>
        <v>5.617200485549847</v>
      </c>
      <c r="CC7" s="59">
        <f t="shared" si="11"/>
        <v>267.1727560411054</v>
      </c>
      <c r="CD7" s="59">
        <f ca="1">AVERAGE(OFFSET($CC$3,0,0,'Données projet'!$E$12+1,1))-AVERAGE(OFFSET($H$3,0,0,'Données projet'!$E$12+1,1))</f>
        <v>335.12015893291874</v>
      </c>
      <c r="CE7" s="59">
        <f t="shared" si="40"/>
        <v>224.76596283033166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2.042519191875845</v>
      </c>
      <c r="CV7" s="13">
        <f t="shared" si="41"/>
        <v>0.86619340226463792</v>
      </c>
      <c r="CW7" s="20">
        <f t="shared" si="13"/>
        <v>5.0660077681280073</v>
      </c>
      <c r="CX7" s="59">
        <f t="shared" si="14"/>
        <v>266.62156332368357</v>
      </c>
      <c r="CY7" s="59">
        <f ca="1">AVERAGE(OFFSET($CX$3,0,0,'Données projet'!$E$13+1,1))-AVERAGE(OFFSET($H$3,0,0,'Données projet'!$E$13+1,1))</f>
        <v>293.19327646293601</v>
      </c>
      <c r="CZ7" s="59">
        <f t="shared" si="42"/>
        <v>200.0769581869605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4.55</v>
      </c>
      <c r="N8" s="13">
        <f>IF('Données projet'!$A$36&gt;35,N7+M8-V7,IF(A8&lt;'Données projet'!$A$36,$K$205^A8,IF(A8='Données projet'!$A$36,'Données projet'!$B$36,N7+M8-V7)))</f>
        <v>3.0885906193876616</v>
      </c>
      <c r="O8" s="13">
        <f>N8*VLOOKUP('Données projet'!$B$9,Paramètres!$A$1:$I$89,3,0)*VLOOKUP('Données projet'!$B$9,Paramètres!$A$1:$I$89,5,0)</f>
        <v>1.8469771903938217</v>
      </c>
      <c r="P8" s="13">
        <f t="shared" si="33"/>
        <v>0.79249672214945899</v>
      </c>
      <c r="Q8" s="20">
        <f t="shared" si="2"/>
        <v>4.59708373101288</v>
      </c>
      <c r="R8" s="59">
        <f t="shared" si="0"/>
        <v>267.37486150879067</v>
      </c>
      <c r="S8" s="59">
        <f ca="1">AVERAGE(OFFSET($R$3,0,0,'Données projet'!$E$9+1,1))-AVERAGE(OFFSET($H$3,0,0,'Données projet'!$E$9+1,1))</f>
        <v>246.59447135626942</v>
      </c>
      <c r="T8" s="59">
        <f t="shared" si="34"/>
        <v>262.00382544285367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</v>
      </c>
      <c r="AI8" s="13">
        <f>IF('Données projet'!$A$62&gt;35,AI7+AH8-AQ7,IF(A8&lt;'Données projet'!$A$62,$AF$205^A8,IF(A8='Données projet'!$A$62,'Données projet'!$B$62,AI7+AH8-AQ7)))</f>
        <v>4.4510182535424141</v>
      </c>
      <c r="AJ8" s="13">
        <f>AI8*VLOOKUP('Données projet'!$B$10,Paramètres!$A$1:$I$89,3,0)*VLOOKUP('Données projet'!$B$10,Paramètres!$A$1:$I$89,5,0)</f>
        <v>2.6617089156183638</v>
      </c>
      <c r="AK8" s="13">
        <f t="shared" si="35"/>
        <v>1.0945205879680817</v>
      </c>
      <c r="AL8" s="20">
        <f t="shared" si="4"/>
        <v>6.5420997187463925</v>
      </c>
      <c r="AM8" s="59">
        <f t="shared" si="5"/>
        <v>269.31987749652416</v>
      </c>
      <c r="AN8" s="59">
        <f ca="1">AVERAGE(OFFSET($AM$3,0,0,'Données projet'!$E$10+1,1))-AVERAGE(OFFSET($H$3,0,0,'Données projet'!$E$10+1,1))</f>
        <v>195.73441209602686</v>
      </c>
      <c r="AO8" s="59">
        <f t="shared" si="36"/>
        <v>219.19129224309006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2.3033764090157529</v>
      </c>
      <c r="BF8" s="13">
        <f t="shared" si="37"/>
        <v>0.96324708482559218</v>
      </c>
      <c r="BG8" s="20">
        <f t="shared" si="7"/>
        <v>5.6893692517736758</v>
      </c>
      <c r="BH8" s="59">
        <f t="shared" si="8"/>
        <v>268.46714702955143</v>
      </c>
      <c r="BI8" s="59">
        <f ca="1">AVERAGE(OFFSET($BH$3,0,0,'Données projet'!$E$11+1,1))-AVERAGE(OFFSET($H$3,0,0,'Données projet'!$E$11+1,1))</f>
        <v>269.19146943657933</v>
      </c>
      <c r="BJ8" s="59">
        <f t="shared" si="38"/>
        <v>185.94138814570965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2.740223659001499</v>
      </c>
      <c r="CA8" s="13">
        <f t="shared" si="39"/>
        <v>1.1230000737947632</v>
      </c>
      <c r="CB8" s="20">
        <f t="shared" si="10"/>
        <v>6.7284480012868242</v>
      </c>
      <c r="CC8" s="59">
        <f t="shared" si="11"/>
        <v>269.50622577906461</v>
      </c>
      <c r="CD8" s="59">
        <f ca="1">AVERAGE(OFFSET($CC$3,0,0,'Données projet'!$E$12+1,1))-AVERAGE(OFFSET($H$3,0,0,'Données projet'!$E$12+1,1))</f>
        <v>335.12015893291874</v>
      </c>
      <c r="CE8" s="59">
        <f t="shared" si="40"/>
        <v>224.76596283033166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2.4622299544651152</v>
      </c>
      <c r="CV8" s="13">
        <f t="shared" si="41"/>
        <v>1.021715601495419</v>
      </c>
      <c r="CW8" s="20">
        <f t="shared" si="13"/>
        <v>6.0678718432979295</v>
      </c>
      <c r="CX8" s="59">
        <f t="shared" si="14"/>
        <v>268.84564962107572</v>
      </c>
      <c r="CY8" s="59">
        <f ca="1">AVERAGE(OFFSET($CX$3,0,0,'Données projet'!$E$13+1,1))-AVERAGE(OFFSET($H$3,0,0,'Données projet'!$E$13+1,1))</f>
        <v>293.19327646293601</v>
      </c>
      <c r="CZ8" s="59">
        <f t="shared" si="42"/>
        <v>200.0769581869605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4.55</v>
      </c>
      <c r="N9" s="13">
        <f>IF('Données projet'!$A$36&gt;35,N8+M9-V8,IF(A9&lt;'Données projet'!$A$36,$K$205^A9,IF(A9='Données projet'!$A$36,'Données projet'!$B$36,N8+M9-V8)))</f>
        <v>3.8700129448363709</v>
      </c>
      <c r="O9" s="13">
        <f>N9*VLOOKUP('Données projet'!$B$9,Paramètres!$A$1:$I$89,3,0)*VLOOKUP('Données projet'!$B$9,Paramètres!$A$1:$I$89,5,0)</f>
        <v>2.3142677410121499</v>
      </c>
      <c r="P9" s="13">
        <f t="shared" si="33"/>
        <v>0.96727045665540168</v>
      </c>
      <c r="Q9" s="20">
        <f t="shared" si="2"/>
        <v>5.7153456942709857</v>
      </c>
      <c r="R9" s="59">
        <f t="shared" si="0"/>
        <v>269.71534569427098</v>
      </c>
      <c r="S9" s="59">
        <f ca="1">AVERAGE(OFFSET($R$3,0,0,'Données projet'!$E$9+1,1))-AVERAGE(OFFSET($H$3,0,0,'Données projet'!$E$9+1,1))</f>
        <v>246.59447135626942</v>
      </c>
      <c r="T9" s="59">
        <f t="shared" si="34"/>
        <v>262.00382544285367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</v>
      </c>
      <c r="AI9" s="13">
        <f>IF('Données projet'!$A$62&gt;35,AI8+AH9-AQ8,IF(A9&lt;'Données projet'!$A$62,$AF$205^A9,IF(A9='Données projet'!$A$62,'Données projet'!$B$62,AI8+AH9-AQ8)))</f>
        <v>6</v>
      </c>
      <c r="AJ9" s="13">
        <f>AI9*VLOOKUP('Données projet'!$B$10,Paramètres!$A$1:$I$89,3,0)*VLOOKUP('Données projet'!$B$10,Paramètres!$A$1:$I$89,5,0)</f>
        <v>3.5880000000000005</v>
      </c>
      <c r="AK9" s="13">
        <f t="shared" si="35"/>
        <v>1.4250157876217819</v>
      </c>
      <c r="AL9" s="20">
        <f t="shared" si="4"/>
        <v>8.7310024967746021</v>
      </c>
      <c r="AM9" s="59">
        <f t="shared" si="5"/>
        <v>272.73100249677458</v>
      </c>
      <c r="AN9" s="59">
        <f ca="1">AVERAGE(OFFSET($AM$3,0,0,'Données projet'!$E$10+1,1))-AVERAGE(OFFSET($H$3,0,0,'Données projet'!$E$10+1,1))</f>
        <v>195.73441209602686</v>
      </c>
      <c r="AO9" s="59">
        <f t="shared" si="36"/>
        <v>219.19129224309006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2.7766898902321886</v>
      </c>
      <c r="BF9" s="13">
        <f t="shared" si="37"/>
        <v>1.1361949561012803</v>
      </c>
      <c r="BG9" s="20">
        <f t="shared" si="7"/>
        <v>6.8149411073641248</v>
      </c>
      <c r="BH9" s="59">
        <f t="shared" si="8"/>
        <v>270.81494110736412</v>
      </c>
      <c r="BI9" s="59">
        <f ca="1">AVERAGE(OFFSET($BH$3,0,0,'Données projet'!$E$11+1,1))-AVERAGE(OFFSET($H$3,0,0,'Données projet'!$E$11+1,1))</f>
        <v>269.19146943657933</v>
      </c>
      <c r="BJ9" s="59">
        <f t="shared" si="38"/>
        <v>185.94138814570965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3.3033034901038101</v>
      </c>
      <c r="CA9" s="13">
        <f t="shared" si="39"/>
        <v>1.3246310730107231</v>
      </c>
      <c r="CB9" s="20">
        <f t="shared" si="10"/>
        <v>8.0603193640911446</v>
      </c>
      <c r="CC9" s="59">
        <f t="shared" si="11"/>
        <v>272.06031936409113</v>
      </c>
      <c r="CD9" s="59">
        <f ca="1">AVERAGE(OFFSET($CC$3,0,0,'Données projet'!$E$12+1,1))-AVERAGE(OFFSET($H$3,0,0,'Données projet'!$E$12+1,1))</f>
        <v>335.12015893291874</v>
      </c>
      <c r="CE9" s="59">
        <f t="shared" si="40"/>
        <v>224.76596283033166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2.9681857447309605</v>
      </c>
      <c r="CV9" s="13">
        <f t="shared" si="41"/>
        <v>1.2051613041728233</v>
      </c>
      <c r="CW9" s="20">
        <f t="shared" si="13"/>
        <v>7.2685794435074236</v>
      </c>
      <c r="CX9" s="59">
        <f t="shared" si="14"/>
        <v>271.26857944350741</v>
      </c>
      <c r="CY9" s="59">
        <f ca="1">AVERAGE(OFFSET($CX$3,0,0,'Données projet'!$E$13+1,1))-AVERAGE(OFFSET($H$3,0,0,'Données projet'!$E$13+1,1))</f>
        <v>293.19327646293601</v>
      </c>
      <c r="CZ9" s="59">
        <f t="shared" si="42"/>
        <v>200.0769581869605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4.55</v>
      </c>
      <c r="N10" s="13">
        <f>IF('Données projet'!$A$36&gt;35,N9+M10-V9,IF(A10&lt;'Données projet'!$A$36,$K$205^A10,IF(A10='Données projet'!$A$36,'Données projet'!$B$36,N9+M10-V9)))</f>
        <v>4.8491373700313813</v>
      </c>
      <c r="O10" s="13">
        <f>N10*VLOOKUP('Données projet'!$B$9,Paramètres!$A$1:$I$89,3,0)*VLOOKUP('Données projet'!$B$9,Paramètres!$A$1:$I$89,5,0)</f>
        <v>2.8997841472787664</v>
      </c>
      <c r="P10" s="13">
        <f t="shared" si="33"/>
        <v>1.1805880203273573</v>
      </c>
      <c r="Q10" s="20">
        <f t="shared" si="2"/>
        <v>7.1066481919139983</v>
      </c>
      <c r="R10" s="59">
        <f t="shared" si="0"/>
        <v>272.32887041413625</v>
      </c>
      <c r="S10" s="59">
        <f ca="1">AVERAGE(OFFSET($R$3,0,0,'Données projet'!$E$9+1,1))-AVERAGE(OFFSET($H$3,0,0,'Données projet'!$E$9+1,1))</f>
        <v>246.59447135626942</v>
      </c>
      <c r="T10" s="59">
        <f t="shared" si="34"/>
        <v>262.00382544285367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</v>
      </c>
      <c r="AI10" s="13">
        <f>IF('Données projet'!$A$62&gt;35,AI9+AH10-AQ9,IF(A10&lt;'Données projet'!$A$62,$AF$205^A10,IF(A10='Données projet'!$A$62,'Données projet'!$B$62,AI9+AH10-AQ9)))</f>
        <v>8.0880369275836674</v>
      </c>
      <c r="AJ10" s="13">
        <f>AI10*VLOOKUP('Données projet'!$B$10,Paramètres!$A$1:$I$89,3,0)*VLOOKUP('Données projet'!$B$10,Paramètres!$A$1:$I$89,5,0)</f>
        <v>4.836646082695033</v>
      </c>
      <c r="AK10" s="13">
        <f t="shared" si="35"/>
        <v>1.8553054344470195</v>
      </c>
      <c r="AL10" s="20">
        <f t="shared" si="4"/>
        <v>11.65514889235574</v>
      </c>
      <c r="AM10" s="59">
        <f t="shared" si="5"/>
        <v>276.87737111457795</v>
      </c>
      <c r="AN10" s="59">
        <f ca="1">AVERAGE(OFFSET($AM$3,0,0,'Données projet'!$E$10+1,1))-AVERAGE(OFFSET($H$3,0,0,'Données projet'!$E$10+1,1))</f>
        <v>195.73441209602686</v>
      </c>
      <c r="AO10" s="59">
        <f t="shared" si="36"/>
        <v>219.19129224309006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3.3472630510321921</v>
      </c>
      <c r="BF10" s="13">
        <f t="shared" si="37"/>
        <v>1.34019505338418</v>
      </c>
      <c r="BG10" s="20">
        <f t="shared" si="7"/>
        <v>8.1639895318585136</v>
      </c>
      <c r="BH10" s="59">
        <f t="shared" si="8"/>
        <v>273.38621175408076</v>
      </c>
      <c r="BI10" s="59">
        <f ca="1">AVERAGE(OFFSET($BH$3,0,0,'Données projet'!$E$11+1,1))-AVERAGE(OFFSET($H$3,0,0,'Données projet'!$E$11+1,1))</f>
        <v>269.19146943657933</v>
      </c>
      <c r="BJ10" s="59">
        <f t="shared" si="38"/>
        <v>185.94138814570965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3.982088802090022</v>
      </c>
      <c r="CA10" s="13">
        <f t="shared" si="39"/>
        <v>1.5624642602705792</v>
      </c>
      <c r="CB10" s="20">
        <f t="shared" si="10"/>
        <v>9.6567632502780452</v>
      </c>
      <c r="CC10" s="59">
        <f t="shared" si="11"/>
        <v>274.87898547250029</v>
      </c>
      <c r="CD10" s="59">
        <f ca="1">AVERAGE(OFFSET($CC$3,0,0,'Données projet'!$E$12+1,1))-AVERAGE(OFFSET($H$3,0,0,'Données projet'!$E$12+1,1))</f>
        <v>335.12015893291874</v>
      </c>
      <c r="CE10" s="59">
        <f t="shared" si="40"/>
        <v>224.76596283033166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3.5781087786895851</v>
      </c>
      <c r="CV10" s="13">
        <f t="shared" si="41"/>
        <v>1.4215440842341414</v>
      </c>
      <c r="CW10" s="20">
        <f t="shared" si="13"/>
        <v>8.707728736258824</v>
      </c>
      <c r="CX10" s="59">
        <f t="shared" si="14"/>
        <v>273.92995095848107</v>
      </c>
      <c r="CY10" s="59">
        <f ca="1">AVERAGE(OFFSET($CX$3,0,0,'Données projet'!$E$13+1,1))-AVERAGE(OFFSET($H$3,0,0,'Données projet'!$E$13+1,1))</f>
        <v>293.19327646293601</v>
      </c>
      <c r="CZ10" s="59">
        <f t="shared" si="42"/>
        <v>200.0769581869605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4.55</v>
      </c>
      <c r="N11" s="13">
        <f>IF('Données projet'!$A$36&gt;35,N10+M11-V10,IF(A11&lt;'Données projet'!$A$36,$K$205^A11,IF(A11='Données projet'!$A$36,'Données projet'!$B$36,N10+M11-V10)))</f>
        <v>6.0759830958211616</v>
      </c>
      <c r="O11" s="13">
        <f>N11*VLOOKUP('Données projet'!$B$9,Paramètres!$A$1:$I$89,3,0)*VLOOKUP('Données projet'!$B$9,Paramètres!$A$1:$I$89,5,0)</f>
        <v>3.633437891301055</v>
      </c>
      <c r="P11" s="13">
        <f t="shared" si="33"/>
        <v>1.4409496993838373</v>
      </c>
      <c r="Q11" s="20">
        <f t="shared" si="2"/>
        <v>8.8378917204428529</v>
      </c>
      <c r="R11" s="59">
        <f t="shared" si="0"/>
        <v>275.28233616488728</v>
      </c>
      <c r="S11" s="59">
        <f ca="1">AVERAGE(OFFSET($R$3,0,0,'Données projet'!$E$9+1,1))-AVERAGE(OFFSET($H$3,0,0,'Données projet'!$E$9+1,1))</f>
        <v>246.59447135626942</v>
      </c>
      <c r="T11" s="59">
        <f t="shared" si="34"/>
        <v>262.00382544285367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</v>
      </c>
      <c r="AI11" s="13">
        <f>IF('Données projet'!$A$62&gt;35,AI10+AH11-AQ10,IF(A11&lt;'Données projet'!$A$62,$AF$205^A11,IF(A11='Données projet'!$A$62,'Données projet'!$B$62,AI10+AH11-AQ10)))</f>
        <v>10.902723556992838</v>
      </c>
      <c r="AJ11" s="13">
        <f>AI11*VLOOKUP('Données projet'!$B$10,Paramètres!$A$1:$I$89,3,0)*VLOOKUP('Données projet'!$B$10,Paramètres!$A$1:$I$89,5,0)</f>
        <v>6.5198286870817181</v>
      </c>
      <c r="AK11" s="13">
        <f t="shared" si="35"/>
        <v>2.4155228910363733</v>
      </c>
      <c r="AL11" s="20">
        <f t="shared" si="4"/>
        <v>15.562403998555673</v>
      </c>
      <c r="AM11" s="59">
        <f t="shared" si="5"/>
        <v>282.00684844300014</v>
      </c>
      <c r="AN11" s="59">
        <f ca="1">AVERAGE(OFFSET($AM$3,0,0,'Données projet'!$E$10+1,1))-AVERAGE(OFFSET($H$3,0,0,'Données projet'!$E$10+1,1))</f>
        <v>195.73441209602686</v>
      </c>
      <c r="AO11" s="59">
        <f t="shared" si="36"/>
        <v>219.19129224309006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4.0350814731667564</v>
      </c>
      <c r="BF11" s="13">
        <f t="shared" si="37"/>
        <v>1.5808227025391921</v>
      </c>
      <c r="BG11" s="20">
        <f t="shared" si="7"/>
        <v>9.7810331060211926</v>
      </c>
      <c r="BH11" s="59">
        <f t="shared" si="8"/>
        <v>276.22547755046565</v>
      </c>
      <c r="BI11" s="59">
        <f ca="1">AVERAGE(OFFSET($BH$3,0,0,'Données projet'!$E$11+1,1))-AVERAGE(OFFSET($H$3,0,0,'Données projet'!$E$11+1,1))</f>
        <v>269.19146943657933</v>
      </c>
      <c r="BJ11" s="59">
        <f t="shared" si="38"/>
        <v>185.94138814570965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4.8003555456638995</v>
      </c>
      <c r="CA11" s="13">
        <f t="shared" si="39"/>
        <v>1.8429996203200378</v>
      </c>
      <c r="CB11" s="20">
        <f t="shared" si="10"/>
        <v>11.570510247422023</v>
      </c>
      <c r="CC11" s="59">
        <f t="shared" si="11"/>
        <v>278.01495469186648</v>
      </c>
      <c r="CD11" s="59">
        <f ca="1">AVERAGE(OFFSET($CC$3,0,0,'Données projet'!$E$12+1,1))-AVERAGE(OFFSET($H$3,0,0,'Données projet'!$E$12+1,1))</f>
        <v>335.12015893291874</v>
      </c>
      <c r="CE11" s="59">
        <f t="shared" si="40"/>
        <v>224.76596283033166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4.3133629540748091</v>
      </c>
      <c r="CV11" s="13">
        <f t="shared" si="41"/>
        <v>1.6767776864592203</v>
      </c>
      <c r="CW11" s="20">
        <f t="shared" si="13"/>
        <v>10.432828282263435</v>
      </c>
      <c r="CX11" s="59">
        <f t="shared" si="14"/>
        <v>276.87727272670787</v>
      </c>
      <c r="CY11" s="59">
        <f ca="1">AVERAGE(OFFSET($CX$3,0,0,'Données projet'!$E$13+1,1))-AVERAGE(OFFSET($H$3,0,0,'Données projet'!$E$13+1,1))</f>
        <v>293.19327646293601</v>
      </c>
      <c r="CZ11" s="59">
        <f t="shared" si="42"/>
        <v>200.0769581869605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4.55</v>
      </c>
      <c r="N12" s="13">
        <f>IF('Données projet'!$A$36&gt;35,N11+M12-V11,IF(A12&lt;'Données projet'!$A$36,$K$205^A12,IF(A12='Données projet'!$A$36,'Données projet'!$B$36,N11+M12-V11)))</f>
        <v>7.6132243249824851</v>
      </c>
      <c r="O12" s="13">
        <f>N12*VLOOKUP('Données projet'!$B$9,Paramètres!$A$1:$I$89,3,0)*VLOOKUP('Données projet'!$B$9,Paramètres!$A$1:$I$89,5,0)</f>
        <v>4.5527081463395263</v>
      </c>
      <c r="P12" s="13">
        <f t="shared" si="33"/>
        <v>1.758730395704539</v>
      </c>
      <c r="Q12" s="20">
        <f t="shared" si="2"/>
        <v>10.992422127393413</v>
      </c>
      <c r="R12" s="59">
        <f t="shared" si="0"/>
        <v>278.6590887940601</v>
      </c>
      <c r="S12" s="59">
        <f ca="1">AVERAGE(OFFSET($R$3,0,0,'Données projet'!$E$9+1,1))-AVERAGE(OFFSET($H$3,0,0,'Données projet'!$E$9+1,1))</f>
        <v>246.59447135626942</v>
      </c>
      <c r="T12" s="59">
        <f t="shared" si="34"/>
        <v>262.00382544285367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</v>
      </c>
      <c r="AI12" s="13">
        <f>IF('Données projet'!$A$62&gt;35,AI11+AH12-AQ11,IF(A12&lt;'Données projet'!$A$62,$AF$205^A12,IF(A12='Données projet'!$A$62,'Données projet'!$B$62,AI11+AH12-AQ11)))</f>
        <v>14.696938456699069</v>
      </c>
      <c r="AJ12" s="13">
        <f>AI12*VLOOKUP('Données projet'!$B$10,Paramètres!$A$1:$I$89,3,0)*VLOOKUP('Données projet'!$B$10,Paramètres!$A$1:$I$89,5,0)</f>
        <v>8.7887691971060438</v>
      </c>
      <c r="AK12" s="13">
        <f t="shared" si="35"/>
        <v>3.1449004184369191</v>
      </c>
      <c r="AL12" s="20">
        <f t="shared" si="4"/>
        <v>20.784474580403991</v>
      </c>
      <c r="AM12" s="59">
        <f t="shared" si="5"/>
        <v>288.45114124707067</v>
      </c>
      <c r="AN12" s="59">
        <f ca="1">AVERAGE(OFFSET($AM$3,0,0,'Données projet'!$E$10+1,1))-AVERAGE(OFFSET($H$3,0,0,'Données projet'!$E$10+1,1))</f>
        <v>195.73441209602686</v>
      </c>
      <c r="AO12" s="59">
        <f t="shared" si="36"/>
        <v>219.19129224309006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4.8642375119197085</v>
      </c>
      <c r="BF12" s="13">
        <f t="shared" si="37"/>
        <v>1.8646542609995393</v>
      </c>
      <c r="BG12" s="20">
        <f t="shared" si="7"/>
        <v>11.719486504501022</v>
      </c>
      <c r="BH12" s="59">
        <f t="shared" si="8"/>
        <v>279.38615317116773</v>
      </c>
      <c r="BI12" s="59">
        <f ca="1">AVERAGE(OFFSET($BH$3,0,0,'Données projet'!$E$11+1,1))-AVERAGE(OFFSET($H$3,0,0,'Données projet'!$E$11+1,1))</f>
        <v>269.19146943657933</v>
      </c>
      <c r="BJ12" s="59">
        <f t="shared" si="38"/>
        <v>185.94138814570965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5.7867653159044812</v>
      </c>
      <c r="CA12" s="13">
        <f t="shared" si="39"/>
        <v>2.1739041889582755</v>
      </c>
      <c r="CB12" s="20">
        <f t="shared" si="10"/>
        <v>13.864832720969302</v>
      </c>
      <c r="CC12" s="59">
        <f t="shared" si="11"/>
        <v>281.53149938763596</v>
      </c>
      <c r="CD12" s="59">
        <f ca="1">AVERAGE(OFFSET($CC$3,0,0,'Données projet'!$E$12+1,1))-AVERAGE(OFFSET($H$3,0,0,'Données projet'!$E$12+1,1))</f>
        <v>335.12015893291874</v>
      </c>
      <c r="CE12" s="59">
        <f t="shared" si="40"/>
        <v>224.76596283033166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5.1997021679141717</v>
      </c>
      <c r="CV12" s="13">
        <f t="shared" si="41"/>
        <v>1.977837649208241</v>
      </c>
      <c r="CW12" s="20">
        <f t="shared" si="13"/>
        <v>12.500881848154869</v>
      </c>
      <c r="CX12" s="59">
        <f t="shared" si="14"/>
        <v>280.16754851482153</v>
      </c>
      <c r="CY12" s="59">
        <f ca="1">AVERAGE(OFFSET($CX$3,0,0,'Données projet'!$E$13+1,1))-AVERAGE(OFFSET($H$3,0,0,'Données projet'!$E$13+1,1))</f>
        <v>293.19327646293601</v>
      </c>
      <c r="CZ12" s="59">
        <f t="shared" si="42"/>
        <v>200.0769581869605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4.55</v>
      </c>
      <c r="N13" s="13">
        <f>IF('Données projet'!$A$36&gt;35,N12+M13-V12,IF(A13&lt;'Données projet'!$A$36,$K$205^A13,IF(A13='Données projet'!$A$36,'Données projet'!$B$36,N12+M13-V12)))</f>
        <v>9.5393920141694579</v>
      </c>
      <c r="O13" s="13">
        <f>N13*VLOOKUP('Données projet'!$B$9,Paramètres!$A$1:$I$89,3,0)*VLOOKUP('Données projet'!$B$9,Paramètres!$A$1:$I$89,5,0)</f>
        <v>5.7045564244733367</v>
      </c>
      <c r="P13" s="13">
        <f t="shared" si="33"/>
        <v>2.1465930463066791</v>
      </c>
      <c r="Q13" s="20">
        <f t="shared" si="2"/>
        <v>13.674085328275192</v>
      </c>
      <c r="R13" s="59">
        <f t="shared" si="0"/>
        <v>282.56297421716403</v>
      </c>
      <c r="S13" s="59">
        <f ca="1">AVERAGE(OFFSET($R$3,0,0,'Données projet'!$E$9+1,1))-AVERAGE(OFFSET($H$3,0,0,'Données projet'!$E$9+1,1))</f>
        <v>246.59447135626942</v>
      </c>
      <c r="T13" s="59">
        <f t="shared" si="34"/>
        <v>262.00382544285367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</v>
      </c>
      <c r="AI13" s="13">
        <f>IF('Données projet'!$A$62&gt;35,AI12+AH13-AQ12,IF(A13&lt;'Données projet'!$A$62,$AF$205^A13,IF(A13='Données projet'!$A$62,'Données projet'!$B$62,AI12+AH13-AQ12)))</f>
        <v>19.81156349336776</v>
      </c>
      <c r="AJ13" s="13">
        <f>AI13*VLOOKUP('Données projet'!$B$10,Paramètres!$A$1:$I$89,3,0)*VLOOKUP('Données projet'!$B$10,Paramètres!$A$1:$I$89,5,0)</f>
        <v>11.847314969033921</v>
      </c>
      <c r="AK13" s="13">
        <f t="shared" si="35"/>
        <v>4.094516627677768</v>
      </c>
      <c r="AL13" s="20">
        <f t="shared" si="4"/>
        <v>27.76535669760619</v>
      </c>
      <c r="AM13" s="59">
        <f t="shared" si="5"/>
        <v>296.65424558649505</v>
      </c>
      <c r="AN13" s="59">
        <f ca="1">AVERAGE(OFFSET($AM$3,0,0,'Données projet'!$E$10+1,1))-AVERAGE(OFFSET($H$3,0,0,'Données projet'!$E$10+1,1))</f>
        <v>195.73441209602686</v>
      </c>
      <c r="AO13" s="59">
        <f t="shared" si="36"/>
        <v>219.19129224309006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5.8637741839194364</v>
      </c>
      <c r="BF13" s="13">
        <f t="shared" si="37"/>
        <v>2.1994468497187687</v>
      </c>
      <c r="BG13" s="20">
        <f t="shared" si="7"/>
        <v>14.043443300253207</v>
      </c>
      <c r="BH13" s="59">
        <f t="shared" si="8"/>
        <v>282.93233218914207</v>
      </c>
      <c r="BI13" s="59">
        <f ca="1">AVERAGE(OFFSET($BH$3,0,0,'Données projet'!$E$11+1,1))-AVERAGE(OFFSET($H$3,0,0,'Données projet'!$E$11+1,1))</f>
        <v>269.19146943657933</v>
      </c>
      <c r="BJ13" s="59">
        <f t="shared" si="38"/>
        <v>185.94138814570965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6.9758692877662263</v>
      </c>
      <c r="CA13" s="13">
        <f t="shared" si="39"/>
        <v>2.5642215932468222</v>
      </c>
      <c r="CB13" s="20">
        <f t="shared" si="10"/>
        <v>16.61565828443106</v>
      </c>
      <c r="CC13" s="59">
        <f t="shared" si="11"/>
        <v>285.50454717331991</v>
      </c>
      <c r="CD13" s="59">
        <f ca="1">AVERAGE(OFFSET($CC$3,0,0,'Données projet'!$E$12+1,1))-AVERAGE(OFFSET($H$3,0,0,'Données projet'!$E$12+1,1))</f>
        <v>335.12015893291874</v>
      </c>
      <c r="CE13" s="59">
        <f t="shared" si="40"/>
        <v>224.76596283033166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6.2681724035000874</v>
      </c>
      <c r="CV13" s="13">
        <f t="shared" si="41"/>
        <v>2.3329519459947301</v>
      </c>
      <c r="CW13" s="20">
        <f t="shared" si="13"/>
        <v>14.98029157537014</v>
      </c>
      <c r="CX13" s="59">
        <f t="shared" si="14"/>
        <v>283.86918046425899</v>
      </c>
      <c r="CY13" s="59">
        <f ca="1">AVERAGE(OFFSET($CX$3,0,0,'Données projet'!$E$13+1,1))-AVERAGE(OFFSET($H$3,0,0,'Données projet'!$E$13+1,1))</f>
        <v>293.19327646293601</v>
      </c>
      <c r="CZ13" s="59">
        <f t="shared" si="42"/>
        <v>200.0769581869605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4.55</v>
      </c>
      <c r="N14" s="13">
        <f>IF('Données projet'!$A$36&gt;35,N13+M14-V13,IF(A14&lt;'Données projet'!$A$36,$K$205^A14,IF(A14='Données projet'!$A$36,'Données projet'!$B$36,N13+M14-V13)))</f>
        <v>11.952885678330434</v>
      </c>
      <c r="O14" s="13">
        <f>N14*VLOOKUP('Données projet'!$B$9,Paramètres!$A$1:$I$89,3,0)*VLOOKUP('Données projet'!$B$9,Paramètres!$A$1:$I$89,5,0)</f>
        <v>7.147825635641599</v>
      </c>
      <c r="P14" s="13">
        <f t="shared" si="33"/>
        <v>2.6199932165306663</v>
      </c>
      <c r="Q14" s="20">
        <f t="shared" si="2"/>
        <v>17.012284500866695</v>
      </c>
      <c r="R14" s="59">
        <f t="shared" si="0"/>
        <v>287.12339561197786</v>
      </c>
      <c r="S14" s="59">
        <f ca="1">AVERAGE(OFFSET($R$3,0,0,'Données projet'!$E$9+1,1))-AVERAGE(OFFSET($H$3,0,0,'Données projet'!$E$9+1,1))</f>
        <v>246.59447135626942</v>
      </c>
      <c r="T14" s="59">
        <f t="shared" si="34"/>
        <v>262.00382544285367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</v>
      </c>
      <c r="AI14" s="13">
        <f>IF('Données projet'!$A$62&gt;35,AI13+AH14-AQ13,IF(A14&lt;'Données projet'!$A$62,$AF$205^A14,IF(A14='Données projet'!$A$62,'Données projet'!$B$62,AI13+AH14-AQ13)))</f>
        <v>26.706109521254486</v>
      </c>
      <c r="AJ14" s="13">
        <f>AI14*VLOOKUP('Données projet'!$B$10,Paramètres!$A$1:$I$89,3,0)*VLOOKUP('Données projet'!$B$10,Paramètres!$A$1:$I$89,5,0)</f>
        <v>15.970253493710185</v>
      </c>
      <c r="AK14" s="13">
        <f t="shared" si="35"/>
        <v>5.3308735361046251</v>
      </c>
      <c r="AL14" s="20">
        <f t="shared" si="4"/>
        <v>37.09946291026079</v>
      </c>
      <c r="AM14" s="59">
        <f t="shared" si="5"/>
        <v>307.21057402137194</v>
      </c>
      <c r="AN14" s="59">
        <f ca="1">AVERAGE(OFFSET($AM$3,0,0,'Données projet'!$E$10+1,1))-AVERAGE(OFFSET($H$3,0,0,'Données projet'!$E$10+1,1))</f>
        <v>195.73441209602686</v>
      </c>
      <c r="AO14" s="59">
        <f t="shared" si="36"/>
        <v>219.19129224309006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7.0687024627689707</v>
      </c>
      <c r="BF14" s="13">
        <f t="shared" si="37"/>
        <v>2.5943503554083325</v>
      </c>
      <c r="BG14" s="20">
        <f t="shared" si="7"/>
        <v>16.829816991658799</v>
      </c>
      <c r="BH14" s="59">
        <f t="shared" si="8"/>
        <v>286.94092810276993</v>
      </c>
      <c r="BI14" s="59">
        <f ca="1">AVERAGE(OFFSET($BH$3,0,0,'Données projet'!$E$11+1,1))-AVERAGE(OFFSET($H$3,0,0,'Données projet'!$E$11+1,1))</f>
        <v>269.19146943657933</v>
      </c>
      <c r="BJ14" s="59">
        <f t="shared" si="38"/>
        <v>185.94138814570965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8.4093184470872249</v>
      </c>
      <c r="CA14" s="13">
        <f t="shared" si="39"/>
        <v>3.0246192139792929</v>
      </c>
      <c r="CB14" s="20">
        <f t="shared" si="10"/>
        <v>19.914108093024186</v>
      </c>
      <c r="CC14" s="59">
        <f t="shared" si="11"/>
        <v>290.02521920413534</v>
      </c>
      <c r="CD14" s="59">
        <f ca="1">AVERAGE(OFFSET($CC$3,0,0,'Données projet'!$E$12+1,1))-AVERAGE(OFFSET($H$3,0,0,'Données projet'!$E$12+1,1))</f>
        <v>335.12015893291874</v>
      </c>
      <c r="CE14" s="59">
        <f t="shared" si="40"/>
        <v>224.76596283033166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7.5561991843392455</v>
      </c>
      <c r="CV14" s="13">
        <f t="shared" si="41"/>
        <v>2.7518258561310041</v>
      </c>
      <c r="CW14" s="20">
        <f t="shared" si="13"/>
        <v>17.953143612152349</v>
      </c>
      <c r="CX14" s="59">
        <f t="shared" si="14"/>
        <v>288.0642547232635</v>
      </c>
      <c r="CY14" s="59">
        <f ca="1">AVERAGE(OFFSET($CX$3,0,0,'Données projet'!$E$13+1,1))-AVERAGE(OFFSET($H$3,0,0,'Données projet'!$E$13+1,1))</f>
        <v>293.19327646293601</v>
      </c>
      <c r="CZ14" s="59">
        <f t="shared" si="42"/>
        <v>200.0769581869605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4.55</v>
      </c>
      <c r="N15" s="13">
        <f>IF('Données projet'!$A$36&gt;35,N14+M15-V14,IF(A15&lt;'Données projet'!$A$36,$K$205^A15,IF(A15='Données projet'!$A$36,'Données projet'!$B$36,N14+M15-V14)))</f>
        <v>14.97700019320108</v>
      </c>
      <c r="O15" s="13">
        <f>N15*VLOOKUP('Données projet'!$B$9,Paramètres!$A$1:$I$89,3,0)*VLOOKUP('Données projet'!$B$9,Paramètres!$A$1:$I$89,5,0)</f>
        <v>8.9562461155342472</v>
      </c>
      <c r="P15" s="13">
        <f t="shared" si="33"/>
        <v>3.1977949739831653</v>
      </c>
      <c r="Q15" s="20">
        <f t="shared" si="2"/>
        <v>21.168288230909493</v>
      </c>
      <c r="R15" s="59">
        <f t="shared" si="0"/>
        <v>292.50162156424278</v>
      </c>
      <c r="S15" s="59">
        <f ca="1">AVERAGE(OFFSET($R$3,0,0,'Données projet'!$E$9+1,1))-AVERAGE(OFFSET($H$3,0,0,'Données projet'!$E$9+1,1))</f>
        <v>246.59447135626942</v>
      </c>
      <c r="T15" s="59">
        <f t="shared" si="34"/>
        <v>262.00382544285367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36</v>
      </c>
      <c r="AG15" s="12">
        <f>VLOOKUP(A15,'Données projet'!$A$61:$I$81,9,0)</f>
        <v>3</v>
      </c>
      <c r="AH15" s="12">
        <f t="array" ref="AH15">INDEX(AG:AG,MIN(IF(ISNUMBER(AG15:AG211),ROW(AG15:AG211),"")))</f>
        <v>3</v>
      </c>
      <c r="AI15" s="13">
        <f>IF('Données projet'!$A$62&gt;35,AI14+AH15-AQ14,IF(A15&lt;'Données projet'!$A$62,$AF$205^A15,IF(A15='Données projet'!$A$62,'Données projet'!$B$62,AI14+AH15-AQ14)))</f>
        <v>36</v>
      </c>
      <c r="AJ15" s="13">
        <f>AI15*VLOOKUP('Données projet'!$B$10,Paramètres!$A$1:$I$89,3,0)*VLOOKUP('Données projet'!$B$10,Paramètres!$A$1:$I$89,5,0)</f>
        <v>21.528000000000002</v>
      </c>
      <c r="AK15" s="13">
        <f t="shared" si="35"/>
        <v>6.9405537312613621</v>
      </c>
      <c r="AL15" s="20">
        <f t="shared" si="4"/>
        <v>49.582731081946882</v>
      </c>
      <c r="AM15" s="59">
        <f t="shared" si="5"/>
        <v>320.91606441528018</v>
      </c>
      <c r="AN15" s="59">
        <f ca="1">AVERAGE(OFFSET($AM$3,0,0,'Données projet'!$E$10+1,1))-AVERAGE(OFFSET($H$3,0,0,'Données projet'!$E$10+1,1))</f>
        <v>195.73441209602686</v>
      </c>
      <c r="AO15" s="59">
        <f t="shared" si="36"/>
        <v>219.19129224309006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8.521227615514638</v>
      </c>
      <c r="BF15" s="13">
        <f t="shared" si="37"/>
        <v>3.0601574970852128</v>
      </c>
      <c r="BG15" s="20">
        <f t="shared" si="7"/>
        <v>20.170912404444739</v>
      </c>
      <c r="BH15" s="59">
        <f t="shared" si="8"/>
        <v>291.50424573777804</v>
      </c>
      <c r="BI15" s="59">
        <f ca="1">AVERAGE(OFFSET($BH$3,0,0,'Données projet'!$E$11+1,1))-AVERAGE(OFFSET($H$3,0,0,'Données projet'!$E$11+1,1))</f>
        <v>269.19146943657933</v>
      </c>
      <c r="BJ15" s="59">
        <f t="shared" si="38"/>
        <v>185.94138814570965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10.137322508112241</v>
      </c>
      <c r="CA15" s="13">
        <f t="shared" si="39"/>
        <v>3.5676797253661268</v>
      </c>
      <c r="CB15" s="20">
        <f t="shared" si="10"/>
        <v>23.869545556641487</v>
      </c>
      <c r="CC15" s="59">
        <f t="shared" si="11"/>
        <v>295.20287888997478</v>
      </c>
      <c r="CD15" s="59">
        <f ca="1">AVERAGE(OFFSET($CC$3,0,0,'Données projet'!$E$12+1,1))-AVERAGE(OFFSET($H$3,0,0,'Données projet'!$E$12+1,1))</f>
        <v>335.12015893291874</v>
      </c>
      <c r="CE15" s="59">
        <f t="shared" si="40"/>
        <v>224.76596283033166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9.1088984855501316</v>
      </c>
      <c r="CV15" s="13">
        <f t="shared" si="41"/>
        <v>3.2459072101643005</v>
      </c>
      <c r="CW15" s="20">
        <f t="shared" si="13"/>
        <v>21.517953253369303</v>
      </c>
      <c r="CX15" s="59">
        <f t="shared" si="14"/>
        <v>292.8512865867026</v>
      </c>
      <c r="CY15" s="59">
        <f ca="1">AVERAGE(OFFSET($CX$3,0,0,'Données projet'!$E$13+1,1))-AVERAGE(OFFSET($H$3,0,0,'Données projet'!$E$13+1,1))</f>
        <v>293.19327646293601</v>
      </c>
      <c r="CZ15" s="59">
        <f t="shared" si="42"/>
        <v>200.0769581869605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4.55</v>
      </c>
      <c r="N16" s="13">
        <f>IF('Données projet'!$A$36&gt;35,N15+M16-V15,IF(A16&lt;'Données projet'!$A$36,$K$205^A16,IF(A16='Données projet'!$A$36,'Données projet'!$B$36,N15+M16-V15)))</f>
        <v>18.766224393311244</v>
      </c>
      <c r="O16" s="13">
        <f>N16*VLOOKUP('Données projet'!$B$9,Paramètres!$A$1:$I$89,3,0)*VLOOKUP('Données projet'!$B$9,Paramètres!$A$1:$I$89,5,0)</f>
        <v>11.222202187200125</v>
      </c>
      <c r="P16" s="13">
        <f t="shared" si="33"/>
        <v>3.903022584605345</v>
      </c>
      <c r="Q16" s="20">
        <f t="shared" si="2"/>
        <v>26.343099810894525</v>
      </c>
      <c r="R16" s="59">
        <f t="shared" si="0"/>
        <v>298.89865536645004</v>
      </c>
      <c r="S16" s="59">
        <f ca="1">AVERAGE(OFFSET($R$3,0,0,'Données projet'!$E$9+1,1))-AVERAGE(OFFSET($H$3,0,0,'Données projet'!$E$9+1,1))</f>
        <v>246.59447135626942</v>
      </c>
      <c r="T16" s="59">
        <f t="shared" si="34"/>
        <v>262.00382544285367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11.25</v>
      </c>
      <c r="AI16" s="13">
        <f>IF('Données projet'!$A$62&gt;35,AI15+AH16-AQ15,IF(A16&lt;'Données projet'!$A$62,$AF$205^A16,IF(A16='Données projet'!$A$62,'Données projet'!$B$62,AI15+AH16-AQ15)))</f>
        <v>47.25</v>
      </c>
      <c r="AJ16" s="13">
        <f>AI16*VLOOKUP('Données projet'!$B$10,Paramètres!$A$1:$I$89,3,0)*VLOOKUP('Données projet'!$B$10,Paramètres!$A$1:$I$89,5,0)</f>
        <v>28.255500000000001</v>
      </c>
      <c r="AK16" s="13">
        <f t="shared" si="35"/>
        <v>8.8256494369710552</v>
      </c>
      <c r="AL16" s="20">
        <f t="shared" si="4"/>
        <v>64.583001936057926</v>
      </c>
      <c r="AM16" s="59">
        <f t="shared" si="5"/>
        <v>337.13855749161348</v>
      </c>
      <c r="AN16" s="59">
        <f ca="1">AVERAGE(OFFSET($AM$3,0,0,'Données projet'!$E$10+1,1))-AVERAGE(OFFSET($H$3,0,0,'Données projet'!$E$10+1,1))</f>
        <v>195.73441209602686</v>
      </c>
      <c r="AO16" s="59">
        <f t="shared" si="36"/>
        <v>219.19129224309006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10.272227535089344</v>
      </c>
      <c r="BF16" s="13">
        <f t="shared" si="37"/>
        <v>3.6095987912522753</v>
      </c>
      <c r="BG16" s="20">
        <f t="shared" si="7"/>
        <v>24.177514185044988</v>
      </c>
      <c r="BH16" s="59">
        <f t="shared" si="8"/>
        <v>296.73306974060051</v>
      </c>
      <c r="BI16" s="59">
        <f ca="1">AVERAGE(OFFSET($BH$3,0,0,'Données projet'!$E$11+1,1))-AVERAGE(OFFSET($H$3,0,0,'Données projet'!$E$11+1,1))</f>
        <v>269.19146943657933</v>
      </c>
      <c r="BJ16" s="59">
        <f t="shared" si="38"/>
        <v>185.94138814570965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12.220408619330426</v>
      </c>
      <c r="CA16" s="13">
        <f t="shared" si="39"/>
        <v>4.2082449797185175</v>
      </c>
      <c r="CB16" s="20">
        <f t="shared" si="10"/>
        <v>28.613238351676909</v>
      </c>
      <c r="CC16" s="59">
        <f t="shared" si="11"/>
        <v>301.16879390723244</v>
      </c>
      <c r="CD16" s="59">
        <f ca="1">AVERAGE(OFFSET($CC$3,0,0,'Données projet'!$E$12+1,1))-AVERAGE(OFFSET($H$3,0,0,'Données projet'!$E$12+1,1))</f>
        <v>335.12015893291874</v>
      </c>
      <c r="CE16" s="59">
        <f t="shared" si="40"/>
        <v>224.76596283033166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10.98065702026792</v>
      </c>
      <c r="CV16" s="13">
        <f t="shared" si="41"/>
        <v>3.8286992592655618</v>
      </c>
      <c r="CW16" s="20">
        <f t="shared" si="13"/>
        <v>25.792962186854144</v>
      </c>
      <c r="CX16" s="59">
        <f t="shared" si="14"/>
        <v>298.34851774240968</v>
      </c>
      <c r="CY16" s="59">
        <f ca="1">AVERAGE(OFFSET($CX$3,0,0,'Données projet'!$E$13+1,1))-AVERAGE(OFFSET($H$3,0,0,'Données projet'!$E$13+1,1))</f>
        <v>293.19327646293601</v>
      </c>
      <c r="CZ16" s="59">
        <f t="shared" si="42"/>
        <v>200.0769581869605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4.55</v>
      </c>
      <c r="N17" s="13">
        <f>IF('Données projet'!$A$36&gt;35,N16+M17-V16,IF(A17&lt;'Données projet'!$A$36,$K$205^A17,IF(A17='Données projet'!$A$36,'Données projet'!$B$36,N16+M17-V16)))</f>
        <v>23.514133233434862</v>
      </c>
      <c r="O17" s="13">
        <f>N17*VLOOKUP('Données projet'!$B$9,Paramètres!$A$1:$I$89,3,0)*VLOOKUP('Données projet'!$B$9,Paramètres!$A$1:$I$89,5,0)</f>
        <v>14.061451673594048</v>
      </c>
      <c r="P17" s="13">
        <f t="shared" si="33"/>
        <v>4.7637779844792423</v>
      </c>
      <c r="Q17" s="20">
        <f t="shared" si="2"/>
        <v>32.787274987810981</v>
      </c>
      <c r="R17" s="59">
        <f t="shared" si="0"/>
        <v>306.56505276558875</v>
      </c>
      <c r="S17" s="59">
        <f ca="1">AVERAGE(OFFSET($R$3,0,0,'Données projet'!$E$9+1,1))-AVERAGE(OFFSET($H$3,0,0,'Données projet'!$E$9+1,1))</f>
        <v>246.59447135626942</v>
      </c>
      <c r="T17" s="59">
        <f t="shared" si="34"/>
        <v>262.00382544285367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11.25</v>
      </c>
      <c r="AI17" s="13">
        <f>IF('Données projet'!$A$62&gt;35,AI16+AH17-AQ16,IF(A17&lt;'Données projet'!$A$62,$AF$205^A17,IF(A17='Données projet'!$A$62,'Données projet'!$B$62,AI16+AH17-AQ16)))</f>
        <v>58.5</v>
      </c>
      <c r="AJ17" s="13">
        <f>AI17*VLOOKUP('Données projet'!$B$10,Paramètres!$A$1:$I$89,3,0)*VLOOKUP('Données projet'!$B$10,Paramètres!$A$1:$I$89,5,0)</f>
        <v>34.983000000000004</v>
      </c>
      <c r="AK17" s="13">
        <f t="shared" si="35"/>
        <v>10.658697928430266</v>
      </c>
      <c r="AL17" s="20">
        <f t="shared" si="4"/>
        <v>79.492623892016056</v>
      </c>
      <c r="AM17" s="59">
        <f t="shared" si="5"/>
        <v>353.27040166979384</v>
      </c>
      <c r="AN17" s="59">
        <f ca="1">AVERAGE(OFFSET($AM$3,0,0,'Données projet'!$E$10+1,1))-AVERAGE(OFFSET($H$3,0,0,'Données projet'!$E$10+1,1))</f>
        <v>195.73441209602686</v>
      </c>
      <c r="AO17" s="59">
        <f t="shared" si="36"/>
        <v>219.19129224309006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12.383034850580612</v>
      </c>
      <c r="BF17" s="13">
        <f t="shared" si="37"/>
        <v>4.2576904771143838</v>
      </c>
      <c r="BG17" s="20">
        <f t="shared" si="7"/>
        <v>28.982596612402116</v>
      </c>
      <c r="BH17" s="59">
        <f t="shared" si="8"/>
        <v>302.76037439017989</v>
      </c>
      <c r="BI17" s="59">
        <f ca="1">AVERAGE(OFFSET($BH$3,0,0,'Données projet'!$E$11+1,1))-AVERAGE(OFFSET($H$3,0,0,'Données projet'!$E$11+1,1))</f>
        <v>269.19146943657933</v>
      </c>
      <c r="BJ17" s="59">
        <f t="shared" si="38"/>
        <v>185.94138814570965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14.731541460173487</v>
      </c>
      <c r="CA17" s="13">
        <f t="shared" si="39"/>
        <v>4.9638216355053304</v>
      </c>
      <c r="CB17" s="20">
        <f t="shared" si="10"/>
        <v>34.302757391640604</v>
      </c>
      <c r="CC17" s="59">
        <f t="shared" si="11"/>
        <v>308.0805351694184</v>
      </c>
      <c r="CD17" s="59">
        <f ca="1">AVERAGE(OFFSET($CC$3,0,0,'Données projet'!$E$12+1,1))-AVERAGE(OFFSET($H$3,0,0,'Données projet'!$E$12+1,1))</f>
        <v>335.12015893291874</v>
      </c>
      <c r="CE17" s="59">
        <f t="shared" si="40"/>
        <v>224.76596283033166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13.237037254068934</v>
      </c>
      <c r="CV17" s="13">
        <f t="shared" si="41"/>
        <v>4.5161297192961545</v>
      </c>
      <c r="CW17" s="20">
        <f t="shared" si="13"/>
        <v>30.920099145277529</v>
      </c>
      <c r="CX17" s="59">
        <f t="shared" si="14"/>
        <v>304.69787692305528</v>
      </c>
      <c r="CY17" s="59">
        <f ca="1">AVERAGE(OFFSET($CX$3,0,0,'Données projet'!$E$13+1,1))-AVERAGE(OFFSET($H$3,0,0,'Données projet'!$E$13+1,1))</f>
        <v>293.19327646293601</v>
      </c>
      <c r="CZ17" s="59">
        <f t="shared" si="42"/>
        <v>200.0769581869605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4.55</v>
      </c>
      <c r="N18" s="13">
        <f>IF('Données projet'!$A$36&gt;35,N17+M18-V17,IF(A18&lt;'Données projet'!$A$36,$K$205^A18,IF(A18='Données projet'!$A$36,'Données projet'!$B$36,N17+M18-V17)))</f>
        <v>29.463276689625356</v>
      </c>
      <c r="O18" s="13">
        <f>N18*VLOOKUP('Données projet'!$B$9,Paramètres!$A$1:$I$89,3,0)*VLOOKUP('Données projet'!$B$9,Paramètres!$A$1:$I$89,5,0)</f>
        <v>17.619039460395964</v>
      </c>
      <c r="P18" s="13">
        <f t="shared" si="33"/>
        <v>5.8143605868229411</v>
      </c>
      <c r="Q18" s="20">
        <f t="shared" si="2"/>
        <v>40.81317174890625</v>
      </c>
      <c r="R18" s="59">
        <f t="shared" si="0"/>
        <v>315.81317174890626</v>
      </c>
      <c r="S18" s="59">
        <f ca="1">AVERAGE(OFFSET($R$3,0,0,'Données projet'!$E$9+1,1))-AVERAGE(OFFSET($H$3,0,0,'Données projet'!$E$9+1,1))</f>
        <v>246.59447135626942</v>
      </c>
      <c r="T18" s="59">
        <f t="shared" si="34"/>
        <v>262.00382544285367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11.25</v>
      </c>
      <c r="AI18" s="13">
        <f>IF('Données projet'!$A$62&gt;35,AI17+AH18-AQ17,IF(A18&lt;'Données projet'!$A$62,$AF$205^A18,IF(A18='Données projet'!$A$62,'Données projet'!$B$62,AI17+AH18-AQ17)))</f>
        <v>69.75</v>
      </c>
      <c r="AJ18" s="13">
        <f>AI18*VLOOKUP('Données projet'!$B$10,Paramètres!$A$1:$I$89,3,0)*VLOOKUP('Données projet'!$B$10,Paramètres!$A$1:$I$89,5,0)</f>
        <v>41.710500000000003</v>
      </c>
      <c r="AK18" s="13">
        <f t="shared" si="35"/>
        <v>12.450904347349248</v>
      </c>
      <c r="AL18" s="20">
        <f t="shared" si="4"/>
        <v>94.331112571633255</v>
      </c>
      <c r="AM18" s="59">
        <f t="shared" si="5"/>
        <v>369.33111257163324</v>
      </c>
      <c r="AN18" s="59">
        <f ca="1">AVERAGE(OFFSET($AM$3,0,0,'Données projet'!$E$10+1,1))-AVERAGE(OFFSET($H$3,0,0,'Données projet'!$E$10+1,1))</f>
        <v>195.73441209602686</v>
      </c>
      <c r="AO18" s="59">
        <f t="shared" si="36"/>
        <v>219.19129224309006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14.927585237660953</v>
      </c>
      <c r="BF18" s="13">
        <f t="shared" si="37"/>
        <v>5.0221449106318534</v>
      </c>
      <c r="BG18" s="20">
        <f t="shared" si="7"/>
        <v>34.745780008276633</v>
      </c>
      <c r="BH18" s="59">
        <f t="shared" si="8"/>
        <v>309.74578000827665</v>
      </c>
      <c r="BI18" s="59">
        <f ca="1">AVERAGE(OFFSET($BH$3,0,0,'Données projet'!$E$11+1,1))-AVERAGE(OFFSET($H$3,0,0,'Données projet'!$E$11+1,1))</f>
        <v>269.19146943657933</v>
      </c>
      <c r="BJ18" s="59">
        <f t="shared" si="38"/>
        <v>185.94138814570965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17.758678989631132</v>
      </c>
      <c r="CA18" s="13">
        <f t="shared" si="39"/>
        <v>5.8550596146042126</v>
      </c>
      <c r="CB18" s="20">
        <f t="shared" si="10"/>
        <v>41.127261402376554</v>
      </c>
      <c r="CC18" s="59">
        <f t="shared" si="11"/>
        <v>316.12726140237658</v>
      </c>
      <c r="CD18" s="59">
        <f ca="1">AVERAGE(OFFSET($CC$3,0,0,'Données projet'!$E$12+1,1))-AVERAGE(OFFSET($H$3,0,0,'Données projet'!$E$12+1,1))</f>
        <v>335.12015893291874</v>
      </c>
      <c r="CE18" s="59">
        <f t="shared" si="40"/>
        <v>224.76596283033166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15.957073874741019</v>
      </c>
      <c r="CV18" s="13">
        <f t="shared" si="41"/>
        <v>5.3269860755326848</v>
      </c>
      <c r="CW18" s="20">
        <f t="shared" si="13"/>
        <v>37.069737746726702</v>
      </c>
      <c r="CX18" s="59">
        <f t="shared" si="14"/>
        <v>312.06973774672667</v>
      </c>
      <c r="CY18" s="59">
        <f ca="1">AVERAGE(OFFSET($CX$3,0,0,'Données projet'!$E$13+1,1))-AVERAGE(OFFSET($H$3,0,0,'Données projet'!$E$13+1,1))</f>
        <v>293.19327646293601</v>
      </c>
      <c r="CZ18" s="59">
        <f t="shared" si="42"/>
        <v>200.0769581869605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4.55</v>
      </c>
      <c r="N19" s="13">
        <f>IF('Données projet'!$A$36&gt;35,N18+M19-V18,IF(A19&lt;'Données projet'!$A$36,$K$205^A19,IF(A19='Données projet'!$A$36,'Données projet'!$B$36,N18+M19-V18)))</f>
        <v>36.917570580704506</v>
      </c>
      <c r="O19" s="13">
        <f>N19*VLOOKUP('Données projet'!$B$9,Paramètres!$A$1:$I$89,3,0)*VLOOKUP('Données projet'!$B$9,Paramètres!$A$1:$I$89,5,0)</f>
        <v>22.076707207261297</v>
      </c>
      <c r="P19" s="13">
        <f t="shared" si="33"/>
        <v>7.0966340462853541</v>
      </c>
      <c r="Q19" s="20">
        <f t="shared" si="2"/>
        <v>50.810236016593741</v>
      </c>
      <c r="R19" s="59">
        <f t="shared" si="0"/>
        <v>327.03245823881599</v>
      </c>
      <c r="S19" s="59">
        <f ca="1">AVERAGE(OFFSET($R$3,0,0,'Données projet'!$E$9+1,1))-AVERAGE(OFFSET($H$3,0,0,'Données projet'!$E$9+1,1))</f>
        <v>246.59447135626942</v>
      </c>
      <c r="T19" s="59">
        <f t="shared" si="34"/>
        <v>262.00382544285367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81</v>
      </c>
      <c r="AG19" s="12">
        <f>VLOOKUP(A19,'Données projet'!$A$61:$I$81,9,0)</f>
        <v>11.25</v>
      </c>
      <c r="AH19" s="12">
        <f t="array" ref="AH19">INDEX(AG:AG,MIN(IF(ISNUMBER(AG19:AG215),ROW(AG19:AG215),"")))</f>
        <v>11.25</v>
      </c>
      <c r="AI19" s="13">
        <f>IF('Données projet'!$A$62&gt;35,AI18+AH19-AQ18,IF(A19&lt;'Données projet'!$A$62,$AF$205^A19,IF(A19='Données projet'!$A$62,'Données projet'!$B$62,AI18+AH19-AQ18)))</f>
        <v>81</v>
      </c>
      <c r="AJ19" s="13">
        <f>AI19*VLOOKUP('Données projet'!$B$10,Paramètres!$A$1:$I$89,3,0)*VLOOKUP('Données projet'!$B$10,Paramètres!$A$1:$I$89,5,0)</f>
        <v>48.438000000000009</v>
      </c>
      <c r="AK19" s="13">
        <f t="shared" si="35"/>
        <v>14.209624244846971</v>
      </c>
      <c r="AL19" s="20">
        <f t="shared" si="4"/>
        <v>109.11127889310849</v>
      </c>
      <c r="AM19" s="59">
        <f t="shared" si="5"/>
        <v>385.33350111533071</v>
      </c>
      <c r="AN19" s="59">
        <f ca="1">AVERAGE(OFFSET($AM$3,0,0,'Données projet'!$E$10+1,1))-AVERAGE(OFFSET($H$3,0,0,'Données projet'!$E$10+1,1))</f>
        <v>195.73441209602686</v>
      </c>
      <c r="AO19" s="59">
        <f t="shared" si="36"/>
        <v>219.19129224309006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15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0.22500000000000001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2.6667970095349296</v>
      </c>
      <c r="AW19" s="21">
        <f>EXP(-LN(2)/2)*AW18+(1-EXP(-LN(2)/2))/(LN(2)/2)*AQ19*AT19*VLOOKUP('Données projet'!$B$10,Paramètres!$A$1:$I$89,3,0)*0.475*44/12</f>
        <v>5.0780618544061999</v>
      </c>
      <c r="AX19" s="21">
        <f t="shared" si="6"/>
        <v>7.7448588639411291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17.995007178485412</v>
      </c>
      <c r="BF19" s="13">
        <f t="shared" si="37"/>
        <v>5.9238546434872337</v>
      </c>
      <c r="BG19" s="20">
        <f t="shared" si="7"/>
        <v>41.658684339935689</v>
      </c>
      <c r="BH19" s="59">
        <f t="shared" si="8"/>
        <v>317.88090656215792</v>
      </c>
      <c r="BI19" s="59">
        <f ca="1">AVERAGE(OFFSET($BH$3,0,0,'Données projet'!$E$11+1,1))-AVERAGE(OFFSET($H$3,0,0,'Données projet'!$E$11+1,1))</f>
        <v>269.19146943657933</v>
      </c>
      <c r="BJ19" s="59">
        <f t="shared" si="38"/>
        <v>185.94138814570965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21.407853367508512</v>
      </c>
      <c r="CA19" s="13">
        <f t="shared" si="39"/>
        <v>6.906316464991046</v>
      </c>
      <c r="CB19" s="20">
        <f t="shared" si="10"/>
        <v>49.313845791603399</v>
      </c>
      <c r="CC19" s="59">
        <f t="shared" si="11"/>
        <v>325.53606801382563</v>
      </c>
      <c r="CD19" s="59">
        <f ca="1">AVERAGE(OFFSET($CC$3,0,0,'Données projet'!$E$12+1,1))-AVERAGE(OFFSET($H$3,0,0,'Données projet'!$E$12+1,1))</f>
        <v>335.12015893291874</v>
      </c>
      <c r="CE19" s="59">
        <f t="shared" si="40"/>
        <v>224.76596283033166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19.236042156311996</v>
      </c>
      <c r="CV19" s="13">
        <f t="shared" si="41"/>
        <v>6.2834290449348904</v>
      </c>
      <c r="CW19" s="20">
        <f t="shared" si="13"/>
        <v>44.446412342171662</v>
      </c>
      <c r="CX19" s="59">
        <f t="shared" si="14"/>
        <v>320.66863456439387</v>
      </c>
      <c r="CY19" s="59">
        <f ca="1">AVERAGE(OFFSET($CX$3,0,0,'Données projet'!$E$13+1,1))-AVERAGE(OFFSET($H$3,0,0,'Données projet'!$E$13+1,1))</f>
        <v>293.19327646293601</v>
      </c>
      <c r="CZ19" s="59">
        <f t="shared" si="42"/>
        <v>200.0769581869605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4.55</v>
      </c>
      <c r="N20" s="13">
        <f>IF('Données projet'!$A$36&gt;35,N19+M20-V19,IF(A20&lt;'Données projet'!$A$36,$K$205^A20,IF(A20='Données projet'!$A$36,'Données projet'!$B$36,N19+M20-V19)))</f>
        <v>46.257822303288052</v>
      </c>
      <c r="O20" s="13">
        <f>N20*VLOOKUP('Données projet'!$B$9,Paramètres!$A$1:$I$89,3,0)*VLOOKUP('Données projet'!$B$9,Paramètres!$A$1:$I$89,5,0)</f>
        <v>27.66217773736626</v>
      </c>
      <c r="P20" s="13">
        <f t="shared" si="33"/>
        <v>8.6616944434151719</v>
      </c>
      <c r="Q20" s="20">
        <f t="shared" si="2"/>
        <v>63.264077381527663</v>
      </c>
      <c r="R20" s="59">
        <f t="shared" si="0"/>
        <v>340.70852182597213</v>
      </c>
      <c r="S20" s="59">
        <f ca="1">AVERAGE(OFFSET($R$3,0,0,'Données projet'!$E$9+1,1))-AVERAGE(OFFSET($H$3,0,0,'Données projet'!$E$9+1,1))</f>
        <v>246.59447135626942</v>
      </c>
      <c r="T20" s="59">
        <f t="shared" si="34"/>
        <v>262.00382544285367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13.25</v>
      </c>
      <c r="AI20" s="13">
        <f>IF('Données projet'!$A$62&gt;35,AI19+AH20-AQ19,IF(A20&lt;'Données projet'!$A$62,$AF$205^A20,IF(A20='Données projet'!$A$62,'Données projet'!$B$62,AI19+AH20-AQ19)))</f>
        <v>79.25</v>
      </c>
      <c r="AJ20" s="13">
        <f>AI20*VLOOKUP('Données projet'!$B$10,Paramètres!$A$1:$I$89,3,0)*VLOOKUP('Données projet'!$B$10,Paramètres!$A$1:$I$89,5,0)</f>
        <v>47.391500000000001</v>
      </c>
      <c r="AK20" s="13">
        <f t="shared" si="35"/>
        <v>13.938016900926096</v>
      </c>
      <c r="AL20" s="20">
        <f t="shared" si="4"/>
        <v>106.81557526911295</v>
      </c>
      <c r="AM20" s="59">
        <f t="shared" si="5"/>
        <v>384.26001971355743</v>
      </c>
      <c r="AN20" s="59">
        <f ca="1">AVERAGE(OFFSET($AM$3,0,0,'Données projet'!$E$10+1,1))-AVERAGE(OFFSET($H$3,0,0,'Données projet'!$E$10+1,1))</f>
        <v>195.73441209602686</v>
      </c>
      <c r="AO20" s="59">
        <f t="shared" si="36"/>
        <v>219.19129224309006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2.5938733050684371</v>
      </c>
      <c r="AW20" s="21">
        <f>EXP(-LN(2)/2)*AW19+(1-EXP(-LN(2)/2))/(LN(2)/2)*AQ20*AT20*VLOOKUP('Données projet'!$B$10,Paramètres!$A$1:$I$89,3,0)*0.475*44/12</f>
        <v>3.5907319725353588</v>
      </c>
      <c r="AX20" s="21">
        <f t="shared" si="6"/>
        <v>6.1846052776037954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21.692743883101215</v>
      </c>
      <c r="BF20" s="13">
        <f t="shared" si="37"/>
        <v>6.98746341685115</v>
      </c>
      <c r="BG20" s="20">
        <f t="shared" si="7"/>
        <v>49.951361047417038</v>
      </c>
      <c r="BH20" s="59">
        <f t="shared" si="8"/>
        <v>327.39580549186149</v>
      </c>
      <c r="BI20" s="59">
        <f ca="1">AVERAGE(OFFSET($BH$3,0,0,'Données projet'!$E$11+1,1))-AVERAGE(OFFSET($H$3,0,0,'Données projet'!$E$11+1,1))</f>
        <v>269.19146943657933</v>
      </c>
      <c r="BJ20" s="59">
        <f t="shared" si="38"/>
        <v>185.94138814570965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25.80688496437903</v>
      </c>
      <c r="CA20" s="13">
        <f t="shared" si="39"/>
        <v>8.146323052908933</v>
      </c>
      <c r="CB20" s="20">
        <f t="shared" si="10"/>
        <v>59.135170630109862</v>
      </c>
      <c r="CC20" s="59">
        <f t="shared" si="11"/>
        <v>336.57961507455434</v>
      </c>
      <c r="CD20" s="59">
        <f ca="1">AVERAGE(OFFSET($CC$3,0,0,'Données projet'!$E$12+1,1))-AVERAGE(OFFSET($H$3,0,0,'Données projet'!$E$12+1,1))</f>
        <v>335.12015893291874</v>
      </c>
      <c r="CE20" s="59">
        <f t="shared" si="40"/>
        <v>224.76596283033166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23.188795185384055</v>
      </c>
      <c r="CV20" s="13">
        <f t="shared" si="41"/>
        <v>7.4115982288884323</v>
      </c>
      <c r="CW20" s="20">
        <f t="shared" si="13"/>
        <v>53.29568519652458</v>
      </c>
      <c r="CX20" s="59">
        <f t="shared" si="14"/>
        <v>330.74012964096903</v>
      </c>
      <c r="CY20" s="59">
        <f ca="1">AVERAGE(OFFSET($CX$3,0,0,'Données projet'!$E$13+1,1))-AVERAGE(OFFSET($H$3,0,0,'Données projet'!$E$13+1,1))</f>
        <v>293.19327646293601</v>
      </c>
      <c r="CZ20" s="59">
        <f t="shared" si="42"/>
        <v>200.0769581869605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4.55</v>
      </c>
      <c r="N21" s="13">
        <f>IF('Données projet'!$A$36&gt;35,N20+M21-V20,IF(A21&lt;'Données projet'!$A$36,$K$205^A21,IF(A21='Données projet'!$A$36,'Données projet'!$B$36,N20+M21-V20)))</f>
        <v>57.961184622505009</v>
      </c>
      <c r="O21" s="13">
        <f>N21*VLOOKUP('Données projet'!$B$9,Paramètres!$A$1:$I$89,3,0)*VLOOKUP('Données projet'!$B$9,Paramètres!$A$1:$I$89,5,0)</f>
        <v>34.660788404258</v>
      </c>
      <c r="P21" s="13">
        <f t="shared" si="33"/>
        <v>10.571906363180744</v>
      </c>
      <c r="Q21" s="20">
        <f t="shared" si="2"/>
        <v>78.780276719955808</v>
      </c>
      <c r="R21" s="59">
        <f t="shared" si="0"/>
        <v>357.44694338662248</v>
      </c>
      <c r="S21" s="59">
        <f ca="1">AVERAGE(OFFSET($R$3,0,0,'Données projet'!$E$9+1,1))-AVERAGE(OFFSET($H$3,0,0,'Données projet'!$E$9+1,1))</f>
        <v>246.59447135626942</v>
      </c>
      <c r="T21" s="59">
        <f t="shared" si="34"/>
        <v>262.00382544285367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13.25</v>
      </c>
      <c r="AI21" s="13">
        <f>IF('Données projet'!$A$62&gt;35,AI20+AH21-AQ20,IF(A21&lt;'Données projet'!$A$62,$AF$205^A21,IF(A21='Données projet'!$A$62,'Données projet'!$B$62,AI20+AH21-AQ20)))</f>
        <v>92.5</v>
      </c>
      <c r="AJ21" s="13">
        <f>AI21*VLOOKUP('Données projet'!$B$10,Paramètres!$A$1:$I$89,3,0)*VLOOKUP('Données projet'!$B$10,Paramètres!$A$1:$I$89,5,0)</f>
        <v>55.315000000000005</v>
      </c>
      <c r="AK21" s="13">
        <f t="shared" si="35"/>
        <v>15.978207841877614</v>
      </c>
      <c r="AL21" s="20">
        <f t="shared" si="4"/>
        <v>124.16900365793684</v>
      </c>
      <c r="AM21" s="59">
        <f t="shared" si="5"/>
        <v>402.83567032460354</v>
      </c>
      <c r="AN21" s="59">
        <f ca="1">AVERAGE(OFFSET($AM$3,0,0,'Données projet'!$E$10+1,1))-AVERAGE(OFFSET($H$3,0,0,'Données projet'!$E$10+1,1))</f>
        <v>195.73441209602686</v>
      </c>
      <c r="AO21" s="59">
        <f t="shared" si="36"/>
        <v>219.19129224309006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2.5229437031354718</v>
      </c>
      <c r="AW21" s="21">
        <f>EXP(-LN(2)/2)*AW20+(1-EXP(-LN(2)/2))/(LN(2)/2)*AQ21*AT21*VLOOKUP('Données projet'!$B$10,Paramètres!$A$1:$I$89,3,0)*0.475*44/12</f>
        <v>2.5390309272031004</v>
      </c>
      <c r="AX21" s="21">
        <f t="shared" si="6"/>
        <v>5.0619746303385718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26.150316724543362</v>
      </c>
      <c r="BF21" s="13">
        <f t="shared" si="37"/>
        <v>8.2420396752158016</v>
      </c>
      <c r="BG21" s="20">
        <f t="shared" si="7"/>
        <v>59.900020729580547</v>
      </c>
      <c r="BH21" s="59">
        <f t="shared" si="8"/>
        <v>338.56668739624723</v>
      </c>
      <c r="BI21" s="59">
        <f ca="1">AVERAGE(OFFSET($BH$3,0,0,'Données projet'!$E$11+1,1))-AVERAGE(OFFSET($H$3,0,0,'Données projet'!$E$11+1,1))</f>
        <v>269.19146943657933</v>
      </c>
      <c r="BJ21" s="59">
        <f t="shared" si="38"/>
        <v>185.94138814570965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31.109859551611933</v>
      </c>
      <c r="CA21" s="13">
        <f t="shared" si="39"/>
        <v>9.6089687778941872</v>
      </c>
      <c r="CB21" s="20">
        <f t="shared" si="10"/>
        <v>70.918626007223153</v>
      </c>
      <c r="CC21" s="59">
        <f t="shared" si="11"/>
        <v>349.58529267388985</v>
      </c>
      <c r="CD21" s="59">
        <f ca="1">AVERAGE(OFFSET($CC$3,0,0,'Données projet'!$E$12+1,1))-AVERAGE(OFFSET($H$3,0,0,'Données projet'!$E$12+1,1))</f>
        <v>335.12015893291874</v>
      </c>
      <c r="CE21" s="59">
        <f t="shared" si="40"/>
        <v>224.76596283033166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27.953786843477392</v>
      </c>
      <c r="CV21" s="13">
        <f t="shared" si="41"/>
        <v>8.7423265089215931</v>
      </c>
      <c r="CW21" s="20">
        <f t="shared" si="13"/>
        <v>63.912397422094891</v>
      </c>
      <c r="CX21" s="59">
        <f t="shared" si="14"/>
        <v>342.57906408876158</v>
      </c>
      <c r="CY21" s="59">
        <f ca="1">AVERAGE(OFFSET($CX$3,0,0,'Données projet'!$E$13+1,1))-AVERAGE(OFFSET($H$3,0,0,'Données projet'!$E$13+1,1))</f>
        <v>293.19327646293601</v>
      </c>
      <c r="CZ21" s="59">
        <f t="shared" si="42"/>
        <v>200.0769581869605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4.55</v>
      </c>
      <c r="N22" s="13">
        <f>IF('Données projet'!$A$36&gt;35,N21+M22-V21,IF(A22&lt;'Données projet'!$A$36,$K$205^A22,IF(A22='Données projet'!$A$36,'Données projet'!$B$36,N21+M22-V21)))</f>
        <v>72.625531327818578</v>
      </c>
      <c r="O22" s="13">
        <f>N22*VLOOKUP('Données projet'!$B$9,Paramètres!$A$1:$I$89,3,0)*VLOOKUP('Données projet'!$B$9,Paramètres!$A$1:$I$89,5,0)</f>
        <v>43.430067734035511</v>
      </c>
      <c r="P22" s="13">
        <f t="shared" si="33"/>
        <v>12.903388001273598</v>
      </c>
      <c r="Q22" s="20">
        <f t="shared" si="2"/>
        <v>98.114102072330027</v>
      </c>
      <c r="R22" s="59">
        <f t="shared" si="0"/>
        <v>378.00299096121887</v>
      </c>
      <c r="S22" s="59">
        <f ca="1">AVERAGE(OFFSET($R$3,0,0,'Données projet'!$E$9+1,1))-AVERAGE(OFFSET($H$3,0,0,'Données projet'!$E$9+1,1))</f>
        <v>246.59447135626942</v>
      </c>
      <c r="T22" s="59">
        <f t="shared" si="34"/>
        <v>262.00382544285367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13.25</v>
      </c>
      <c r="AI22" s="13">
        <f>IF('Données projet'!$A$62&gt;35,AI21+AH22-AQ21,IF(A22&lt;'Données projet'!$A$62,$AF$205^A22,IF(A22='Données projet'!$A$62,'Données projet'!$B$62,AI21+AH22-AQ21)))</f>
        <v>105.75</v>
      </c>
      <c r="AJ22" s="13">
        <f>AI22*VLOOKUP('Données projet'!$B$10,Paramètres!$A$1:$I$89,3,0)*VLOOKUP('Données projet'!$B$10,Paramètres!$A$1:$I$89,5,0)</f>
        <v>63.238500000000009</v>
      </c>
      <c r="AK22" s="13">
        <f t="shared" si="35"/>
        <v>17.984541540394584</v>
      </c>
      <c r="AL22" s="20">
        <f t="shared" si="4"/>
        <v>141.46346401618726</v>
      </c>
      <c r="AM22" s="59">
        <f t="shared" si="5"/>
        <v>421.35235290507615</v>
      </c>
      <c r="AN22" s="59">
        <f ca="1">AVERAGE(OFFSET($AM$3,0,0,'Données projet'!$E$10+1,1))-AVERAGE(OFFSET($H$3,0,0,'Données projet'!$E$10+1,1))</f>
        <v>195.73441209602686</v>
      </c>
      <c r="AO22" s="59">
        <f t="shared" si="36"/>
        <v>219.19129224309006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2.4539536748973894</v>
      </c>
      <c r="AW22" s="21">
        <f>EXP(-LN(2)/2)*AW21+(1-EXP(-LN(2)/2))/(LN(2)/2)*AQ22*AT22*VLOOKUP('Données projet'!$B$10,Paramètres!$A$1:$I$89,3,0)*0.475*44/12</f>
        <v>1.7953659862676796</v>
      </c>
      <c r="AX22" s="21">
        <f t="shared" si="6"/>
        <v>4.2493196611650692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31.52386201022027</v>
      </c>
      <c r="BF22" s="13">
        <f t="shared" si="37"/>
        <v>9.7218710074397983</v>
      </c>
      <c r="BG22" s="20">
        <f t="shared" si="7"/>
        <v>71.836318339091292</v>
      </c>
      <c r="BH22" s="59">
        <f t="shared" si="8"/>
        <v>351.72520722798015</v>
      </c>
      <c r="BI22" s="59">
        <f ca="1">AVERAGE(OFFSET($BH$3,0,0,'Données projet'!$E$11+1,1))-AVERAGE(OFFSET($H$3,0,0,'Données projet'!$E$11+1,1))</f>
        <v>269.19146943657933</v>
      </c>
      <c r="BJ22" s="59">
        <f t="shared" si="38"/>
        <v>185.94138814570965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37.502525494917215</v>
      </c>
      <c r="CA22" s="13">
        <f t="shared" si="39"/>
        <v>11.334227770598273</v>
      </c>
      <c r="CB22" s="20">
        <f t="shared" si="10"/>
        <v>85.057345270772814</v>
      </c>
      <c r="CC22" s="59">
        <f t="shared" si="11"/>
        <v>364.94623415966169</v>
      </c>
      <c r="CD22" s="59">
        <f ca="1">AVERAGE(OFFSET($CC$3,0,0,'Données projet'!$E$12+1,1))-AVERAGE(OFFSET($H$3,0,0,'Données projet'!$E$12+1,1))</f>
        <v>335.12015893291874</v>
      </c>
      <c r="CE22" s="59">
        <f t="shared" si="40"/>
        <v>224.76596283033166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33.697921459200977</v>
      </c>
      <c r="CV22" s="13">
        <f t="shared" si="41"/>
        <v>10.31198270984201</v>
      </c>
      <c r="CW22" s="20">
        <f t="shared" si="13"/>
        <v>76.650583094416518</v>
      </c>
      <c r="CX22" s="59">
        <f t="shared" si="14"/>
        <v>356.53947198330536</v>
      </c>
      <c r="CY22" s="59">
        <f ca="1">AVERAGE(OFFSET($CX$3,0,0,'Données projet'!$E$13+1,1))-AVERAGE(OFFSET($H$3,0,0,'Données projet'!$E$13+1,1))</f>
        <v>293.19327646293601</v>
      </c>
      <c r="CZ22" s="59">
        <f t="shared" si="42"/>
        <v>200.0769581869605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91</v>
      </c>
      <c r="L23" s="12">
        <f>VLOOKUP(A23,'Données projet'!$A$35:$I$55,9,0)</f>
        <v>4.55</v>
      </c>
      <c r="M23" s="12">
        <f t="array" ref="M23">INDEX(L:L,MIN(IF(ISNUMBER(L23:L219),ROW(L23:L219),"")))</f>
        <v>4.55</v>
      </c>
      <c r="N23" s="13">
        <f>IF('Données projet'!$A$36&gt;35,N22+M23-V22,IF(A23&lt;'Données projet'!$A$36,$K$205^A23,IF(A23='Données projet'!$A$36,'Données projet'!$B$36,N22+M23-V22)))</f>
        <v>91</v>
      </c>
      <c r="O23" s="13">
        <f>N23*VLOOKUP('Données projet'!$B$9,Paramètres!$A$1:$I$89,3,0)*VLOOKUP('Données projet'!$B$9,Paramètres!$A$1:$I$89,5,0)</f>
        <v>54.417999999999999</v>
      </c>
      <c r="P23" s="13">
        <f t="shared" si="33"/>
        <v>15.749044324804036</v>
      </c>
      <c r="Q23" s="20">
        <f t="shared" si="2"/>
        <v>122.20760219903367</v>
      </c>
      <c r="R23" s="59">
        <f t="shared" si="0"/>
        <v>403.3187133101448</v>
      </c>
      <c r="S23" s="59">
        <f ca="1">AVERAGE(OFFSET($R$3,0,0,'Données projet'!$E$9+1,1))-AVERAGE(OFFSET($H$3,0,0,'Données projet'!$E$9+1,1))</f>
        <v>246.59447135626942</v>
      </c>
      <c r="T23" s="59">
        <f t="shared" si="34"/>
        <v>262.00382544285367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0.22500000000000001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0.53335940190698583</v>
      </c>
      <c r="AB23" s="21">
        <f>EXP(-LN(2)/2)*AB22+(1-EXP(-LN(2)/2))/(LN(2)/2)*V23*Y23*VLOOKUP('Données projet'!$B$9,Paramètres!$A$1:$I$89,3,0)*0.475*44/12</f>
        <v>1.0156123708812399</v>
      </c>
      <c r="AC23" s="22">
        <f t="shared" si="3"/>
        <v>1.5489717727882257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119</v>
      </c>
      <c r="AG23" s="12">
        <f>VLOOKUP(A23,'Données projet'!$A$61:$I$81,9,0)</f>
        <v>13.25</v>
      </c>
      <c r="AH23" s="12">
        <f t="array" ref="AH23">INDEX(AG:AG,MIN(IF(ISNUMBER(AG23:AG219),ROW(AG23:AG219),"")))</f>
        <v>13.25</v>
      </c>
      <c r="AI23" s="13">
        <f>IF('Données projet'!$A$62&gt;35,AI22+AH23-AQ22,IF(A23&lt;'Données projet'!$A$62,$AF$205^A23,IF(A23='Données projet'!$A$62,'Données projet'!$B$62,AI22+AH23-AQ22)))</f>
        <v>119</v>
      </c>
      <c r="AJ23" s="13">
        <f>AI23*VLOOKUP('Données projet'!$B$10,Paramètres!$A$1:$I$89,3,0)*VLOOKUP('Données projet'!$B$10,Paramètres!$A$1:$I$89,5,0)</f>
        <v>71.162000000000006</v>
      </c>
      <c r="AK23" s="13">
        <f t="shared" si="35"/>
        <v>19.961746043676346</v>
      </c>
      <c r="AL23" s="20">
        <f t="shared" si="4"/>
        <v>158.70719102606964</v>
      </c>
      <c r="AM23" s="59">
        <f t="shared" si="5"/>
        <v>439.81830213718081</v>
      </c>
      <c r="AN23" s="59">
        <f ca="1">AVERAGE(OFFSET($AM$3,0,0,'Données projet'!$E$10+1,1))-AVERAGE(OFFSET($H$3,0,0,'Données projet'!$E$10+1,1))</f>
        <v>195.73441209602686</v>
      </c>
      <c r="AO23" s="59">
        <f t="shared" si="36"/>
        <v>219.19129224309006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4.5000000000000005E-2</v>
      </c>
      <c r="AS23" s="16">
        <f>IF(ISNA(VLOOKUP(A23,'Données projet'!$A$61:$I$81,6,0)),0%,VLOOKUP(A23,'Données projet'!$A$61:$I$81,6,0)*VLOOKUP('Données projet'!$B$10,Paramètres!$A$1:$I$89,7,0))</f>
        <v>0.20250000000000001</v>
      </c>
      <c r="AT23" s="16">
        <f>IF(ISNA(VLOOKUP(A23,'Données projet'!$A$61:$I$81,7,0)),0%,VLOOKUP(A23,'Données projet'!$A$61:$I$81,7,0))</f>
        <v>0.45</v>
      </c>
      <c r="AU23" s="21">
        <f>EXP(-LN(2)/35)*AU22+(1-EXP(-LN(2)/35))/(LN(2)/35)*AQ23*AR23*VLOOKUP('Données projet'!$B$10,Paramètres!$A$1:$I$89,3,0)*0.475*44/12</f>
        <v>0.78535268890931675</v>
      </c>
      <c r="AV23" s="21">
        <f>EXP(-LN(2)/25)*AV22+(1-EXP(-LN(2)/25))/(LN(2)/25)*Calculateur!AQ23*Calculateur!AS23*VLOOKUP('Données projet'!$B$10,Paramètres!$A$1:$I$89,3,0)*0.475*44/12</f>
        <v>5.9070222351956119</v>
      </c>
      <c r="AW23" s="21">
        <f>EXP(-LN(2)/2)*AW22+(1-EXP(-LN(2)/2))/(LN(2)/2)*AQ23*AT23*VLOOKUP('Données projet'!$B$10,Paramètres!$A$1:$I$89,3,0)*0.475*44/12</f>
        <v>7.9725571114177329</v>
      </c>
      <c r="AX23" s="21">
        <f t="shared" si="6"/>
        <v>14.664932035522661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38.001600000000003</v>
      </c>
      <c r="BF23" s="13">
        <f t="shared" si="37"/>
        <v>11.467401227090512</v>
      </c>
      <c r="BG23" s="20">
        <f t="shared" si="7"/>
        <v>86.158510470515978</v>
      </c>
      <c r="BH23" s="59">
        <f t="shared" si="8"/>
        <v>367.26962158162712</v>
      </c>
      <c r="BI23" s="59">
        <f ca="1">AVERAGE(OFFSET($BH$3,0,0,'Données projet'!$E$11+1,1))-AVERAGE(OFFSET($H$3,0,0,'Données projet'!$E$11+1,1))</f>
        <v>269.19146943657933</v>
      </c>
      <c r="BJ23" s="59">
        <f t="shared" si="38"/>
        <v>185.94138814570965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45.208799999999997</v>
      </c>
      <c r="CA23" s="13">
        <f t="shared" si="39"/>
        <v>13.369251386406743</v>
      </c>
      <c r="CB23" s="20">
        <f t="shared" si="10"/>
        <v>102.02343949799173</v>
      </c>
      <c r="CC23" s="59">
        <f t="shared" si="11"/>
        <v>383.13455060910286</v>
      </c>
      <c r="CD23" s="59">
        <f ca="1">AVERAGE(OFFSET($CC$3,0,0,'Données projet'!$E$12+1,1))-AVERAGE(OFFSET($H$3,0,0,'Données projet'!$E$12+1,1))</f>
        <v>335.12015893291874</v>
      </c>
      <c r="CE23" s="59">
        <f t="shared" si="40"/>
        <v>224.76596283033166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40.622399999999999</v>
      </c>
      <c r="CV23" s="13">
        <f t="shared" si="41"/>
        <v>12.163465560290264</v>
      </c>
      <c r="CW23" s="20">
        <f t="shared" si="13"/>
        <v>91.935382517505545</v>
      </c>
      <c r="CX23" s="59">
        <f t="shared" si="14"/>
        <v>373.0464936286167</v>
      </c>
      <c r="CY23" s="59">
        <f ca="1">AVERAGE(OFFSET($CX$3,0,0,'Données projet'!$E$13+1,1))-AVERAGE(OFFSET($H$3,0,0,'Données projet'!$E$13+1,1))</f>
        <v>293.19327646293601</v>
      </c>
      <c r="CZ23" s="59">
        <f t="shared" si="42"/>
        <v>200.0769581869605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</v>
      </c>
      <c r="N24" s="13">
        <f>IF('Données projet'!$A$36&gt;35,N23+M24-V23,IF(A24&lt;'Données projet'!$A$36,$K$205^A24,IF(A24='Données projet'!$A$36,'Données projet'!$B$36,N23+M24-V23)))</f>
        <v>101</v>
      </c>
      <c r="O24" s="13">
        <f>N24*VLOOKUP('Données projet'!$B$9,Paramètres!$A$1:$I$89,3,0)*VLOOKUP('Données projet'!$B$9,Paramètres!$A$1:$I$89,5,0)</f>
        <v>60.398000000000003</v>
      </c>
      <c r="P24" s="13">
        <f t="shared" si="33"/>
        <v>17.26885714728807</v>
      </c>
      <c r="Q24" s="20">
        <f t="shared" si="2"/>
        <v>135.26977619819337</v>
      </c>
      <c r="R24" s="59">
        <f t="shared" si="0"/>
        <v>417.60310953152668</v>
      </c>
      <c r="S24" s="59">
        <f ca="1">AVERAGE(OFFSET($R$3,0,0,'Données projet'!$E$9+1,1))-AVERAGE(OFFSET($H$3,0,0,'Données projet'!$E$9+1,1))</f>
        <v>246.59447135626942</v>
      </c>
      <c r="T24" s="59">
        <f t="shared" si="34"/>
        <v>262.00382544285367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0.51877466101368741</v>
      </c>
      <c r="AB24" s="21">
        <f>EXP(-LN(2)/2)*AB23+(1-EXP(-LN(2)/2))/(LN(2)/2)*V24*Y24*VLOOKUP('Données projet'!$B$9,Paramètres!$A$1:$I$89,3,0)*0.475*44/12</f>
        <v>0.71814639450707174</v>
      </c>
      <c r="AC24" s="22">
        <f t="shared" si="3"/>
        <v>1.2369210555207593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112</v>
      </c>
      <c r="AJ24" s="13">
        <f>AI24*VLOOKUP('Données projet'!$B$10,Paramètres!$A$1:$I$89,3,0)*VLOOKUP('Données projet'!$B$10,Paramètres!$A$1:$I$89,5,0)</f>
        <v>66.976000000000013</v>
      </c>
      <c r="AK24" s="13">
        <f t="shared" si="35"/>
        <v>18.920572617446965</v>
      </c>
      <c r="AL24" s="20">
        <f t="shared" si="4"/>
        <v>149.60319730872013</v>
      </c>
      <c r="AM24" s="59">
        <f t="shared" si="5"/>
        <v>431.93653064205341</v>
      </c>
      <c r="AN24" s="59">
        <f ca="1">AVERAGE(OFFSET($AM$3,0,0,'Données projet'!$E$10+1,1))-AVERAGE(OFFSET($H$3,0,0,'Données projet'!$E$10+1,1))</f>
        <v>195.73441209602686</v>
      </c>
      <c r="AO24" s="59">
        <f t="shared" si="36"/>
        <v>219.19129224309006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0.76995240169764623</v>
      </c>
      <c r="AV24" s="21">
        <f>EXP(-LN(2)/25)*AV23+(1-EXP(-LN(2)/25))/(LN(2)/25)*Calculateur!AQ24*Calculateur!AS24*VLOOKUP('Données projet'!$B$10,Paramètres!$A$1:$I$89,3,0)*0.475*44/12</f>
        <v>5.745494401537389</v>
      </c>
      <c r="AW24" s="21">
        <f>EXP(-LN(2)/2)*AW23+(1-EXP(-LN(2)/2))/(LN(2)/2)*AQ24*AT24*VLOOKUP('Données projet'!$B$10,Paramètres!$A$1:$I$89,3,0)*0.475*44/12</f>
        <v>5.6374491968805129</v>
      </c>
      <c r="AX24" s="21">
        <f t="shared" si="6"/>
        <v>12.152896000115547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43.701839999999997</v>
      </c>
      <c r="BF24" s="13">
        <f t="shared" si="37"/>
        <v>12.974708810432297</v>
      </c>
      <c r="BG24" s="20">
        <f t="shared" si="7"/>
        <v>98.711655844836244</v>
      </c>
      <c r="BH24" s="59">
        <f t="shared" si="8"/>
        <v>381.04498917816954</v>
      </c>
      <c r="BI24" s="59">
        <f ca="1">AVERAGE(OFFSET($BH$3,0,0,'Données projet'!$E$11+1,1))-AVERAGE(OFFSET($H$3,0,0,'Données projet'!$E$11+1,1))</f>
        <v>269.19146943657933</v>
      </c>
      <c r="BJ24" s="59">
        <f t="shared" si="38"/>
        <v>185.94138814570965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51.990119999999997</v>
      </c>
      <c r="CA24" s="13">
        <f t="shared" si="39"/>
        <v>15.126543522547198</v>
      </c>
      <c r="CB24" s="20">
        <f t="shared" si="10"/>
        <v>116.89485563510304</v>
      </c>
      <c r="CC24" s="59">
        <f t="shared" si="11"/>
        <v>399.22818896843637</v>
      </c>
      <c r="CD24" s="59">
        <f ca="1">AVERAGE(OFFSET($CC$3,0,0,'Données projet'!$E$12+1,1))-AVERAGE(OFFSET($H$3,0,0,'Données projet'!$E$12+1,1))</f>
        <v>335.12015893291874</v>
      </c>
      <c r="CE24" s="59">
        <f t="shared" si="40"/>
        <v>224.76596283033166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</v>
      </c>
      <c r="CT24" s="12">
        <f>IF('Données projet'!$A$140&gt;35,CT23+CS24-DB23,IF(A24&lt;'Données projet'!$A$140,$CQ$205^A24,IF(A24='Données projet'!$A$140,'Données projet'!$B$140,CT23+CS24-DB23)))</f>
        <v>48.3</v>
      </c>
      <c r="CU24" s="17">
        <f>CT24*VLOOKUP('Données projet'!$B$13,Paramètres!$A$1:$I$89,3,0)*VLOOKUP('Données projet'!$B$13,Paramètres!$A$1:$I$89,5,0)</f>
        <v>46.715759999999996</v>
      </c>
      <c r="CV24" s="13">
        <f t="shared" si="41"/>
        <v>13.762265804187708</v>
      </c>
      <c r="CW24" s="20">
        <f t="shared" si="13"/>
        <v>105.33256160896025</v>
      </c>
      <c r="CX24" s="59">
        <f t="shared" si="14"/>
        <v>387.66589494229356</v>
      </c>
      <c r="CY24" s="59">
        <f ca="1">AVERAGE(OFFSET($CX$3,0,0,'Données projet'!$E$13+1,1))-AVERAGE(OFFSET($H$3,0,0,'Données projet'!$E$13+1,1))</f>
        <v>293.19327646293601</v>
      </c>
      <c r="CZ24" s="59">
        <f t="shared" si="42"/>
        <v>200.0769581869605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13</v>
      </c>
      <c r="N25" s="13">
        <f>IF('Données projet'!$A$36&gt;35,N24+M25-V24,IF(A25&lt;'Données projet'!$A$36,$K$205^A25,IF(A25='Données projet'!$A$36,'Données projet'!$B$36,N24+M25-V24)))</f>
        <v>114</v>
      </c>
      <c r="O25" s="13">
        <f>N25*VLOOKUP('Données projet'!$B$9,Paramètres!$A$1:$I$89,3,0)*VLOOKUP('Données projet'!$B$9,Paramètres!$A$1:$I$89,5,0)</f>
        <v>68.172000000000011</v>
      </c>
      <c r="P25" s="13">
        <f t="shared" si="33"/>
        <v>19.21880399855084</v>
      </c>
      <c r="Q25" s="20">
        <f t="shared" si="2"/>
        <v>152.20565029747607</v>
      </c>
      <c r="R25" s="59">
        <f t="shared" si="0"/>
        <v>435.76120585303158</v>
      </c>
      <c r="S25" s="59">
        <f ca="1">AVERAGE(OFFSET($R$3,0,0,'Données projet'!$E$9+1,1))-AVERAGE(OFFSET($H$3,0,0,'Données projet'!$E$9+1,1))</f>
        <v>246.59447135626942</v>
      </c>
      <c r="T25" s="59">
        <f t="shared" si="34"/>
        <v>262.00382544285367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0.50458874062709436</v>
      </c>
      <c r="AB25" s="21">
        <f>EXP(-LN(2)/2)*AB24+(1-EXP(-LN(2)/2))/(LN(2)/2)*V25*Y25*VLOOKUP('Données projet'!$B$9,Paramètres!$A$1:$I$89,3,0)*0.475*44/12</f>
        <v>0.50780618544062006</v>
      </c>
      <c r="AC25" s="22">
        <f t="shared" si="3"/>
        <v>1.0123949260677145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75.945999999999998</v>
      </c>
      <c r="AK25" s="13">
        <f t="shared" si="35"/>
        <v>21.142979995226831</v>
      </c>
      <c r="AL25" s="20">
        <f t="shared" si="4"/>
        <v>169.09664015835338</v>
      </c>
      <c r="AM25" s="59">
        <f t="shared" si="5"/>
        <v>452.6521957139089</v>
      </c>
      <c r="AN25" s="59">
        <f ca="1">AVERAGE(OFFSET($AM$3,0,0,'Données projet'!$E$10+1,1))-AVERAGE(OFFSET($H$3,0,0,'Données projet'!$E$10+1,1))</f>
        <v>195.73441209602686</v>
      </c>
      <c r="AO25" s="59">
        <f t="shared" si="36"/>
        <v>219.19129224309006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0.75485410472494885</v>
      </c>
      <c r="AV25" s="21">
        <f>EXP(-LN(2)/25)*AV24+(1-EXP(-LN(2)/25))/(LN(2)/25)*Calculateur!AQ25*Calculateur!AS25*VLOOKUP('Données projet'!$B$10,Paramètres!$A$1:$I$89,3,0)*0.475*44/12</f>
        <v>5.5883835549849303</v>
      </c>
      <c r="AW25" s="21">
        <f>EXP(-LN(2)/2)*AW24+(1-EXP(-LN(2)/2))/(LN(2)/2)*AQ25*AT25*VLOOKUP('Données projet'!$B$10,Paramètres!$A$1:$I$89,3,0)*0.475*44/12</f>
        <v>3.9862785557088674</v>
      </c>
      <c r="AX25" s="21">
        <f t="shared" si="6"/>
        <v>10.329516215418746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49.402079999999998</v>
      </c>
      <c r="BF25" s="13">
        <f t="shared" si="37"/>
        <v>14.459236264867963</v>
      </c>
      <c r="BG25" s="20">
        <f t="shared" si="7"/>
        <v>111.22512582797835</v>
      </c>
      <c r="BH25" s="59">
        <f t="shared" si="8"/>
        <v>394.78068138353387</v>
      </c>
      <c r="BI25" s="59">
        <f ca="1">AVERAGE(OFFSET($BH$3,0,0,'Données projet'!$E$11+1,1))-AVERAGE(OFFSET($H$3,0,0,'Données projet'!$E$11+1,1))</f>
        <v>269.19146943657933</v>
      </c>
      <c r="BJ25" s="59">
        <f t="shared" si="38"/>
        <v>185.94138814570965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58.771439999999991</v>
      </c>
      <c r="CA25" s="13">
        <f t="shared" si="39"/>
        <v>16.857277481823555</v>
      </c>
      <c r="CB25" s="20">
        <f t="shared" si="10"/>
        <v>131.72001628084266</v>
      </c>
      <c r="CC25" s="59">
        <f t="shared" si="11"/>
        <v>415.27557183639817</v>
      </c>
      <c r="CD25" s="59">
        <f ca="1">AVERAGE(OFFSET($CC$3,0,0,'Données projet'!$E$12+1,1))-AVERAGE(OFFSET($H$3,0,0,'Données projet'!$E$12+1,1))</f>
        <v>335.12015893291874</v>
      </c>
      <c r="CE25" s="59">
        <f t="shared" si="40"/>
        <v>224.76596283033166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</v>
      </c>
      <c r="CT25" s="12">
        <f>IF('Données projet'!$A$140&gt;35,CT24+CS25-DB24,IF(A25&lt;'Données projet'!$A$140,$CQ$205^A25,IF(A25='Données projet'!$A$140,'Données projet'!$B$140,CT24+CS25-DB24)))</f>
        <v>54.599999999999994</v>
      </c>
      <c r="CU25" s="17">
        <f>CT25*VLOOKUP('Données projet'!$B$13,Paramètres!$A$1:$I$89,3,0)*VLOOKUP('Données projet'!$B$13,Paramètres!$A$1:$I$89,5,0)</f>
        <v>52.80912</v>
      </c>
      <c r="CV25" s="13">
        <f t="shared" si="41"/>
        <v>15.336903179103643</v>
      </c>
      <c r="CW25" s="20">
        <f t="shared" si="13"/>
        <v>118.68765703693884</v>
      </c>
      <c r="CX25" s="59">
        <f t="shared" si="14"/>
        <v>402.24321259249439</v>
      </c>
      <c r="CY25" s="59">
        <f ca="1">AVERAGE(OFFSET($CX$3,0,0,'Données projet'!$E$13+1,1))-AVERAGE(OFFSET($H$3,0,0,'Données projet'!$E$13+1,1))</f>
        <v>293.19327646293601</v>
      </c>
      <c r="CZ25" s="59">
        <f t="shared" si="42"/>
        <v>200.0769581869605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13</v>
      </c>
      <c r="N26" s="13">
        <f>IF('Données projet'!$A$36&gt;35,N25+M26-V25,IF(A26&lt;'Données projet'!$A$36,$K$205^A26,IF(A26='Données projet'!$A$36,'Données projet'!$B$36,N25+M26-V25)))</f>
        <v>127</v>
      </c>
      <c r="O26" s="13">
        <f>N26*VLOOKUP('Données projet'!$B$9,Paramètres!$A$1:$I$89,3,0)*VLOOKUP('Données projet'!$B$9,Paramètres!$A$1:$I$89,5,0)</f>
        <v>75.945999999999998</v>
      </c>
      <c r="P26" s="13">
        <f t="shared" si="33"/>
        <v>21.142979995226831</v>
      </c>
      <c r="Q26" s="20">
        <f t="shared" si="2"/>
        <v>169.09664015835338</v>
      </c>
      <c r="R26" s="59">
        <f t="shared" si="0"/>
        <v>453.87441793613118</v>
      </c>
      <c r="S26" s="59">
        <f ca="1">AVERAGE(OFFSET($R$3,0,0,'Données projet'!$E$9+1,1))-AVERAGE(OFFSET($H$3,0,0,'Données projet'!$E$9+1,1))</f>
        <v>246.59447135626942</v>
      </c>
      <c r="T26" s="59">
        <f t="shared" si="34"/>
        <v>262.00382544285367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0.49079073497947784</v>
      </c>
      <c r="AB26" s="21">
        <f>EXP(-LN(2)/2)*AB25+(1-EXP(-LN(2)/2))/(LN(2)/2)*V26*Y26*VLOOKUP('Données projet'!$B$9,Paramètres!$A$1:$I$89,3,0)*0.475*44/12</f>
        <v>0.35907319725353593</v>
      </c>
      <c r="AC26" s="22">
        <f t="shared" si="3"/>
        <v>0.84986393223301371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142</v>
      </c>
      <c r="AJ26" s="13">
        <f>AI26*VLOOKUP('Données projet'!$B$10,Paramètres!$A$1:$I$89,3,0)*VLOOKUP('Données projet'!$B$10,Paramètres!$A$1:$I$89,5,0)</f>
        <v>84.916000000000011</v>
      </c>
      <c r="AK26" s="13">
        <f t="shared" si="35"/>
        <v>23.33496813320572</v>
      </c>
      <c r="AL26" s="20">
        <f t="shared" si="4"/>
        <v>188.53710283199996</v>
      </c>
      <c r="AM26" s="59">
        <f t="shared" si="5"/>
        <v>473.31488060977773</v>
      </c>
      <c r="AN26" s="59">
        <f ca="1">AVERAGE(OFFSET($AM$3,0,0,'Données projet'!$E$10+1,1))-AVERAGE(OFFSET($H$3,0,0,'Données projet'!$E$10+1,1))</f>
        <v>195.73441209602686</v>
      </c>
      <c r="AO26" s="59">
        <f t="shared" si="36"/>
        <v>219.19129224309006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0.74005187614683421</v>
      </c>
      <c r="AV26" s="21">
        <f>EXP(-LN(2)/25)*AV25+(1-EXP(-LN(2)/25))/(LN(2)/25)*Calculateur!AQ26*Calculateur!AS26*VLOOKUP('Données projet'!$B$10,Paramètres!$A$1:$I$89,3,0)*0.475*44/12</f>
        <v>5.4355689127935483</v>
      </c>
      <c r="AW26" s="21">
        <f>EXP(-LN(2)/2)*AW25+(1-EXP(-LN(2)/2))/(LN(2)/2)*AQ26*AT26*VLOOKUP('Données projet'!$B$10,Paramètres!$A$1:$I$89,3,0)*0.475*44/12</f>
        <v>2.8187245984402569</v>
      </c>
      <c r="AX26" s="21">
        <f t="shared" si="6"/>
        <v>8.9943453873806405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55.102319999999992</v>
      </c>
      <c r="BF26" s="13">
        <f t="shared" si="37"/>
        <v>15.923912218988239</v>
      </c>
      <c r="BG26" s="20">
        <f t="shared" si="7"/>
        <v>123.70402111473783</v>
      </c>
      <c r="BH26" s="59">
        <f t="shared" si="8"/>
        <v>408.4817988925156</v>
      </c>
      <c r="BI26" s="59">
        <f ca="1">AVERAGE(OFFSET($BH$3,0,0,'Données projet'!$E$11+1,1))-AVERAGE(OFFSET($H$3,0,0,'Données projet'!$E$11+1,1))</f>
        <v>269.19146943657933</v>
      </c>
      <c r="BJ26" s="59">
        <f t="shared" si="38"/>
        <v>185.94138814570965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65.552759999999992</v>
      </c>
      <c r="CA26" s="13">
        <f t="shared" si="39"/>
        <v>18.564867601195999</v>
      </c>
      <c r="CB26" s="20">
        <f t="shared" si="10"/>
        <v>146.50486807208301</v>
      </c>
      <c r="CC26" s="59">
        <f t="shared" si="11"/>
        <v>431.28264584986078</v>
      </c>
      <c r="CD26" s="59">
        <f ca="1">AVERAGE(OFFSET($CC$3,0,0,'Données projet'!$E$12+1,1))-AVERAGE(OFFSET($H$3,0,0,'Données projet'!$E$12+1,1))</f>
        <v>335.12015893291874</v>
      </c>
      <c r="CE26" s="59">
        <f t="shared" si="40"/>
        <v>224.76596283033166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</v>
      </c>
      <c r="CT26" s="12">
        <f>IF('Données projet'!$A$140&gt;35,CT25+CS26-DB25,IF(A26&lt;'Données projet'!$A$140,$CQ$205^A26,IF(A26='Données projet'!$A$140,'Données projet'!$B$140,CT25+CS26-DB25)))</f>
        <v>60.899999999999991</v>
      </c>
      <c r="CU26" s="17">
        <f>CT26*VLOOKUP('Données projet'!$B$13,Paramètres!$A$1:$I$89,3,0)*VLOOKUP('Données projet'!$B$13,Paramètres!$A$1:$I$89,5,0)</f>
        <v>58.902479999999997</v>
      </c>
      <c r="CV26" s="13">
        <f t="shared" si="41"/>
        <v>16.890484079616659</v>
      </c>
      <c r="CW26" s="20">
        <f t="shared" si="13"/>
        <v>132.00607910533233</v>
      </c>
      <c r="CX26" s="59">
        <f t="shared" si="14"/>
        <v>416.7838568831101</v>
      </c>
      <c r="CY26" s="59">
        <f ca="1">AVERAGE(OFFSET($CX$3,0,0,'Données projet'!$E$13+1,1))-AVERAGE(OFFSET($H$3,0,0,'Données projet'!$E$13+1,1))</f>
        <v>293.19327646293601</v>
      </c>
      <c r="CZ26" s="59">
        <f t="shared" si="42"/>
        <v>200.0769581869605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13</v>
      </c>
      <c r="N27" s="13">
        <f>IF('Données projet'!$A$36&gt;35,N26+M27-V26,IF(A27&lt;'Données projet'!$A$36,$K$205^A27,IF(A27='Données projet'!$A$36,'Données projet'!$B$36,N26+M27-V26)))</f>
        <v>140</v>
      </c>
      <c r="O27" s="13">
        <f>N27*VLOOKUP('Données projet'!$B$9,Paramètres!$A$1:$I$89,3,0)*VLOOKUP('Données projet'!$B$9,Paramètres!$A$1:$I$89,5,0)</f>
        <v>83.720000000000013</v>
      </c>
      <c r="P27" s="13">
        <f t="shared" si="33"/>
        <v>23.044323503842598</v>
      </c>
      <c r="Q27" s="20">
        <f t="shared" si="2"/>
        <v>185.9478634358592</v>
      </c>
      <c r="R27" s="59">
        <f t="shared" si="0"/>
        <v>471.94786343585918</v>
      </c>
      <c r="S27" s="59">
        <f ca="1">AVERAGE(OFFSET($R$3,0,0,'Données projet'!$E$9+1,1))-AVERAGE(OFFSET($H$3,0,0,'Données projet'!$E$9+1,1))</f>
        <v>246.59447135626942</v>
      </c>
      <c r="T27" s="59">
        <f t="shared" si="34"/>
        <v>262.00382544285367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0.47737003652190096</v>
      </c>
      <c r="AB27" s="21">
        <f>EXP(-LN(2)/2)*AB26+(1-EXP(-LN(2)/2))/(LN(2)/2)*V27*Y27*VLOOKUP('Données projet'!$B$9,Paramètres!$A$1:$I$89,3,0)*0.475*44/12</f>
        <v>0.25390309272031009</v>
      </c>
      <c r="AC27" s="22">
        <f t="shared" si="3"/>
        <v>0.731273129242211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157</v>
      </c>
      <c r="AG27" s="12">
        <f>VLOOKUP(A27,'Données projet'!$A$61:$I$81,9,0)</f>
        <v>15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157</v>
      </c>
      <c r="AJ27" s="13">
        <f>AI27*VLOOKUP('Données projet'!$B$10,Paramètres!$A$1:$I$89,3,0)*VLOOKUP('Données projet'!$B$10,Paramètres!$A$1:$I$89,5,0)</f>
        <v>93.885999999999996</v>
      </c>
      <c r="AK27" s="13">
        <f t="shared" si="35"/>
        <v>25.500116461916402</v>
      </c>
      <c r="AL27" s="20">
        <f t="shared" si="4"/>
        <v>207.9308195045044</v>
      </c>
      <c r="AM27" s="59">
        <f t="shared" si="5"/>
        <v>493.93081950450437</v>
      </c>
      <c r="AN27" s="59">
        <f ca="1">AVERAGE(OFFSET($AM$3,0,0,'Données projet'!$E$10+1,1))-AVERAGE(OFFSET($H$3,0,0,'Données projet'!$E$10+1,1))</f>
        <v>195.73441209602686</v>
      </c>
      <c r="AO27" s="59">
        <f t="shared" si="36"/>
        <v>219.19129224309006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31</v>
      </c>
      <c r="AR27" s="16">
        <f>IF(ISNA(VLOOKUP(A27,'Données projet'!$A$61:$I$81,5,0)),0%,VLOOKUP(A27,'Données projet'!$A$61:$I$81,5,0)*VLOOKUP('Données projet'!$B$10,Paramètres!$A$1:$I$89,7,0))</f>
        <v>9.0000000000000011E-2</v>
      </c>
      <c r="AS27" s="16">
        <f>IF(ISNA(VLOOKUP(A27,'Données projet'!$A$61:$I$81,6,0)),0%,VLOOKUP(A27,'Données projet'!$A$61:$I$81,6,0)*VLOOKUP('Données projet'!$B$10,Paramètres!$A$1:$I$89,7,0))</f>
        <v>0.18000000000000002</v>
      </c>
      <c r="AT27" s="16">
        <f>IF(ISNA(VLOOKUP(A27,'Données projet'!$A$61:$I$81,7,0)),0%,VLOOKUP(A27,'Données projet'!$A$61:$I$81,7,0))</f>
        <v>0.4</v>
      </c>
      <c r="AU27" s="21">
        <f>EXP(-LN(2)/35)*AU26+(1-EXP(-LN(2)/35))/(LN(2)/35)*AQ27*AR27*VLOOKUP('Données projet'!$B$10,Paramètres!$A$1:$I$89,3,0)*0.475*44/12</f>
        <v>2.9388065789871067</v>
      </c>
      <c r="AV27" s="21">
        <f>EXP(-LN(2)/25)*AV26+(1-EXP(-LN(2)/25))/(LN(2)/25)*Calculateur!AQ27*Calculateur!AS27*VLOOKUP('Données projet'!$B$10,Paramètres!$A$1:$I$89,3,0)*0.475*44/12</f>
        <v>9.6960373841268126</v>
      </c>
      <c r="AW27" s="21">
        <f>EXP(-LN(2)/2)*AW26+(1-EXP(-LN(2)/2))/(LN(2)/2)*AQ27*AT27*VLOOKUP('Données projet'!$B$10,Paramètres!$A$1:$I$89,3,0)*0.475*44/12</f>
        <v>10.388868210472685</v>
      </c>
      <c r="AX27" s="21">
        <f t="shared" si="6"/>
        <v>23.023712173586603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60.802559999999993</v>
      </c>
      <c r="BF27" s="13">
        <f t="shared" si="37"/>
        <v>17.371024177726472</v>
      </c>
      <c r="BG27" s="20">
        <f t="shared" si="7"/>
        <v>136.15232577620694</v>
      </c>
      <c r="BH27" s="59">
        <f t="shared" si="8"/>
        <v>422.15232577620691</v>
      </c>
      <c r="BI27" s="59">
        <f ca="1">AVERAGE(OFFSET($BH$3,0,0,'Données projet'!$E$11+1,1))-AVERAGE(OFFSET($H$3,0,0,'Données projet'!$E$11+1,1))</f>
        <v>269.19146943657933</v>
      </c>
      <c r="BJ27" s="59">
        <f t="shared" si="38"/>
        <v>185.94138814570965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72.334079999999986</v>
      </c>
      <c r="CA27" s="13">
        <f t="shared" si="39"/>
        <v>20.251980764633768</v>
      </c>
      <c r="CB27" s="20">
        <f t="shared" si="10"/>
        <v>161.25405583173711</v>
      </c>
      <c r="CC27" s="59">
        <f t="shared" si="11"/>
        <v>447.25405583173711</v>
      </c>
      <c r="CD27" s="59">
        <f ca="1">AVERAGE(OFFSET($CC$3,0,0,'Données projet'!$E$12+1,1))-AVERAGE(OFFSET($H$3,0,0,'Données projet'!$E$12+1,1))</f>
        <v>335.12015893291874</v>
      </c>
      <c r="CE27" s="59">
        <f t="shared" si="40"/>
        <v>224.76596283033166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</v>
      </c>
      <c r="CT27" s="12">
        <f>IF('Données projet'!$A$140&gt;35,CT26+CS27-DB26,IF(A27&lt;'Données projet'!$A$140,$CQ$205^A27,IF(A27='Données projet'!$A$140,'Données projet'!$B$140,CT26+CS27-DB26)))</f>
        <v>67.199999999999989</v>
      </c>
      <c r="CU27" s="17">
        <f>CT27*VLOOKUP('Données projet'!$B$13,Paramètres!$A$1:$I$89,3,0)*VLOOKUP('Données projet'!$B$13,Paramètres!$A$1:$I$89,5,0)</f>
        <v>64.995839999999987</v>
      </c>
      <c r="CV27" s="13">
        <f t="shared" si="41"/>
        <v>18.425434860828894</v>
      </c>
      <c r="CW27" s="20">
        <f t="shared" si="13"/>
        <v>145.29205371594364</v>
      </c>
      <c r="CX27" s="59">
        <f t="shared" si="14"/>
        <v>431.29205371594367</v>
      </c>
      <c r="CY27" s="59">
        <f ca="1">AVERAGE(OFFSET($CX$3,0,0,'Données projet'!$E$13+1,1))-AVERAGE(OFFSET($H$3,0,0,'Données projet'!$E$13+1,1))</f>
        <v>293.19327646293601</v>
      </c>
      <c r="CZ27" s="59">
        <f t="shared" si="42"/>
        <v>200.0769581869605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13</v>
      </c>
      <c r="N28" s="13">
        <f>IF('Données projet'!$A$36&gt;35,N27+M28-V27,IF(A28&lt;'Données projet'!$A$36,$K$205^A28,IF(A28='Données projet'!$A$36,'Données projet'!$B$36,N27+M28-V27)))</f>
        <v>153</v>
      </c>
      <c r="O28" s="13">
        <f>N28*VLOOKUP('Données projet'!$B$9,Paramètres!$A$1:$I$89,3,0)*VLOOKUP('Données projet'!$B$9,Paramètres!$A$1:$I$89,5,0)</f>
        <v>91.494000000000014</v>
      </c>
      <c r="P28" s="13">
        <f t="shared" si="33"/>
        <v>24.925195840896542</v>
      </c>
      <c r="Q28" s="20">
        <f t="shared" si="2"/>
        <v>202.76343275622813</v>
      </c>
      <c r="R28" s="59">
        <f t="shared" si="0"/>
        <v>489.98565497845038</v>
      </c>
      <c r="S28" s="59">
        <f ca="1">AVERAGE(OFFSET($R$3,0,0,'Données projet'!$E$9+1,1))-AVERAGE(OFFSET($H$3,0,0,'Données projet'!$E$9+1,1))</f>
        <v>246.59447135626942</v>
      </c>
      <c r="T28" s="59">
        <f t="shared" si="34"/>
        <v>262.00382544285367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0.4643163277694104</v>
      </c>
      <c r="AB28" s="21">
        <f>EXP(-LN(2)/2)*AB27+(1-EXP(-LN(2)/2))/(LN(2)/2)*V28*Y28*VLOOKUP('Données projet'!$B$9,Paramètres!$A$1:$I$89,3,0)*0.475*44/12</f>
        <v>0.17953659862676799</v>
      </c>
      <c r="AC28" s="22">
        <f t="shared" si="3"/>
        <v>0.64385292639617842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</v>
      </c>
      <c r="AI28" s="13">
        <f>IF('Données projet'!$A$62&gt;35,AI27+AH28-AQ27,IF(A28&lt;'Données projet'!$A$62,$AF$205^A28,IF(A28='Données projet'!$A$62,'Données projet'!$B$62,AI27+AH28-AQ27)))</f>
        <v>142</v>
      </c>
      <c r="AJ28" s="13">
        <f>AI28*VLOOKUP('Données projet'!$B$10,Paramètres!$A$1:$I$89,3,0)*VLOOKUP('Données projet'!$B$10,Paramètres!$A$1:$I$89,5,0)</f>
        <v>84.916000000000011</v>
      </c>
      <c r="AK28" s="13">
        <f t="shared" si="35"/>
        <v>23.33496813320572</v>
      </c>
      <c r="AL28" s="20">
        <f t="shared" si="4"/>
        <v>188.53710283199996</v>
      </c>
      <c r="AM28" s="59">
        <f t="shared" si="5"/>
        <v>475.75932505422219</v>
      </c>
      <c r="AN28" s="59">
        <f ca="1">AVERAGE(OFFSET($AM$3,0,0,'Données projet'!$E$10+1,1))-AVERAGE(OFFSET($H$3,0,0,'Données projet'!$E$10+1,1))</f>
        <v>195.73441209602686</v>
      </c>
      <c r="AO28" s="59">
        <f t="shared" si="36"/>
        <v>219.19129224309006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2.8811783744681887</v>
      </c>
      <c r="AV28" s="21">
        <f>EXP(-LN(2)/25)*AV27+(1-EXP(-LN(2)/25))/(LN(2)/25)*Calculateur!AQ28*Calculateur!AS28*VLOOKUP('Données projet'!$B$10,Paramètres!$A$1:$I$89,3,0)*0.475*44/12</f>
        <v>9.4308987319654189</v>
      </c>
      <c r="AW28" s="21">
        <f>EXP(-LN(2)/2)*AW27+(1-EXP(-LN(2)/2))/(LN(2)/2)*AQ28*AT28*VLOOKUP('Données projet'!$B$10,Paramètres!$A$1:$I$89,3,0)*0.475*44/12</f>
        <v>7.3460391604785888</v>
      </c>
      <c r="AX28" s="21">
        <f t="shared" si="6"/>
        <v>19.658116266912195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66.502799999999979</v>
      </c>
      <c r="BF28" s="13">
        <f t="shared" si="37"/>
        <v>18.802406075407909</v>
      </c>
      <c r="BG28" s="20">
        <f t="shared" si="7"/>
        <v>148.57323391466869</v>
      </c>
      <c r="BH28" s="59">
        <f t="shared" si="8"/>
        <v>435.79545613689095</v>
      </c>
      <c r="BI28" s="59">
        <f ca="1">AVERAGE(OFFSET($BH$3,0,0,'Données projet'!$E$11+1,1))-AVERAGE(OFFSET($H$3,0,0,'Données projet'!$E$11+1,1))</f>
        <v>269.19146943657933</v>
      </c>
      <c r="BJ28" s="59">
        <f t="shared" si="38"/>
        <v>185.94138814570965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79.11539999999998</v>
      </c>
      <c r="CA28" s="13">
        <f t="shared" si="39"/>
        <v>21.920755061537864</v>
      </c>
      <c r="CB28" s="20">
        <f t="shared" si="10"/>
        <v>175.97130339884507</v>
      </c>
      <c r="CC28" s="59">
        <f t="shared" si="11"/>
        <v>463.19352562106729</v>
      </c>
      <c r="CD28" s="59">
        <f ca="1">AVERAGE(OFFSET($CC$3,0,0,'Données projet'!$E$12+1,1))-AVERAGE(OFFSET($H$3,0,0,'Données projet'!$E$12+1,1))</f>
        <v>335.12015893291874</v>
      </c>
      <c r="CE28" s="59">
        <f t="shared" si="40"/>
        <v>224.76596283033166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6.3</v>
      </c>
      <c r="CT28" s="12">
        <f>IF('Données projet'!$A$140&gt;35,CT27+CS28-DB27,IF(A28&lt;'Données projet'!$A$140,$CQ$205^A28,IF(A28='Données projet'!$A$140,'Données projet'!$B$140,CT27+CS28-DB27)))</f>
        <v>73.499999999999986</v>
      </c>
      <c r="CU28" s="17">
        <f>CT28*VLOOKUP('Données projet'!$B$13,Paramètres!$A$1:$I$89,3,0)*VLOOKUP('Données projet'!$B$13,Paramètres!$A$1:$I$89,5,0)</f>
        <v>71.089199999999991</v>
      </c>
      <c r="CV28" s="13">
        <f t="shared" si="41"/>
        <v>19.943700775772243</v>
      </c>
      <c r="CW28" s="20">
        <f t="shared" si="13"/>
        <v>158.54896885113661</v>
      </c>
      <c r="CX28" s="59">
        <f t="shared" si="14"/>
        <v>445.77119107335886</v>
      </c>
      <c r="CY28" s="59">
        <f ca="1">AVERAGE(OFFSET($CX$3,0,0,'Données projet'!$E$13+1,1))-AVERAGE(OFFSET($H$3,0,0,'Données projet'!$E$13+1,1))</f>
        <v>293.19327646293601</v>
      </c>
      <c r="CZ28" s="59">
        <f t="shared" si="42"/>
        <v>200.0769581869605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13</v>
      </c>
      <c r="N29" s="13">
        <f>IF('Données projet'!$A$36&gt;35,N28+M29-V28,IF(A29&lt;'Données projet'!$A$36,$K$205^A29,IF(A29='Données projet'!$A$36,'Données projet'!$B$36,N28+M29-V28)))</f>
        <v>166</v>
      </c>
      <c r="O29" s="13">
        <f>N29*VLOOKUP('Données projet'!$B$9,Paramètres!$A$1:$I$89,3,0)*VLOOKUP('Données projet'!$B$9,Paramètres!$A$1:$I$89,5,0)</f>
        <v>99.268000000000001</v>
      </c>
      <c r="P29" s="13">
        <f t="shared" si="33"/>
        <v>26.78753414535981</v>
      </c>
      <c r="Q29" s="20">
        <f t="shared" si="2"/>
        <v>219.54672196983498</v>
      </c>
      <c r="R29" s="59">
        <f t="shared" si="0"/>
        <v>507.99116641427941</v>
      </c>
      <c r="S29" s="59">
        <f ca="1">AVERAGE(OFFSET($R$3,0,0,'Données projet'!$E$9+1,1))-AVERAGE(OFFSET($H$3,0,0,'Données projet'!$E$9+1,1))</f>
        <v>246.59447135626942</v>
      </c>
      <c r="T29" s="59">
        <f t="shared" si="34"/>
        <v>262.00382544285367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0.45161957336922143</v>
      </c>
      <c r="AB29" s="21">
        <f>EXP(-LN(2)/2)*AB28+(1-EXP(-LN(2)/2))/(LN(2)/2)*V29*Y29*VLOOKUP('Données projet'!$B$9,Paramètres!$A$1:$I$89,3,0)*0.475*44/12</f>
        <v>0.12695154636015504</v>
      </c>
      <c r="AC29" s="22">
        <f t="shared" si="3"/>
        <v>0.57857111972937647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</v>
      </c>
      <c r="AI29" s="13">
        <f>IF('Données projet'!$A$62&gt;35,AI28+AH29-AQ28,IF(A29&lt;'Données projet'!$A$62,$AF$205^A29,IF(A29='Données projet'!$A$62,'Données projet'!$B$62,AI28+AH29-AQ28)))</f>
        <v>158</v>
      </c>
      <c r="AJ29" s="13">
        <f>AI29*VLOOKUP('Données projet'!$B$10,Paramètres!$A$1:$I$89,3,0)*VLOOKUP('Données projet'!$B$10,Paramètres!$A$1:$I$89,5,0)</f>
        <v>94.484000000000009</v>
      </c>
      <c r="AK29" s="13">
        <f t="shared" si="35"/>
        <v>25.643578691511802</v>
      </c>
      <c r="AL29" s="20">
        <f t="shared" si="4"/>
        <v>209.22219955438308</v>
      </c>
      <c r="AM29" s="59">
        <f t="shared" si="5"/>
        <v>497.66664399882757</v>
      </c>
      <c r="AN29" s="59">
        <f ca="1">AVERAGE(OFFSET($AM$3,0,0,'Données projet'!$E$10+1,1))-AVERAGE(OFFSET($H$3,0,0,'Données projet'!$E$10+1,1))</f>
        <v>195.73441209602686</v>
      </c>
      <c r="AO29" s="59">
        <f t="shared" si="36"/>
        <v>219.19129224309006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2.8246802238901525</v>
      </c>
      <c r="AV29" s="21">
        <f>EXP(-LN(2)/25)*AV28+(1-EXP(-LN(2)/25))/(LN(2)/25)*Calculateur!AQ29*Calculateur!AS29*VLOOKUP('Données projet'!$B$10,Paramètres!$A$1:$I$89,3,0)*0.475*44/12</f>
        <v>9.1730103101904152</v>
      </c>
      <c r="AW29" s="21">
        <f>EXP(-LN(2)/2)*AW28+(1-EXP(-LN(2)/2))/(LN(2)/2)*AQ29*AT29*VLOOKUP('Données projet'!$B$10,Paramètres!$A$1:$I$89,3,0)*0.475*44/12</f>
        <v>5.1944341052363434</v>
      </c>
      <c r="AX29" s="21">
        <f t="shared" si="6"/>
        <v>17.192124639316912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72.203039999999973</v>
      </c>
      <c r="BF29" s="13">
        <f t="shared" si="37"/>
        <v>20.219559499787128</v>
      </c>
      <c r="BG29" s="20">
        <f t="shared" si="7"/>
        <v>160.96936079546251</v>
      </c>
      <c r="BH29" s="59">
        <f t="shared" si="8"/>
        <v>449.41380523990699</v>
      </c>
      <c r="BI29" s="59">
        <f ca="1">AVERAGE(OFFSET($BH$3,0,0,'Données projet'!$E$11+1,1))-AVERAGE(OFFSET($H$3,0,0,'Données projet'!$E$11+1,1))</f>
        <v>269.19146943657933</v>
      </c>
      <c r="BJ29" s="59">
        <f t="shared" si="38"/>
        <v>185.94138814570965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85.896719999999974</v>
      </c>
      <c r="CA29" s="13">
        <f t="shared" si="39"/>
        <v>23.572941115591171</v>
      </c>
      <c r="CB29" s="20">
        <f t="shared" si="10"/>
        <v>190.65965977632126</v>
      </c>
      <c r="CC29" s="59">
        <f t="shared" si="11"/>
        <v>479.10410422076575</v>
      </c>
      <c r="CD29" s="59">
        <f ca="1">AVERAGE(OFFSET($CC$3,0,0,'Données projet'!$E$12+1,1))-AVERAGE(OFFSET($H$3,0,0,'Données projet'!$E$12+1,1))</f>
        <v>335.12015893291874</v>
      </c>
      <c r="CE29" s="59">
        <f t="shared" si="40"/>
        <v>224.76596283033166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6.3</v>
      </c>
      <c r="CT29" s="12">
        <f>IF('Données projet'!$A$140&gt;35,CT28+CS29-DB28,IF(A29&lt;'Données projet'!$A$140,$CQ$205^A29,IF(A29='Données projet'!$A$140,'Données projet'!$B$140,CT28+CS29-DB28)))</f>
        <v>79.799999999999983</v>
      </c>
      <c r="CU29" s="17">
        <f>CT29*VLOOKUP('Données projet'!$B$13,Paramètres!$A$1:$I$89,3,0)*VLOOKUP('Données projet'!$B$13,Paramètres!$A$1:$I$89,5,0)</f>
        <v>77.182559999999995</v>
      </c>
      <c r="CV29" s="13">
        <f t="shared" si="41"/>
        <v>21.446874557671695</v>
      </c>
      <c r="CW29" s="20">
        <f t="shared" si="13"/>
        <v>171.77959852127819</v>
      </c>
      <c r="CX29" s="59">
        <f t="shared" si="14"/>
        <v>460.22404296572267</v>
      </c>
      <c r="CY29" s="59">
        <f ca="1">AVERAGE(OFFSET($CX$3,0,0,'Données projet'!$E$13+1,1))-AVERAGE(OFFSET($H$3,0,0,'Données projet'!$E$13+1,1))</f>
        <v>293.19327646293601</v>
      </c>
      <c r="CZ29" s="59">
        <f t="shared" si="42"/>
        <v>200.0769581869605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13</v>
      </c>
      <c r="N30" s="13">
        <f>IF('Données projet'!$A$36&gt;35,N29+M30-V29,IF(A30&lt;'Données projet'!$A$36,$K$205^A30,IF(A30='Données projet'!$A$36,'Données projet'!$B$36,N29+M30-V29)))</f>
        <v>179</v>
      </c>
      <c r="O30" s="13">
        <f>N30*VLOOKUP('Données projet'!$B$9,Paramètres!$A$1:$I$89,3,0)*VLOOKUP('Données projet'!$B$9,Paramètres!$A$1:$I$89,5,0)</f>
        <v>107.042</v>
      </c>
      <c r="P30" s="13">
        <f t="shared" si="33"/>
        <v>28.632954900548082</v>
      </c>
      <c r="Q30" s="20">
        <f t="shared" si="2"/>
        <v>236.30054645178791</v>
      </c>
      <c r="R30" s="59">
        <f t="shared" si="0"/>
        <v>525.96721311845454</v>
      </c>
      <c r="S30" s="59">
        <f ca="1">AVERAGE(OFFSET($R$3,0,0,'Données projet'!$E$9+1,1))-AVERAGE(OFFSET($H$3,0,0,'Données projet'!$E$9+1,1))</f>
        <v>246.59447135626942</v>
      </c>
      <c r="T30" s="59">
        <f t="shared" si="34"/>
        <v>262.00382544285367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0.43927001238579888</v>
      </c>
      <c r="AB30" s="21">
        <f>EXP(-LN(2)/2)*AB29+(1-EXP(-LN(2)/2))/(LN(2)/2)*V30*Y30*VLOOKUP('Données projet'!$B$9,Paramètres!$A$1:$I$89,3,0)*0.475*44/12</f>
        <v>8.9768299313383995E-2</v>
      </c>
      <c r="AC30" s="22">
        <f t="shared" si="3"/>
        <v>0.52903831169918292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</v>
      </c>
      <c r="AI30" s="13">
        <f>IF('Données projet'!$A$62&gt;35,AI29+AH30-AQ29,IF(A30&lt;'Données projet'!$A$62,$AF$205^A30,IF(A30='Données projet'!$A$62,'Données projet'!$B$62,AI29+AH30-AQ29)))</f>
        <v>174</v>
      </c>
      <c r="AJ30" s="13">
        <f>AI30*VLOOKUP('Données projet'!$B$10,Paramètres!$A$1:$I$89,3,0)*VLOOKUP('Données projet'!$B$10,Paramètres!$A$1:$I$89,5,0)</f>
        <v>104.05200000000001</v>
      </c>
      <c r="AK30" s="13">
        <f t="shared" si="35"/>
        <v>27.925087771564417</v>
      </c>
      <c r="AL30" s="20">
        <f t="shared" si="4"/>
        <v>229.86009453547467</v>
      </c>
      <c r="AM30" s="59">
        <f t="shared" si="5"/>
        <v>519.52676120214142</v>
      </c>
      <c r="AN30" s="59">
        <f ca="1">AVERAGE(OFFSET($AM$3,0,0,'Données projet'!$E$10+1,1))-AVERAGE(OFFSET($H$3,0,0,'Données projet'!$E$10+1,1))</f>
        <v>195.73441209602686</v>
      </c>
      <c r="AO30" s="59">
        <f t="shared" si="36"/>
        <v>219.19129224309006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2.7692899675844824</v>
      </c>
      <c r="AV30" s="21">
        <f>EXP(-LN(2)/25)*AV29+(1-EXP(-LN(2)/25))/(LN(2)/25)*Calculateur!AQ30*Calculateur!AS30*VLOOKUP('Données projet'!$B$10,Paramètres!$A$1:$I$89,3,0)*0.475*44/12</f>
        <v>8.9221738608706112</v>
      </c>
      <c r="AW30" s="21">
        <f>EXP(-LN(2)/2)*AW29+(1-EXP(-LN(2)/2))/(LN(2)/2)*AQ30*AT30*VLOOKUP('Données projet'!$B$10,Paramètres!$A$1:$I$89,3,0)*0.475*44/12</f>
        <v>3.6730195802392953</v>
      </c>
      <c r="AX30" s="21">
        <f t="shared" si="6"/>
        <v>15.364483408694388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77.903279999999981</v>
      </c>
      <c r="BF30" s="13">
        <f t="shared" si="37"/>
        <v>21.623735462576285</v>
      </c>
      <c r="BG30" s="20">
        <f t="shared" si="7"/>
        <v>173.342885263987</v>
      </c>
      <c r="BH30" s="59">
        <f t="shared" si="8"/>
        <v>463.00955193065369</v>
      </c>
      <c r="BI30" s="59">
        <f ca="1">AVERAGE(OFFSET($BH$3,0,0,'Données projet'!$E$11+1,1))-AVERAGE(OFFSET($H$3,0,0,'Données projet'!$E$11+1,1))</f>
        <v>269.19146943657933</v>
      </c>
      <c r="BJ30" s="59">
        <f t="shared" si="38"/>
        <v>185.94138814570965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92.678039999999982</v>
      </c>
      <c r="CA30" s="13">
        <f t="shared" si="39"/>
        <v>25.209997416798242</v>
      </c>
      <c r="CB30" s="20">
        <f t="shared" si="10"/>
        <v>205.32166516759025</v>
      </c>
      <c r="CC30" s="59">
        <f t="shared" si="11"/>
        <v>494.98833183425694</v>
      </c>
      <c r="CD30" s="59">
        <f ca="1">AVERAGE(OFFSET($CC$3,0,0,'Données projet'!$E$12+1,1))-AVERAGE(OFFSET($H$3,0,0,'Données projet'!$E$12+1,1))</f>
        <v>335.12015893291874</v>
      </c>
      <c r="CE30" s="59">
        <f t="shared" si="40"/>
        <v>224.76596283033166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6.3</v>
      </c>
      <c r="CT30" s="12">
        <f>IF('Données projet'!$A$140&gt;35,CT29+CS30-DB29,IF(A30&lt;'Données projet'!$A$140,$CQ$205^A30,IF(A30='Données projet'!$A$140,'Données projet'!$B$140,CT29+CS30-DB29)))</f>
        <v>86.09999999999998</v>
      </c>
      <c r="CU30" s="17">
        <f>CT30*VLOOKUP('Données projet'!$B$13,Paramètres!$A$1:$I$89,3,0)*VLOOKUP('Données projet'!$B$13,Paramètres!$A$1:$I$89,5,0)</f>
        <v>83.275919999999985</v>
      </c>
      <c r="CV30" s="13">
        <f t="shared" si="41"/>
        <v>22.936283153895268</v>
      </c>
      <c r="CW30" s="20">
        <f t="shared" si="13"/>
        <v>184.98625382636752</v>
      </c>
      <c r="CX30" s="59">
        <f t="shared" si="14"/>
        <v>474.65292049303423</v>
      </c>
      <c r="CY30" s="59">
        <f ca="1">AVERAGE(OFFSET($CX$3,0,0,'Données projet'!$E$13+1,1))-AVERAGE(OFFSET($H$3,0,0,'Données projet'!$E$13+1,1))</f>
        <v>293.19327646293601</v>
      </c>
      <c r="CZ30" s="59">
        <f t="shared" si="42"/>
        <v>200.0769581869605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13</v>
      </c>
      <c r="N31" s="13">
        <f>IF('Données projet'!$A$36&gt;35,N30+M31-V30,IF(A31&lt;'Données projet'!$A$36,$K$205^A31,IF(A31='Données projet'!$A$36,'Données projet'!$B$36,N30+M31-V30)))</f>
        <v>192</v>
      </c>
      <c r="O31" s="13">
        <f>N31*VLOOKUP('Données projet'!$B$9,Paramètres!$A$1:$I$89,3,0)*VLOOKUP('Données projet'!$B$9,Paramètres!$A$1:$I$89,5,0)</f>
        <v>114.81600000000002</v>
      </c>
      <c r="P31" s="13">
        <f t="shared" si="33"/>
        <v>30.462826482209831</v>
      </c>
      <c r="Q31" s="20">
        <f t="shared" si="2"/>
        <v>253.02728945651543</v>
      </c>
      <c r="R31" s="59">
        <f t="shared" si="0"/>
        <v>543.91617834540432</v>
      </c>
      <c r="S31" s="59">
        <f ca="1">AVERAGE(OFFSET($R$3,0,0,'Données projet'!$E$9+1,1))-AVERAGE(OFFSET($H$3,0,0,'Données projet'!$E$9+1,1))</f>
        <v>246.59447135626942</v>
      </c>
      <c r="T31" s="59">
        <f t="shared" si="34"/>
        <v>262.00382544285367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0.42725815079690321</v>
      </c>
      <c r="AB31" s="21">
        <f>EXP(-LN(2)/2)*AB30+(1-EXP(-LN(2)/2))/(LN(2)/2)*V31*Y31*VLOOKUP('Données projet'!$B$9,Paramètres!$A$1:$I$89,3,0)*0.475*44/12</f>
        <v>6.3475773180077522E-2</v>
      </c>
      <c r="AC31" s="22">
        <f t="shared" si="3"/>
        <v>0.49073392397698073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>
        <f>VLOOKUP(A31,'Données projet'!$A$61:$I$81,2,0)</f>
        <v>190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190</v>
      </c>
      <c r="AJ31" s="13">
        <f>AI31*VLOOKUP('Données projet'!$B$10,Paramètres!$A$1:$I$89,3,0)*VLOOKUP('Données projet'!$B$10,Paramètres!$A$1:$I$89,5,0)</f>
        <v>113.62</v>
      </c>
      <c r="AK31" s="13">
        <f t="shared" si="35"/>
        <v>30.182270904187739</v>
      </c>
      <c r="AL31" s="20">
        <f t="shared" si="4"/>
        <v>250.45562182479364</v>
      </c>
      <c r="AM31" s="59">
        <f t="shared" si="5"/>
        <v>541.34451071368244</v>
      </c>
      <c r="AN31" s="59">
        <f ca="1">AVERAGE(OFFSET($AM$3,0,0,'Données projet'!$E$10+1,1))-AVERAGE(OFFSET($H$3,0,0,'Données projet'!$E$10+1,1))</f>
        <v>195.73441209602686</v>
      </c>
      <c r="AO31" s="59">
        <f t="shared" si="36"/>
        <v>219.19129224309006</v>
      </c>
      <c r="AP31" s="15">
        <f>IF(ISNA(VLOOKUP(A31,'Données projet'!$A$61:$I$81,3,0)),0,VLOOKUP(A31,'Données projet'!$A$61:$I$81,3,0))</f>
        <v>4</v>
      </c>
      <c r="AQ31" s="15">
        <f>IF(ISNA(VLOOKUP(A31,'Données projet'!$A$61:$I$81,4,0)),0,VLOOKUP(A31,'Données projet'!$A$61:$I$81,4,0))</f>
        <v>35</v>
      </c>
      <c r="AR31" s="16">
        <f>IF(ISNA(VLOOKUP(A31,'Données projet'!$A$61:$I$81,5,0)),0%,VLOOKUP(A31,'Données projet'!$A$61:$I$81,5,0)*VLOOKUP('Données projet'!$B$10,Paramètres!$A$1:$I$89,7,0))</f>
        <v>0.13500000000000001</v>
      </c>
      <c r="AS31" s="16">
        <f>IF(ISNA(VLOOKUP(A31,'Données projet'!$A$61:$I$81,6,0)),0%,VLOOKUP(A31,'Données projet'!$A$61:$I$81,6,0)*VLOOKUP('Données projet'!$B$10,Paramètres!$A$1:$I$89,7,0))</f>
        <v>0.1575</v>
      </c>
      <c r="AT31" s="16">
        <f>IF(ISNA(VLOOKUP(A31,'Données projet'!$A$61:$I$81,7,0)),0%,VLOOKUP(A31,'Données projet'!$A$61:$I$81,7,0))</f>
        <v>0.35</v>
      </c>
      <c r="AU31" s="21">
        <f>EXP(-LN(2)/35)*AU30+(1-EXP(-LN(2)/35))/(LN(2)/35)*AQ31*AR31*VLOOKUP('Données projet'!$B$10,Paramètres!$A$1:$I$89,3,0)*0.475*44/12</f>
        <v>6.4632600774874396</v>
      </c>
      <c r="AV31" s="21">
        <f>EXP(-LN(2)/25)*AV30+(1-EXP(-LN(2)/25))/(LN(2)/25)*Calculateur!AQ31*Calculateur!AS31*VLOOKUP('Données projet'!$B$10,Paramètres!$A$1:$I$89,3,0)*0.475*44/12</f>
        <v>13.033964996355422</v>
      </c>
      <c r="AW31" s="21">
        <f>EXP(-LN(2)/2)*AW30+(1-EXP(-LN(2)/2))/(LN(2)/2)*AQ31*AT31*VLOOKUP('Données projet'!$B$10,Paramètres!$A$1:$I$89,3,0)*0.475*44/12</f>
        <v>10.891384748148297</v>
      </c>
      <c r="AX31" s="21">
        <f t="shared" si="6"/>
        <v>30.38860982199116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83.603519999999975</v>
      </c>
      <c r="BF31" s="13">
        <f t="shared" si="37"/>
        <v>23.015991519299678</v>
      </c>
      <c r="BG31" s="20">
        <f t="shared" si="7"/>
        <v>185.69564922944687</v>
      </c>
      <c r="BH31" s="59">
        <f t="shared" si="8"/>
        <v>476.58453811833573</v>
      </c>
      <c r="BI31" s="59">
        <f ca="1">AVERAGE(OFFSET($BH$3,0,0,'Données projet'!$E$11+1,1))-AVERAGE(OFFSET($H$3,0,0,'Données projet'!$E$11+1,1))</f>
        <v>269.19146943657933</v>
      </c>
      <c r="BJ31" s="59">
        <f t="shared" si="38"/>
        <v>185.94138814570965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99.459359999999975</v>
      </c>
      <c r="CA31" s="13">
        <f t="shared" si="39"/>
        <v>26.833156914576186</v>
      </c>
      <c r="CB31" s="20">
        <f t="shared" si="10"/>
        <v>219.95946695955351</v>
      </c>
      <c r="CC31" s="59">
        <f t="shared" si="11"/>
        <v>510.84835584844234</v>
      </c>
      <c r="CD31" s="59">
        <f ca="1">AVERAGE(OFFSET($CC$3,0,0,'Données projet'!$E$12+1,1))-AVERAGE(OFFSET($H$3,0,0,'Données projet'!$E$12+1,1))</f>
        <v>335.12015893291874</v>
      </c>
      <c r="CE31" s="59">
        <f t="shared" si="40"/>
        <v>224.76596283033166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6.3</v>
      </c>
      <c r="CT31" s="12">
        <f>IF('Données projet'!$A$140&gt;35,CT30+CS31-DB30,IF(A31&lt;'Données projet'!$A$140,$CQ$205^A31,IF(A31='Données projet'!$A$140,'Données projet'!$B$140,CT30+CS31-DB30)))</f>
        <v>92.399999999999977</v>
      </c>
      <c r="CU31" s="17">
        <f>CT31*VLOOKUP('Données projet'!$B$13,Paramètres!$A$1:$I$89,3,0)*VLOOKUP('Données projet'!$B$13,Paramètres!$A$1:$I$89,5,0)</f>
        <v>89.369279999999975</v>
      </c>
      <c r="CV31" s="13">
        <f t="shared" si="41"/>
        <v>24.413048312949282</v>
      </c>
      <c r="CW31" s="20">
        <f t="shared" si="13"/>
        <v>198.17088847838662</v>
      </c>
      <c r="CX31" s="59">
        <f t="shared" si="14"/>
        <v>489.0597773672755</v>
      </c>
      <c r="CY31" s="59">
        <f ca="1">AVERAGE(OFFSET($CX$3,0,0,'Données projet'!$E$13+1,1))-AVERAGE(OFFSET($H$3,0,0,'Données projet'!$E$13+1,1))</f>
        <v>293.19327646293601</v>
      </c>
      <c r="CZ31" s="59">
        <f t="shared" si="42"/>
        <v>200.0769581869605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13</v>
      </c>
      <c r="N32" s="13">
        <f>IF('Données projet'!$A$36&gt;35,N31+M32-V31,IF(A32&lt;'Données projet'!$A$36,$K$205^A32,IF(A32='Données projet'!$A$36,'Données projet'!$B$36,N31+M32-V31)))</f>
        <v>205</v>
      </c>
      <c r="O32" s="13">
        <f>N32*VLOOKUP('Données projet'!$B$9,Paramètres!$A$1:$I$89,3,0)*VLOOKUP('Données projet'!$B$9,Paramètres!$A$1:$I$89,5,0)</f>
        <v>122.59</v>
      </c>
      <c r="P32" s="13">
        <f t="shared" si="33"/>
        <v>32.278321478706822</v>
      </c>
      <c r="Q32" s="20">
        <f t="shared" si="2"/>
        <v>269.72899324208106</v>
      </c>
      <c r="R32" s="59">
        <f t="shared" si="0"/>
        <v>561.84010435319215</v>
      </c>
      <c r="S32" s="59">
        <f ca="1">AVERAGE(OFFSET($R$3,0,0,'Données projet'!$E$9+1,1))-AVERAGE(OFFSET($H$3,0,0,'Données projet'!$E$9+1,1))</f>
        <v>246.59447135626942</v>
      </c>
      <c r="T32" s="59">
        <f t="shared" si="34"/>
        <v>262.00382544285367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0.41557475419483225</v>
      </c>
      <c r="AB32" s="21">
        <f>EXP(-LN(2)/2)*AB31+(1-EXP(-LN(2)/2))/(LN(2)/2)*V32*Y32*VLOOKUP('Données projet'!$B$9,Paramètres!$A$1:$I$89,3,0)*0.475*44/12</f>
        <v>4.4884149656691998E-2</v>
      </c>
      <c r="AC32" s="22">
        <f t="shared" si="3"/>
        <v>0.46045890385152427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14.833333333333334</v>
      </c>
      <c r="AI32" s="13">
        <f>IF('Données projet'!$A$62&gt;35,AI31+AH32-AQ31,IF(A32&lt;'Données projet'!$A$62,$AF$205^A32,IF(A32='Données projet'!$A$62,'Données projet'!$B$62,AI31+AH32-AQ31)))</f>
        <v>169.83333333333334</v>
      </c>
      <c r="AJ32" s="13">
        <f>AI32*VLOOKUP('Données projet'!$B$10,Paramètres!$A$1:$I$89,3,0)*VLOOKUP('Données projet'!$B$10,Paramètres!$A$1:$I$89,5,0)</f>
        <v>101.56033333333333</v>
      </c>
      <c r="AK32" s="13">
        <f t="shared" si="35"/>
        <v>27.333389821325063</v>
      </c>
      <c r="AL32" s="20">
        <f t="shared" si="4"/>
        <v>224.48990116103005</v>
      </c>
      <c r="AM32" s="59">
        <f t="shared" si="5"/>
        <v>516.60101227214113</v>
      </c>
      <c r="AN32" s="59">
        <f ca="1">AVERAGE(OFFSET($AM$3,0,0,'Données projet'!$E$10+1,1))-AVERAGE(OFFSET($H$3,0,0,'Données projet'!$E$10+1,1))</f>
        <v>195.73441209602686</v>
      </c>
      <c r="AO32" s="59">
        <f t="shared" si="36"/>
        <v>219.19129224309006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6.3365194895672987</v>
      </c>
      <c r="AV32" s="21">
        <f>EXP(-LN(2)/25)*AV31+(1-EXP(-LN(2)/25))/(LN(2)/25)*Calculateur!AQ32*Calculateur!AS32*VLOOKUP('Données projet'!$B$10,Paramètres!$A$1:$I$89,3,0)*0.475*44/12</f>
        <v>12.677550538103654</v>
      </c>
      <c r="AW32" s="21">
        <f>EXP(-LN(2)/2)*AW31+(1-EXP(-LN(2)/2))/(LN(2)/2)*AQ32*AT32*VLOOKUP('Données projet'!$B$10,Paramètres!$A$1:$I$89,3,0)*0.475*44/12</f>
        <v>7.7013720119273996</v>
      </c>
      <c r="AX32" s="21">
        <f t="shared" si="6"/>
        <v>26.715442039598354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89.303759999999968</v>
      </c>
      <c r="BF32" s="13">
        <f t="shared" si="37"/>
        <v>24.397232850954325</v>
      </c>
      <c r="BG32" s="20">
        <f t="shared" si="7"/>
        <v>198.02922921541202</v>
      </c>
      <c r="BH32" s="59">
        <f t="shared" si="8"/>
        <v>490.14034032652319</v>
      </c>
      <c r="BI32" s="59">
        <f ca="1">AVERAGE(OFFSET($BH$3,0,0,'Données projet'!$E$11+1,1))-AVERAGE(OFFSET($H$3,0,0,'Données projet'!$E$11+1,1))</f>
        <v>269.19146943657933</v>
      </c>
      <c r="BJ32" s="59">
        <f t="shared" si="38"/>
        <v>185.94138814570965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106.24067999999997</v>
      </c>
      <c r="CA32" s="13">
        <f t="shared" si="39"/>
        <v>28.443474912743159</v>
      </c>
      <c r="CB32" s="20">
        <f t="shared" si="10"/>
        <v>234.57490313969427</v>
      </c>
      <c r="CC32" s="59">
        <f t="shared" si="11"/>
        <v>526.68601425080544</v>
      </c>
      <c r="CD32" s="59">
        <f ca="1">AVERAGE(OFFSET($CC$3,0,0,'Données projet'!$E$12+1,1))-AVERAGE(OFFSET($H$3,0,0,'Données projet'!$E$12+1,1))</f>
        <v>335.12015893291874</v>
      </c>
      <c r="CE32" s="59">
        <f t="shared" si="40"/>
        <v>224.76596283033166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6.3</v>
      </c>
      <c r="CT32" s="12">
        <f>IF('Données projet'!$A$140&gt;35,CT31+CS32-DB31,IF(A32&lt;'Données projet'!$A$140,$CQ$205^A32,IF(A32='Données projet'!$A$140,'Données projet'!$B$140,CT31+CS32-DB31)))</f>
        <v>98.699999999999974</v>
      </c>
      <c r="CU32" s="17">
        <f>CT32*VLOOKUP('Données projet'!$B$13,Paramètres!$A$1:$I$89,3,0)*VLOOKUP('Données projet'!$B$13,Paramètres!$A$1:$I$89,5,0)</f>
        <v>95.462639999999979</v>
      </c>
      <c r="CV32" s="13">
        <f t="shared" si="41"/>
        <v>25.878130159770908</v>
      </c>
      <c r="CW32" s="20">
        <f t="shared" si="13"/>
        <v>211.33517469493427</v>
      </c>
      <c r="CX32" s="59">
        <f t="shared" si="14"/>
        <v>503.44628580604541</v>
      </c>
      <c r="CY32" s="59">
        <f ca="1">AVERAGE(OFFSET($CX$3,0,0,'Données projet'!$E$13+1,1))-AVERAGE(OFFSET($H$3,0,0,'Données projet'!$E$13+1,1))</f>
        <v>293.19327646293601</v>
      </c>
      <c r="CZ32" s="59">
        <f t="shared" si="42"/>
        <v>200.0769581869605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218</v>
      </c>
      <c r="L33" s="12">
        <f>VLOOKUP(A33,'Données projet'!$A$35:$I$55,9,0)</f>
        <v>13</v>
      </c>
      <c r="M33" s="12">
        <f t="array" ref="M33">INDEX(L:L,MIN(IF(ISNUMBER(L33:L229),ROW(L33:L229),"")))</f>
        <v>13</v>
      </c>
      <c r="N33" s="13">
        <f>IF('Données projet'!$A$36&gt;35,N32+M33-V32,IF(A33&lt;'Données projet'!$A$36,$K$205^A33,IF(A33='Données projet'!$A$36,'Données projet'!$B$36,N32+M33-V32)))</f>
        <v>218</v>
      </c>
      <c r="O33" s="13">
        <f>N33*VLOOKUP('Données projet'!$B$9,Paramètres!$A$1:$I$89,3,0)*VLOOKUP('Données projet'!$B$9,Paramètres!$A$1:$I$89,5,0)</f>
        <v>130.364</v>
      </c>
      <c r="P33" s="13">
        <f t="shared" si="33"/>
        <v>34.080455352788661</v>
      </c>
      <c r="Q33" s="20">
        <f t="shared" si="2"/>
        <v>286.40742640610694</v>
      </c>
      <c r="R33" s="59">
        <f t="shared" si="0"/>
        <v>579.74075973944025</v>
      </c>
      <c r="S33" s="59">
        <f ca="1">AVERAGE(OFFSET($R$3,0,0,'Données projet'!$E$9+1,1))-AVERAGE(OFFSET($H$3,0,0,'Données projet'!$E$9+1,1))</f>
        <v>246.59447135626942</v>
      </c>
      <c r="T33" s="59">
        <f t="shared" si="34"/>
        <v>262.00382544285367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0.22500000000000001</v>
      </c>
      <c r="Y33" s="16">
        <f>IF(ISNA(VLOOKUP(A33,'Données projet'!$A$35:$I$55,7,0)),0%,VLOOKUP(A33,'Données projet'!$A$35:$I$55,7,0))</f>
        <v>0.5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12.84926355185025</v>
      </c>
      <c r="AB33" s="21">
        <f>EXP(-LN(2)/2)*AB32+(1-EXP(-LN(2)/2))/(LN(2)/2)*V33*Y33*VLOOKUP('Données projet'!$B$9,Paramètres!$A$1:$I$89,3,0)*0.475*44/12</f>
        <v>23.729359873818968</v>
      </c>
      <c r="AC33" s="22">
        <f t="shared" si="3"/>
        <v>36.578623425669221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14.833333333333334</v>
      </c>
      <c r="AI33" s="13">
        <f>IF('Données projet'!$A$62&gt;35,AI32+AH33-AQ32,IF(A33&lt;'Données projet'!$A$62,$AF$205^A33,IF(A33='Données projet'!$A$62,'Données projet'!$B$62,AI32+AH33-AQ32)))</f>
        <v>184.66666666666669</v>
      </c>
      <c r="AJ33" s="13">
        <f>AI33*VLOOKUP('Données projet'!$B$10,Paramètres!$A$1:$I$89,3,0)*VLOOKUP('Données projet'!$B$10,Paramètres!$A$1:$I$89,5,0)</f>
        <v>110.43066666666668</v>
      </c>
      <c r="AK33" s="13">
        <f t="shared" si="35"/>
        <v>29.43242991113809</v>
      </c>
      <c r="AL33" s="20">
        <f t="shared" si="4"/>
        <v>243.5948932063433</v>
      </c>
      <c r="AM33" s="59">
        <f t="shared" si="5"/>
        <v>536.92822653967664</v>
      </c>
      <c r="AN33" s="59">
        <f ca="1">AVERAGE(OFFSET($AM$3,0,0,'Données projet'!$E$10+1,1))-AVERAGE(OFFSET($H$3,0,0,'Données projet'!$E$10+1,1))</f>
        <v>195.73441209602686</v>
      </c>
      <c r="AO33" s="59">
        <f t="shared" si="36"/>
        <v>219.19129224309006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6.2122642072721463</v>
      </c>
      <c r="AV33" s="21">
        <f>EXP(-LN(2)/25)*AV32+(1-EXP(-LN(2)/25))/(LN(2)/25)*Calculateur!AQ33*Calculateur!AS33*VLOOKUP('Données projet'!$B$10,Paramètres!$A$1:$I$89,3,0)*0.475*44/12</f>
        <v>12.330882251955801</v>
      </c>
      <c r="AW33" s="21">
        <f>EXP(-LN(2)/2)*AW32+(1-EXP(-LN(2)/2))/(LN(2)/2)*AQ33*AT33*VLOOKUP('Données projet'!$B$10,Paramètres!$A$1:$I$89,3,0)*0.475*44/12</f>
        <v>5.4456923740741496</v>
      </c>
      <c r="AX33" s="21">
        <f t="shared" si="6"/>
        <v>23.988838833302097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95.003999999999962</v>
      </c>
      <c r="BF33" s="13">
        <f t="shared" si="37"/>
        <v>25.768242550600764</v>
      </c>
      <c r="BG33" s="20">
        <f t="shared" si="7"/>
        <v>210.34498910896289</v>
      </c>
      <c r="BH33" s="59">
        <f t="shared" si="8"/>
        <v>503.67832244229623</v>
      </c>
      <c r="BI33" s="59">
        <f ca="1">AVERAGE(OFFSET($BH$3,0,0,'Données projet'!$E$11+1,1))-AVERAGE(OFFSET($H$3,0,0,'Données projet'!$E$11+1,1))</f>
        <v>269.19146943657933</v>
      </c>
      <c r="BJ33" s="59">
        <f t="shared" si="38"/>
        <v>185.94138814570965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3.1059381724899082</v>
      </c>
      <c r="BR33" s="21">
        <f>EXP(-LN(2)/2)*BR32+(1-EXP(-LN(2)/2))/(LN(2)/2)*BL33*BO33*VLOOKUP('Données projet'!$B$11,Paramètres!$A$1:$I$89,3,0)*0.475*44/12</f>
        <v>6.1893478544284255</v>
      </c>
      <c r="BS33" s="22">
        <f t="shared" si="9"/>
        <v>9.2952860269183333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113.02199999999996</v>
      </c>
      <c r="CA33" s="13">
        <f t="shared" si="39"/>
        <v>30.041864379091852</v>
      </c>
      <c r="CB33" s="20">
        <f t="shared" si="10"/>
        <v>249.16956379358496</v>
      </c>
      <c r="CC33" s="59">
        <f t="shared" si="11"/>
        <v>542.50289712691824</v>
      </c>
      <c r="CD33" s="59">
        <f ca="1">AVERAGE(OFFSET($CC$3,0,0,'Données projet'!$E$12+1,1))-AVERAGE(OFFSET($H$3,0,0,'Données projet'!$E$12+1,1))</f>
        <v>335.12015893291874</v>
      </c>
      <c r="CE33" s="59">
        <f t="shared" si="40"/>
        <v>224.76596283033166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3.694995412100063</v>
      </c>
      <c r="CM33" s="21">
        <f>EXP(-LN(2)/2)*CM32+(1-EXP(-LN(2)/2))/(LN(2)/2)*CG33*CJ33*VLOOKUP('Données projet'!$B$12,Paramètres!$A$1:$I$89,3,0)*0.475*44/12</f>
        <v>7.3631896888889896</v>
      </c>
      <c r="CN33" s="22">
        <f t="shared" si="12"/>
        <v>11.058185100989053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105</v>
      </c>
      <c r="CR33" s="12">
        <f>VLOOKUP(A33,'Données projet'!$A$139:$I$159,9,0)</f>
        <v>6.3</v>
      </c>
      <c r="CS33" s="12">
        <f t="array" ref="CS33">INDEX(CR:CR,MIN(IF(ISNUMBER(CR33:CR229),ROW(CR33:CR229),"")))</f>
        <v>6.3</v>
      </c>
      <c r="CT33" s="12">
        <f>IF('Données projet'!$A$140&gt;35,CT32+CS33-DB32,IF(A33&lt;'Données projet'!$A$140,$CQ$205^A33,IF(A33='Données projet'!$A$140,'Données projet'!$B$140,CT32+CS33-DB32)))</f>
        <v>104.99999999999997</v>
      </c>
      <c r="CU33" s="17">
        <f>CT33*VLOOKUP('Données projet'!$B$13,Paramètres!$A$1:$I$89,3,0)*VLOOKUP('Données projet'!$B$13,Paramètres!$A$1:$I$89,5,0)</f>
        <v>101.55599999999997</v>
      </c>
      <c r="CV33" s="13">
        <f t="shared" si="41"/>
        <v>27.332359320696909</v>
      </c>
      <c r="CW33" s="20">
        <f t="shared" si="13"/>
        <v>224.48055915021371</v>
      </c>
      <c r="CX33" s="59">
        <f t="shared" si="14"/>
        <v>517.81389248354708</v>
      </c>
      <c r="CY33" s="59">
        <f ca="1">AVERAGE(OFFSET($CX$3,0,0,'Données projet'!$E$13+1,1))-AVERAGE(OFFSET($H$3,0,0,'Données projet'!$E$13+1,1))</f>
        <v>293.19327646293601</v>
      </c>
      <c r="CZ33" s="59">
        <f t="shared" si="42"/>
        <v>200.0769581869605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29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3.3201408050754195</v>
      </c>
      <c r="DH33" s="21">
        <f>EXP(-LN(2)/2)*DH32+(1-EXP(-LN(2)/2))/(LN(2)/2)*DB33*DE33*VLOOKUP('Données projet'!$B$13,Paramètres!$A$1:$I$89,3,0)*0.475*44/12</f>
        <v>6.6161994305959029</v>
      </c>
      <c r="DI33" s="22">
        <f t="shared" si="15"/>
        <v>9.936340235671322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13.7</v>
      </c>
      <c r="N34" s="13">
        <f>IF('Données projet'!$A$36&gt;35,N33+M34-V33,IF(A34&lt;'Données projet'!$A$36,$K$205^A34,IF(A34='Données projet'!$A$36,'Données projet'!$B$36,N33+M34-V33)))</f>
        <v>161.69999999999999</v>
      </c>
      <c r="O34" s="13">
        <f>N34*VLOOKUP('Données projet'!$B$9,Paramètres!$A$1:$I$89,3,0)*VLOOKUP('Données projet'!$B$9,Paramètres!$A$1:$I$89,5,0)</f>
        <v>96.696600000000004</v>
      </c>
      <c r="P34" s="13">
        <f t="shared" si="33"/>
        <v>26.173476069859898</v>
      </c>
      <c r="Q34" s="20">
        <f t="shared" si="2"/>
        <v>213.99871582167268</v>
      </c>
      <c r="R34" s="59">
        <f t="shared" si="0"/>
        <v>507.33204915500596</v>
      </c>
      <c r="S34" s="59">
        <f ca="1">AVERAGE(OFFSET($R$3,0,0,'Données projet'!$E$9+1,1))-AVERAGE(OFFSET($H$3,0,0,'Données projet'!$E$9+1,1))</f>
        <v>246.59447135626942</v>
      </c>
      <c r="T34" s="59">
        <f t="shared" si="34"/>
        <v>262.00382544285367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12.497899764311502</v>
      </c>
      <c r="AB34" s="21">
        <f>EXP(-LN(2)/2)*AB33+(1-EXP(-LN(2)/2))/(LN(2)/2)*V34*Y34*VLOOKUP('Données projet'!$B$9,Paramètres!$A$1:$I$89,3,0)*0.475*44/12</f>
        <v>16.779191279993352</v>
      </c>
      <c r="AC34" s="22">
        <f t="shared" si="3"/>
        <v>29.277091044304854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14.833333333333334</v>
      </c>
      <c r="AI34" s="13">
        <f>IF('Données projet'!$A$62&gt;35,AI33+AH34-AQ33,IF(A34&lt;'Données projet'!$A$62,$AF$205^A34,IF(A34='Données projet'!$A$62,'Données projet'!$B$62,AI33+AH34-AQ33)))</f>
        <v>199.50000000000003</v>
      </c>
      <c r="AJ34" s="13">
        <f>AI34*VLOOKUP('Données projet'!$B$10,Paramètres!$A$1:$I$89,3,0)*VLOOKUP('Données projet'!$B$10,Paramètres!$A$1:$I$89,5,0)</f>
        <v>119.30100000000002</v>
      </c>
      <c r="AK34" s="13">
        <f t="shared" si="35"/>
        <v>31.51191363312137</v>
      </c>
      <c r="AL34" s="20">
        <f t="shared" si="4"/>
        <v>262.66582457768635</v>
      </c>
      <c r="AM34" s="59">
        <f t="shared" si="5"/>
        <v>555.99915791101967</v>
      </c>
      <c r="AN34" s="59">
        <f ca="1">AVERAGE(OFFSET($AM$3,0,0,'Données projet'!$E$10+1,1))-AVERAGE(OFFSET($H$3,0,0,'Données projet'!$E$10+1,1))</f>
        <v>195.73441209602686</v>
      </c>
      <c r="AO34" s="59">
        <f t="shared" si="36"/>
        <v>219.19129224309006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6.0904454952745626</v>
      </c>
      <c r="AV34" s="21">
        <f>EXP(-LN(2)/25)*AV33+(1-EXP(-LN(2)/25))/(LN(2)/25)*Calculateur!AQ34*Calculateur!AS34*VLOOKUP('Données projet'!$B$10,Paramètres!$A$1:$I$89,3,0)*0.475*44/12</f>
        <v>11.993693628323154</v>
      </c>
      <c r="AW34" s="21">
        <f>EXP(-LN(2)/2)*AW33+(1-EXP(-LN(2)/2))/(LN(2)/2)*AQ34*AT34*VLOOKUP('Données projet'!$B$10,Paramètres!$A$1:$I$89,3,0)*0.475*44/12</f>
        <v>3.8506860059637007</v>
      </c>
      <c r="AX34" s="21">
        <f t="shared" si="6"/>
        <v>21.934825129561418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76.184159999999977</v>
      </c>
      <c r="BF34" s="13">
        <f t="shared" si="37"/>
        <v>21.201554232857205</v>
      </c>
      <c r="BG34" s="20">
        <f t="shared" si="7"/>
        <v>169.61345228889294</v>
      </c>
      <c r="BH34" s="59">
        <f t="shared" si="8"/>
        <v>462.94678562222623</v>
      </c>
      <c r="BI34" s="59">
        <f ca="1">AVERAGE(OFFSET($BH$3,0,0,'Données projet'!$E$11+1,1))-AVERAGE(OFFSET($H$3,0,0,'Données projet'!$E$11+1,1))</f>
        <v>269.19146943657933</v>
      </c>
      <c r="BJ34" s="59">
        <f t="shared" si="38"/>
        <v>185.94138814570965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3.0210061298289821</v>
      </c>
      <c r="BR34" s="21">
        <f>EXP(-LN(2)/2)*BR33+(1-EXP(-LN(2)/2))/(LN(2)/2)*BL34*BO34*VLOOKUP('Données projet'!$B$11,Paramètres!$A$1:$I$89,3,0)*0.475*44/12</f>
        <v>4.3765298389887484</v>
      </c>
      <c r="BS34" s="22">
        <f t="shared" si="9"/>
        <v>7.3975359688177305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90.632879999999972</v>
      </c>
      <c r="CA34" s="13">
        <f t="shared" si="39"/>
        <v>24.717798105117861</v>
      </c>
      <c r="CB34" s="20">
        <f t="shared" si="10"/>
        <v>200.90243103308021</v>
      </c>
      <c r="CC34" s="59">
        <f t="shared" si="11"/>
        <v>494.23576436641349</v>
      </c>
      <c r="CD34" s="59">
        <f ca="1">AVERAGE(OFFSET($CC$3,0,0,'Données projet'!$E$12+1,1))-AVERAGE(OFFSET($H$3,0,0,'Données projet'!$E$12+1,1))</f>
        <v>335.12015893291874</v>
      </c>
      <c r="CE34" s="59">
        <f t="shared" si="40"/>
        <v>224.76596283033166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3.593955568244823</v>
      </c>
      <c r="CM34" s="21">
        <f>EXP(-LN(2)/2)*CM33+(1-EXP(-LN(2)/2))/(LN(2)/2)*CG34*CJ34*VLOOKUP('Données projet'!$B$12,Paramètres!$A$1:$I$89,3,0)*0.475*44/12</f>
        <v>5.2065613601762699</v>
      </c>
      <c r="CN34" s="22">
        <f t="shared" si="12"/>
        <v>8.8005169284210929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8.1999999999999993</v>
      </c>
      <c r="CT34" s="12">
        <f>IF('Données projet'!$A$140&gt;35,CT33+CS34-DB33,IF(A34&lt;'Données projet'!$A$140,$CQ$205^A34,IF(A34='Données projet'!$A$140,'Données projet'!$B$140,CT33+CS34-DB33)))</f>
        <v>84.199999999999974</v>
      </c>
      <c r="CU34" s="17">
        <f>CT34*VLOOKUP('Données projet'!$B$13,Paramètres!$A$1:$I$89,3,0)*VLOOKUP('Données projet'!$B$13,Paramètres!$A$1:$I$89,5,0)</f>
        <v>81.438239999999979</v>
      </c>
      <c r="CV34" s="13">
        <f t="shared" si="41"/>
        <v>22.488475778344675</v>
      </c>
      <c r="CW34" s="20">
        <f t="shared" si="13"/>
        <v>181.0056966472836</v>
      </c>
      <c r="CX34" s="59">
        <f t="shared" si="14"/>
        <v>474.33902998061694</v>
      </c>
      <c r="CY34" s="59">
        <f ca="1">AVERAGE(OFFSET($CX$3,0,0,'Données projet'!$E$13+1,1))-AVERAGE(OFFSET($H$3,0,0,'Données projet'!$E$13+1,1))</f>
        <v>293.19327646293601</v>
      </c>
      <c r="CZ34" s="59">
        <f t="shared" si="42"/>
        <v>200.0769581869605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3.2293513801620155</v>
      </c>
      <c r="DH34" s="21">
        <f>EXP(-LN(2)/2)*DH33+(1-EXP(-LN(2)/2))/(LN(2)/2)*DB34*DE34*VLOOKUP('Données projet'!$B$13,Paramètres!$A$1:$I$89,3,0)*0.475*44/12</f>
        <v>4.6783594830569379</v>
      </c>
      <c r="DI34" s="22">
        <f t="shared" si="15"/>
        <v>7.9077108632189539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13.7</v>
      </c>
      <c r="N35" s="13">
        <f>IF('Données projet'!$A$36&gt;35,N34+M35-V34,IF(A35&lt;'Données projet'!$A$36,$K$205^A35,IF(A35='Données projet'!$A$36,'Données projet'!$B$36,N34+M35-V34)))</f>
        <v>175.39999999999998</v>
      </c>
      <c r="O35" s="13">
        <f>N35*VLOOKUP('Données projet'!$B$9,Paramètres!$A$1:$I$89,3,0)*VLOOKUP('Données projet'!$B$9,Paramètres!$A$1:$I$89,5,0)</f>
        <v>104.8892</v>
      </c>
      <c r="P35" s="13">
        <f t="shared" si="33"/>
        <v>28.123526406473545</v>
      </c>
      <c r="Q35" s="20">
        <f t="shared" ref="Q35:Q66" si="53">(O35+P35)*0.475*44/12</f>
        <v>231.66383182460808</v>
      </c>
      <c r="R35" s="59">
        <f t="shared" si="0"/>
        <v>524.99716515794137</v>
      </c>
      <c r="S35" s="59">
        <f ca="1">AVERAGE(OFFSET($R$3,0,0,'Données projet'!$E$9+1,1))-AVERAGE(OFFSET($H$3,0,0,'Données projet'!$E$9+1,1))</f>
        <v>246.59447135626942</v>
      </c>
      <c r="T35" s="59">
        <f t="shared" si="34"/>
        <v>262.00382544285367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12.15614403802042</v>
      </c>
      <c r="AB35" s="21">
        <f>EXP(-LN(2)/2)*AB34+(1-EXP(-LN(2)/2))/(LN(2)/2)*V35*Y35*VLOOKUP('Données projet'!$B$9,Paramètres!$A$1:$I$89,3,0)*0.475*44/12</f>
        <v>11.864679936909486</v>
      </c>
      <c r="AC35" s="22">
        <f t="shared" si="3"/>
        <v>24.020823974929904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14.833333333333334</v>
      </c>
      <c r="AI35" s="13">
        <f>IF('Données projet'!$A$62&gt;35,AI34+AH35-AQ34,IF(A35&lt;'Données projet'!$A$62,$AF$205^A35,IF(A35='Données projet'!$A$62,'Données projet'!$B$62,AI34+AH35-AQ34)))</f>
        <v>214.33333333333337</v>
      </c>
      <c r="AJ35" s="13">
        <f>AI35*VLOOKUP('Données projet'!$B$10,Paramètres!$A$1:$I$89,3,0)*VLOOKUP('Données projet'!$B$10,Paramètres!$A$1:$I$89,5,0)</f>
        <v>128.17133333333337</v>
      </c>
      <c r="AK35" s="13">
        <f t="shared" si="35"/>
        <v>33.5734603980111</v>
      </c>
      <c r="AL35" s="20">
        <f t="shared" si="4"/>
        <v>281.70551574875822</v>
      </c>
      <c r="AM35" s="59">
        <f t="shared" si="5"/>
        <v>575.03884908209147</v>
      </c>
      <c r="AN35" s="59">
        <f ca="1">AVERAGE(OFFSET($AM$3,0,0,'Données projet'!$E$10+1,1))-AVERAGE(OFFSET($H$3,0,0,'Données projet'!$E$10+1,1))</f>
        <v>195.73441209602686</v>
      </c>
      <c r="AO35" s="59">
        <f t="shared" si="36"/>
        <v>219.19129224309006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5.9710155739171737</v>
      </c>
      <c r="AV35" s="21">
        <f>EXP(-LN(2)/25)*AV34+(1-EXP(-LN(2)/25))/(LN(2)/25)*Calculateur!AQ35*Calculateur!AS35*VLOOKUP('Données projet'!$B$10,Paramètres!$A$1:$I$89,3,0)*0.475*44/12</f>
        <v>11.66572544533572</v>
      </c>
      <c r="AW35" s="21">
        <f>EXP(-LN(2)/2)*AW34+(1-EXP(-LN(2)/2))/(LN(2)/2)*AQ35*AT35*VLOOKUP('Données projet'!$B$10,Paramètres!$A$1:$I$89,3,0)*0.475*44/12</f>
        <v>2.7228461870370753</v>
      </c>
      <c r="AX35" s="21">
        <f t="shared" si="6"/>
        <v>20.359587206289969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83.603519999999975</v>
      </c>
      <c r="BF35" s="13">
        <f t="shared" si="37"/>
        <v>23.015991519299678</v>
      </c>
      <c r="BG35" s="20">
        <f t="shared" si="7"/>
        <v>185.69564922944687</v>
      </c>
      <c r="BH35" s="59">
        <f t="shared" si="8"/>
        <v>479.02898256278019</v>
      </c>
      <c r="BI35" s="59">
        <f ca="1">AVERAGE(OFFSET($BH$3,0,0,'Données projet'!$E$11+1,1))-AVERAGE(OFFSET($H$3,0,0,'Données projet'!$E$11+1,1))</f>
        <v>269.19146943657933</v>
      </c>
      <c r="BJ35" s="59">
        <f t="shared" si="38"/>
        <v>185.94138814570965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2.938396558341001</v>
      </c>
      <c r="BR35" s="21">
        <f>EXP(-LN(2)/2)*BR34+(1-EXP(-LN(2)/2))/(LN(2)/2)*BL35*BO35*VLOOKUP('Données projet'!$B$11,Paramètres!$A$1:$I$89,3,0)*0.475*44/12</f>
        <v>3.0946739272142132</v>
      </c>
      <c r="BS35" s="22">
        <f t="shared" si="9"/>
        <v>6.0330704855552142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99.459359999999975</v>
      </c>
      <c r="CA35" s="13">
        <f t="shared" si="39"/>
        <v>26.833156914576186</v>
      </c>
      <c r="CB35" s="20">
        <f t="shared" si="10"/>
        <v>219.95946695955351</v>
      </c>
      <c r="CC35" s="59">
        <f t="shared" si="11"/>
        <v>513.2928002928868</v>
      </c>
      <c r="CD35" s="59">
        <f ca="1">AVERAGE(OFFSET($CC$3,0,0,'Données projet'!$E$12+1,1))-AVERAGE(OFFSET($H$3,0,0,'Données projet'!$E$12+1,1))</f>
        <v>335.12015893291874</v>
      </c>
      <c r="CE35" s="59">
        <f t="shared" si="40"/>
        <v>224.76596283033166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3.4956786642332589</v>
      </c>
      <c r="CM35" s="21">
        <f>EXP(-LN(2)/2)*CM34+(1-EXP(-LN(2)/2))/(LN(2)/2)*CG35*CJ35*VLOOKUP('Données projet'!$B$12,Paramètres!$A$1:$I$89,3,0)*0.475*44/12</f>
        <v>3.6815948444444953</v>
      </c>
      <c r="CN35" s="22">
        <f t="shared" si="12"/>
        <v>7.1772735086777537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8.1999999999999993</v>
      </c>
      <c r="CT35" s="12">
        <f>IF('Données projet'!$A$140&gt;35,CT34+CS35-DB34,IF(A35&lt;'Données projet'!$A$140,$CQ$205^A35,IF(A35='Données projet'!$A$140,'Données projet'!$B$140,CT34+CS35-DB34)))</f>
        <v>92.399999999999977</v>
      </c>
      <c r="CU35" s="17">
        <f>CT35*VLOOKUP('Données projet'!$B$13,Paramètres!$A$1:$I$89,3,0)*VLOOKUP('Données projet'!$B$13,Paramètres!$A$1:$I$89,5,0)</f>
        <v>89.369279999999975</v>
      </c>
      <c r="CV35" s="13">
        <f t="shared" si="41"/>
        <v>24.413048312949282</v>
      </c>
      <c r="CW35" s="20">
        <f t="shared" si="13"/>
        <v>198.17088847838662</v>
      </c>
      <c r="CX35" s="59">
        <f t="shared" si="14"/>
        <v>491.50422181171996</v>
      </c>
      <c r="CY35" s="59">
        <f ca="1">AVERAGE(OFFSET($CX$3,0,0,'Données projet'!$E$13+1,1))-AVERAGE(OFFSET($H$3,0,0,'Données projet'!$E$13+1,1))</f>
        <v>293.19327646293601</v>
      </c>
      <c r="CZ35" s="59">
        <f t="shared" si="42"/>
        <v>200.0769581869605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3.1410445968472769</v>
      </c>
      <c r="DH35" s="21">
        <f>EXP(-LN(2)/2)*DH34+(1-EXP(-LN(2)/2))/(LN(2)/2)*DB35*DE35*VLOOKUP('Données projet'!$B$13,Paramètres!$A$1:$I$89,3,0)*0.475*44/12</f>
        <v>3.3080997152979519</v>
      </c>
      <c r="DI35" s="22">
        <f t="shared" si="15"/>
        <v>6.4491443121452292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13.7</v>
      </c>
      <c r="N36" s="13">
        <f>IF('Données projet'!$A$36&gt;35,N35+M36-V35,IF(A36&lt;'Données projet'!$A$36,$K$205^A36,IF(A36='Données projet'!$A$36,'Données projet'!$B$36,N35+M36-V35)))</f>
        <v>189.09999999999997</v>
      </c>
      <c r="O36" s="13">
        <f>N36*VLOOKUP('Données projet'!$B$9,Paramètres!$A$1:$I$89,3,0)*VLOOKUP('Données projet'!$B$9,Paramètres!$A$1:$I$89,5,0)</f>
        <v>113.08179999999999</v>
      </c>
      <c r="P36" s="13">
        <f t="shared" si="33"/>
        <v>30.055908915657483</v>
      </c>
      <c r="Q36" s="20">
        <f t="shared" si="53"/>
        <v>249.29817636143676</v>
      </c>
      <c r="R36" s="59">
        <f t="shared" si="0"/>
        <v>542.6315096947701</v>
      </c>
      <c r="S36" s="59">
        <f ca="1">AVERAGE(OFFSET($R$3,0,0,'Données projet'!$E$9+1,1))-AVERAGE(OFFSET($H$3,0,0,'Données projet'!$E$9+1,1))</f>
        <v>246.59447135626942</v>
      </c>
      <c r="T36" s="59">
        <f t="shared" si="34"/>
        <v>262.00382544285367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11.82373364003692</v>
      </c>
      <c r="AB36" s="21">
        <f>EXP(-LN(2)/2)*AB35+(1-EXP(-LN(2)/2))/(LN(2)/2)*V36*Y36*VLOOKUP('Données projet'!$B$9,Paramètres!$A$1:$I$89,3,0)*0.475*44/12</f>
        <v>8.389595639996676</v>
      </c>
      <c r="AC36" s="22">
        <f t="shared" si="3"/>
        <v>20.213329280033598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14.833333333333334</v>
      </c>
      <c r="AI36" s="13">
        <f>IF('Données projet'!$A$62&gt;35,AI35+AH36-AQ35,IF(A36&lt;'Données projet'!$A$62,$AF$205^A36,IF(A36='Données projet'!$A$62,'Données projet'!$B$62,AI35+AH36-AQ35)))</f>
        <v>229.16666666666671</v>
      </c>
      <c r="AJ36" s="13">
        <f>AI36*VLOOKUP('Données projet'!$B$10,Paramètres!$A$1:$I$89,3,0)*VLOOKUP('Données projet'!$B$10,Paramètres!$A$1:$I$89,5,0)</f>
        <v>137.04166666666671</v>
      </c>
      <c r="AK36" s="13">
        <f t="shared" si="35"/>
        <v>35.618452776877568</v>
      </c>
      <c r="AL36" s="20">
        <f t="shared" si="4"/>
        <v>300.7163746975063</v>
      </c>
      <c r="AM36" s="59">
        <f t="shared" si="5"/>
        <v>594.04970803083961</v>
      </c>
      <c r="AN36" s="59">
        <f ca="1">AVERAGE(OFFSET($AM$3,0,0,'Données projet'!$E$10+1,1))-AVERAGE(OFFSET($H$3,0,0,'Données projet'!$E$10+1,1))</f>
        <v>195.73441209602686</v>
      </c>
      <c r="AO36" s="59">
        <f t="shared" si="36"/>
        <v>219.19129224309006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5.8539276004725442</v>
      </c>
      <c r="AV36" s="21">
        <f>EXP(-LN(2)/25)*AV35+(1-EXP(-LN(2)/25))/(LN(2)/25)*Calculateur!AQ36*Calculateur!AS36*VLOOKUP('Données projet'!$B$10,Paramètres!$A$1:$I$89,3,0)*0.475*44/12</f>
        <v>11.346725569559176</v>
      </c>
      <c r="AW36" s="21">
        <f>EXP(-LN(2)/2)*AW35+(1-EXP(-LN(2)/2))/(LN(2)/2)*AQ36*AT36*VLOOKUP('Données projet'!$B$10,Paramètres!$A$1:$I$89,3,0)*0.475*44/12</f>
        <v>1.9253430029818506</v>
      </c>
      <c r="AX36" s="21">
        <f t="shared" si="6"/>
        <v>19.125996173013572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91.022879999999972</v>
      </c>
      <c r="BF36" s="13">
        <f t="shared" si="37"/>
        <v>24.811756526220293</v>
      </c>
      <c r="BG36" s="20">
        <f t="shared" si="7"/>
        <v>201.74532528316695</v>
      </c>
      <c r="BH36" s="59">
        <f t="shared" si="8"/>
        <v>495.07865861650026</v>
      </c>
      <c r="BI36" s="59">
        <f ca="1">AVERAGE(OFFSET($BH$3,0,0,'Données projet'!$E$11+1,1))-AVERAGE(OFFSET($H$3,0,0,'Données projet'!$E$11+1,1))</f>
        <v>269.19146943657933</v>
      </c>
      <c r="BJ36" s="59">
        <f t="shared" si="38"/>
        <v>185.94138814570965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2.8580459499296071</v>
      </c>
      <c r="BR36" s="21">
        <f>EXP(-LN(2)/2)*BR35+(1-EXP(-LN(2)/2))/(LN(2)/2)*BL36*BO36*VLOOKUP('Données projet'!$B$11,Paramètres!$A$1:$I$89,3,0)*0.475*44/12</f>
        <v>2.1882649194943746</v>
      </c>
      <c r="BS36" s="22">
        <f t="shared" si="9"/>
        <v>5.0463108694239818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108.28583999999998</v>
      </c>
      <c r="CA36" s="13">
        <f t="shared" si="39"/>
        <v>28.926746676807358</v>
      </c>
      <c r="CB36" s="20">
        <f t="shared" si="10"/>
        <v>238.97858846210613</v>
      </c>
      <c r="CC36" s="59">
        <f t="shared" si="11"/>
        <v>532.3119217954395</v>
      </c>
      <c r="CD36" s="59">
        <f ca="1">AVERAGE(OFFSET($CC$3,0,0,'Données projet'!$E$12+1,1))-AVERAGE(OFFSET($H$3,0,0,'Données projet'!$E$12+1,1))</f>
        <v>335.12015893291874</v>
      </c>
      <c r="CE36" s="59">
        <f t="shared" si="40"/>
        <v>224.76596283033166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3.400089147330049</v>
      </c>
      <c r="CM36" s="21">
        <f>EXP(-LN(2)/2)*CM35+(1-EXP(-LN(2)/2))/(LN(2)/2)*CG36*CJ36*VLOOKUP('Données projet'!$B$12,Paramètres!$A$1:$I$89,3,0)*0.475*44/12</f>
        <v>2.6032806800881354</v>
      </c>
      <c r="CN36" s="22">
        <f t="shared" si="12"/>
        <v>6.0033698274181848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8.1999999999999993</v>
      </c>
      <c r="CT36" s="12">
        <f>IF('Données projet'!$A$140&gt;35,CT35+CS36-DB35,IF(A36&lt;'Données projet'!$A$140,$CQ$205^A36,IF(A36='Données projet'!$A$140,'Données projet'!$B$140,CT35+CS36-DB35)))</f>
        <v>100.59999999999998</v>
      </c>
      <c r="CU36" s="17">
        <f>CT36*VLOOKUP('Données projet'!$B$13,Paramètres!$A$1:$I$89,3,0)*VLOOKUP('Données projet'!$B$13,Paramètres!$A$1:$I$89,5,0)</f>
        <v>97.300319999999985</v>
      </c>
      <c r="CV36" s="13">
        <f t="shared" si="41"/>
        <v>26.317815171934939</v>
      </c>
      <c r="CW36" s="20">
        <f t="shared" si="13"/>
        <v>215.30158542445329</v>
      </c>
      <c r="CX36" s="59">
        <f t="shared" si="14"/>
        <v>508.63491875778664</v>
      </c>
      <c r="CY36" s="59">
        <f ca="1">AVERAGE(OFFSET($CX$3,0,0,'Données projet'!$E$13+1,1))-AVERAGE(OFFSET($H$3,0,0,'Données projet'!$E$13+1,1))</f>
        <v>293.19327646293601</v>
      </c>
      <c r="CZ36" s="59">
        <f t="shared" si="42"/>
        <v>200.0769581869605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3.0551525671661315</v>
      </c>
      <c r="DH36" s="21">
        <f>EXP(-LN(2)/2)*DH35+(1-EXP(-LN(2)/2))/(LN(2)/2)*DB36*DE36*VLOOKUP('Données projet'!$B$13,Paramètres!$A$1:$I$89,3,0)*0.475*44/12</f>
        <v>2.339179741528469</v>
      </c>
      <c r="DI36" s="22">
        <f t="shared" si="15"/>
        <v>5.3943323086946009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13.7</v>
      </c>
      <c r="N37" s="13">
        <f>IF('Données projet'!$A$36&gt;35,N36+M37-V36,IF(A37&lt;'Données projet'!$A$36,$K$205^A37,IF(A37='Données projet'!$A$36,'Données projet'!$B$36,N36+M37-V36)))</f>
        <v>202.79999999999995</v>
      </c>
      <c r="O37" s="13">
        <f>N37*VLOOKUP('Données projet'!$B$9,Paramètres!$A$1:$I$89,3,0)*VLOOKUP('Données projet'!$B$9,Paramètres!$A$1:$I$89,5,0)</f>
        <v>121.27439999999999</v>
      </c>
      <c r="P37" s="13">
        <f t="shared" si="33"/>
        <v>31.972049173215385</v>
      </c>
      <c r="Q37" s="20">
        <f t="shared" si="53"/>
        <v>266.90423231001677</v>
      </c>
      <c r="R37" s="59">
        <f t="shared" si="0"/>
        <v>560.23756564335008</v>
      </c>
      <c r="S37" s="59">
        <f ca="1">AVERAGE(OFFSET($R$3,0,0,'Données projet'!$E$9+1,1))-AVERAGE(OFFSET($H$3,0,0,'Données projet'!$E$9+1,1))</f>
        <v>246.59447135626942</v>
      </c>
      <c r="T37" s="59">
        <f t="shared" si="34"/>
        <v>262.00382544285367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11.500413021866981</v>
      </c>
      <c r="AB37" s="21">
        <f>EXP(-LN(2)/2)*AB36+(1-EXP(-LN(2)/2))/(LN(2)/2)*V37*Y37*VLOOKUP('Données projet'!$B$9,Paramètres!$A$1:$I$89,3,0)*0.475*44/12</f>
        <v>5.9323399684547429</v>
      </c>
      <c r="AC37" s="22">
        <f t="shared" si="3"/>
        <v>17.432752990321724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244</v>
      </c>
      <c r="AG37" s="12">
        <f>VLOOKUP(A37,'Données projet'!$A$61:$I$81,9,0)</f>
        <v>14.833333333333334</v>
      </c>
      <c r="AH37" s="12">
        <f t="array" ref="AH37">INDEX(AG:AG,MIN(IF(ISNUMBER(AG37:AG233),ROW(AG37:AG233),"")))</f>
        <v>14.833333333333334</v>
      </c>
      <c r="AI37" s="13">
        <f>IF('Données projet'!$A$62&gt;35,AI36+AH37-AQ36,IF(A37&lt;'Données projet'!$A$62,$AF$205^A37,IF(A37='Données projet'!$A$62,'Données projet'!$B$62,AI36+AH37-AQ36)))</f>
        <v>244.00000000000006</v>
      </c>
      <c r="AJ37" s="13">
        <f>AI37*VLOOKUP('Données projet'!$B$10,Paramètres!$A$1:$I$89,3,0)*VLOOKUP('Données projet'!$B$10,Paramètres!$A$1:$I$89,5,0)</f>
        <v>145.91200000000006</v>
      </c>
      <c r="AK37" s="13">
        <f t="shared" si="35"/>
        <v>37.648084239987625</v>
      </c>
      <c r="AL37" s="20">
        <f t="shared" si="4"/>
        <v>319.7004800513119</v>
      </c>
      <c r="AM37" s="59">
        <f t="shared" si="5"/>
        <v>613.03381338464521</v>
      </c>
      <c r="AN37" s="59">
        <f ca="1">AVERAGE(OFFSET($AM$3,0,0,'Données projet'!$E$10+1,1))-AVERAGE(OFFSET($H$3,0,0,'Données projet'!$E$10+1,1))</f>
        <v>195.73441209602686</v>
      </c>
      <c r="AO37" s="59">
        <f t="shared" si="36"/>
        <v>219.19129224309006</v>
      </c>
      <c r="AP37" s="15">
        <f>IF(ISNA(VLOOKUP(A37,'Données projet'!$A$61:$I$81,3,0)),0,VLOOKUP(A37,'Données projet'!$A$61:$I$81,3,0))</f>
        <v>5</v>
      </c>
      <c r="AQ37" s="15">
        <f>IF(ISNA(VLOOKUP(A37,'Données projet'!$A$61:$I$81,4,0)),0,VLOOKUP(A37,'Données projet'!$A$61:$I$81,4,0))</f>
        <v>46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5.7391356507705522</v>
      </c>
      <c r="AV37" s="21">
        <f>EXP(-LN(2)/25)*AV36+(1-EXP(-LN(2)/25))/(LN(2)/25)*Calculateur!AQ37*Calculateur!AS37*VLOOKUP('Données projet'!$B$10,Paramètres!$A$1:$I$89,3,0)*0.475*44/12</f>
        <v>11.036448762161216</v>
      </c>
      <c r="AW37" s="21">
        <f>EXP(-LN(2)/2)*AW36+(1-EXP(-LN(2)/2))/(LN(2)/2)*AQ37*AT37*VLOOKUP('Données projet'!$B$10,Paramètres!$A$1:$I$89,3,0)*0.475*44/12</f>
        <v>1.3614230935185379</v>
      </c>
      <c r="AX37" s="21">
        <f t="shared" si="6"/>
        <v>18.137007506450306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98.442239999999984</v>
      </c>
      <c r="BF37" s="13">
        <f t="shared" si="37"/>
        <v>26.590544283900247</v>
      </c>
      <c r="BG37" s="20">
        <f t="shared" si="7"/>
        <v>217.76543262779288</v>
      </c>
      <c r="BH37" s="59">
        <f t="shared" si="8"/>
        <v>511.09876596112622</v>
      </c>
      <c r="BI37" s="59">
        <f ca="1">AVERAGE(OFFSET($BH$3,0,0,'Données projet'!$E$11+1,1))-AVERAGE(OFFSET($H$3,0,0,'Données projet'!$E$11+1,1))</f>
        <v>269.19146943657933</v>
      </c>
      <c r="BJ37" s="59">
        <f t="shared" si="38"/>
        <v>185.94138814570965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2.7798925331306776</v>
      </c>
      <c r="BR37" s="21">
        <f>EXP(-LN(2)/2)*BR36+(1-EXP(-LN(2)/2))/(LN(2)/2)*BL37*BO37*VLOOKUP('Données projet'!$B$11,Paramètres!$A$1:$I$89,3,0)*0.475*44/12</f>
        <v>1.5473369636071068</v>
      </c>
      <c r="BS37" s="22">
        <f t="shared" si="9"/>
        <v>4.3272294967377842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117.11231999999998</v>
      </c>
      <c r="CA37" s="13">
        <f t="shared" si="39"/>
        <v>31.000543540154752</v>
      </c>
      <c r="CB37" s="20">
        <f t="shared" si="10"/>
        <v>257.96323733243617</v>
      </c>
      <c r="CC37" s="59">
        <f t="shared" si="11"/>
        <v>551.29657066576942</v>
      </c>
      <c r="CD37" s="59">
        <f ca="1">AVERAGE(OFFSET($CC$3,0,0,'Données projet'!$E$12+1,1))-AVERAGE(OFFSET($H$3,0,0,'Données projet'!$E$12+1,1))</f>
        <v>335.12015893291874</v>
      </c>
      <c r="CE37" s="59">
        <f t="shared" si="40"/>
        <v>224.76596283033166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3.3071135307933917</v>
      </c>
      <c r="CM37" s="21">
        <f>EXP(-LN(2)/2)*CM36+(1-EXP(-LN(2)/2))/(LN(2)/2)*CG37*CJ37*VLOOKUP('Données projet'!$B$12,Paramètres!$A$1:$I$89,3,0)*0.475*44/12</f>
        <v>1.8407974222222478</v>
      </c>
      <c r="CN37" s="22">
        <f t="shared" si="12"/>
        <v>5.1479109530156393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8.1999999999999993</v>
      </c>
      <c r="CT37" s="12">
        <f>IF('Données projet'!$A$140&gt;35,CT36+CS37-DB36,IF(A37&lt;'Données projet'!$A$140,$CQ$205^A37,IF(A37='Données projet'!$A$140,'Données projet'!$B$140,CT36+CS37-DB36)))</f>
        <v>108.79999999999998</v>
      </c>
      <c r="CU37" s="17">
        <f>CT37*VLOOKUP('Données projet'!$B$13,Paramètres!$A$1:$I$89,3,0)*VLOOKUP('Données projet'!$B$13,Paramètres!$A$1:$I$89,5,0)</f>
        <v>105.23135999999998</v>
      </c>
      <c r="CV37" s="13">
        <f t="shared" si="41"/>
        <v>28.204574272897808</v>
      </c>
      <c r="CW37" s="20">
        <f t="shared" si="13"/>
        <v>232.40091885863032</v>
      </c>
      <c r="CX37" s="59">
        <f t="shared" si="14"/>
        <v>525.73425219196361</v>
      </c>
      <c r="CY37" s="59">
        <f ca="1">AVERAGE(OFFSET($CX$3,0,0,'Données projet'!$E$13+1,1))-AVERAGE(OFFSET($H$3,0,0,'Données projet'!$E$13+1,1))</f>
        <v>293.19327646293601</v>
      </c>
      <c r="CZ37" s="59">
        <f t="shared" si="42"/>
        <v>200.0769581869605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2.9716092595534827</v>
      </c>
      <c r="DH37" s="21">
        <f>EXP(-LN(2)/2)*DH36+(1-EXP(-LN(2)/2))/(LN(2)/2)*DB37*DE37*VLOOKUP('Données projet'!$B$13,Paramètres!$A$1:$I$89,3,0)*0.475*44/12</f>
        <v>1.6540498576489759</v>
      </c>
      <c r="DI37" s="22">
        <f t="shared" si="15"/>
        <v>4.6256591172024581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13.7</v>
      </c>
      <c r="N38" s="13">
        <f>IF('Données projet'!$A$36&gt;35,N37+M38-V37,IF(A38&lt;'Données projet'!$A$36,$K$205^A38,IF(A38='Données projet'!$A$36,'Données projet'!$B$36,N37+M38-V37)))</f>
        <v>216.49999999999994</v>
      </c>
      <c r="O38" s="13">
        <f>N38*VLOOKUP('Données projet'!$B$9,Paramètres!$A$1:$I$89,3,0)*VLOOKUP('Données projet'!$B$9,Paramètres!$A$1:$I$89,5,0)</f>
        <v>129.46699999999998</v>
      </c>
      <c r="P38" s="13">
        <f t="shared" si="33"/>
        <v>33.873169248083329</v>
      </c>
      <c r="Q38" s="20">
        <f t="shared" si="53"/>
        <v>284.48412810707845</v>
      </c>
      <c r="R38" s="59">
        <f t="shared" si="0"/>
        <v>577.81746144041176</v>
      </c>
      <c r="S38" s="59">
        <f ca="1">AVERAGE(OFFSET($R$3,0,0,'Données projet'!$E$9+1,1))-AVERAGE(OFFSET($H$3,0,0,'Données projet'!$E$9+1,1))</f>
        <v>246.59447135626942</v>
      </c>
      <c r="T38" s="59">
        <f t="shared" si="34"/>
        <v>262.00382544285367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11.185933623003592</v>
      </c>
      <c r="AB38" s="21">
        <f>EXP(-LN(2)/2)*AB37+(1-EXP(-LN(2)/2))/(LN(2)/2)*V38*Y38*VLOOKUP('Données projet'!$B$9,Paramètres!$A$1:$I$89,3,0)*0.475*44/12</f>
        <v>4.194797819998338</v>
      </c>
      <c r="AC38" s="22">
        <f t="shared" si="3"/>
        <v>15.380731443001931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210.83333333333337</v>
      </c>
      <c r="AJ38" s="13">
        <f>AI38*VLOOKUP('Données projet'!$B$10,Paramètres!$A$1:$I$89,3,0)*VLOOKUP('Données projet'!$B$10,Paramètres!$A$1:$I$89,5,0)</f>
        <v>126.07833333333336</v>
      </c>
      <c r="AK38" s="13">
        <f t="shared" si="35"/>
        <v>33.08856817390501</v>
      </c>
      <c r="AL38" s="20">
        <f t="shared" si="4"/>
        <v>277.21568679177352</v>
      </c>
      <c r="AM38" s="59">
        <f t="shared" si="5"/>
        <v>570.54902012510684</v>
      </c>
      <c r="AN38" s="59">
        <f ca="1">AVERAGE(OFFSET($AM$3,0,0,'Données projet'!$E$10+1,1))-AVERAGE(OFFSET($H$3,0,0,'Données projet'!$E$10+1,1))</f>
        <v>195.73441209602686</v>
      </c>
      <c r="AO38" s="59">
        <f t="shared" si="36"/>
        <v>219.19129224309006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5.6265947011860407</v>
      </c>
      <c r="AV38" s="21">
        <f>EXP(-LN(2)/25)*AV37+(1-EXP(-LN(2)/25))/(LN(2)/25)*Calculateur!AQ38*Calculateur!AS38*VLOOKUP('Données projet'!$B$10,Paramètres!$A$1:$I$89,3,0)*0.475*44/12</f>
        <v>10.734656490378301</v>
      </c>
      <c r="AW38" s="21">
        <f>EXP(-LN(2)/2)*AW37+(1-EXP(-LN(2)/2))/(LN(2)/2)*AQ38*AT38*VLOOKUP('Données projet'!$B$10,Paramètres!$A$1:$I$89,3,0)*0.475*44/12</f>
        <v>0.9626715014909254</v>
      </c>
      <c r="AX38" s="21">
        <f t="shared" si="6"/>
        <v>17.323922693055266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105.86159999999998</v>
      </c>
      <c r="BF38" s="13">
        <f t="shared" si="37"/>
        <v>28.353779818951288</v>
      </c>
      <c r="BG38" s="20">
        <f t="shared" si="7"/>
        <v>233.75845318467347</v>
      </c>
      <c r="BH38" s="59">
        <f t="shared" si="8"/>
        <v>527.09178651800676</v>
      </c>
      <c r="BI38" s="59">
        <f ca="1">AVERAGE(OFFSET($BH$3,0,0,'Données projet'!$E$11+1,1))-AVERAGE(OFFSET($H$3,0,0,'Données projet'!$E$11+1,1))</f>
        <v>269.19146943657933</v>
      </c>
      <c r="BJ38" s="59">
        <f t="shared" si="38"/>
        <v>185.94138814570965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2.7038762256240245</v>
      </c>
      <c r="BR38" s="21">
        <f>EXP(-LN(2)/2)*BR37+(1-EXP(-LN(2)/2))/(LN(2)/2)*BL38*BO38*VLOOKUP('Données projet'!$B$11,Paramètres!$A$1:$I$89,3,0)*0.475*44/12</f>
        <v>1.0941324597471873</v>
      </c>
      <c r="BS38" s="22">
        <f t="shared" si="9"/>
        <v>3.7980086853712116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125.93879999999999</v>
      </c>
      <c r="CA38" s="13">
        <f t="shared" si="39"/>
        <v>33.056208869615254</v>
      </c>
      <c r="CB38" s="20">
        <f t="shared" si="10"/>
        <v>276.91630711457987</v>
      </c>
      <c r="CC38" s="59">
        <f t="shared" si="11"/>
        <v>570.24964044791318</v>
      </c>
      <c r="CD38" s="59">
        <f ca="1">AVERAGE(OFFSET($CC$3,0,0,'Données projet'!$E$12+1,1))-AVERAGE(OFFSET($H$3,0,0,'Données projet'!$E$12+1,1))</f>
        <v>335.12015893291874</v>
      </c>
      <c r="CE38" s="59">
        <f t="shared" si="40"/>
        <v>224.76596283033166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3.2166803373803043</v>
      </c>
      <c r="CM38" s="21">
        <f>EXP(-LN(2)/2)*CM37+(1-EXP(-LN(2)/2))/(LN(2)/2)*CG38*CJ38*VLOOKUP('Données projet'!$B$12,Paramètres!$A$1:$I$89,3,0)*0.475*44/12</f>
        <v>1.3016403400440679</v>
      </c>
      <c r="CN38" s="22">
        <f t="shared" si="12"/>
        <v>4.5183206774243718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8.1999999999999993</v>
      </c>
      <c r="CT38" s="12">
        <f>IF('Données projet'!$A$140&gt;35,CT37+CS38-DB37,IF(A38&lt;'Données projet'!$A$140,$CQ$205^A38,IF(A38='Données projet'!$A$140,'Données projet'!$B$140,CT37+CS38-DB37)))</f>
        <v>116.99999999999999</v>
      </c>
      <c r="CU38" s="17">
        <f>CT38*VLOOKUP('Données projet'!$B$13,Paramètres!$A$1:$I$89,3,0)*VLOOKUP('Données projet'!$B$13,Paramètres!$A$1:$I$89,5,0)</f>
        <v>113.16239999999999</v>
      </c>
      <c r="CV38" s="13">
        <f t="shared" si="41"/>
        <v>30.07483714070494</v>
      </c>
      <c r="CW38" s="20">
        <f t="shared" si="13"/>
        <v>249.47152135339442</v>
      </c>
      <c r="CX38" s="59">
        <f t="shared" si="14"/>
        <v>542.80485468672771</v>
      </c>
      <c r="CY38" s="59">
        <f ca="1">AVERAGE(OFFSET($CX$3,0,0,'Données projet'!$E$13+1,1))-AVERAGE(OFFSET($H$3,0,0,'Données projet'!$E$13+1,1))</f>
        <v>293.19327646293601</v>
      </c>
      <c r="CZ38" s="59">
        <f t="shared" si="42"/>
        <v>200.0769581869605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2.8903504480808535</v>
      </c>
      <c r="DH38" s="21">
        <f>EXP(-LN(2)/2)*DH37+(1-EXP(-LN(2)/2))/(LN(2)/2)*DB38*DE38*VLOOKUP('Données projet'!$B$13,Paramètres!$A$1:$I$89,3,0)*0.475*44/12</f>
        <v>1.1695898707642345</v>
      </c>
      <c r="DI38" s="22">
        <f t="shared" si="15"/>
        <v>4.0599403188450882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13.7</v>
      </c>
      <c r="N39" s="13">
        <f>IF('Données projet'!$A$36&gt;35,N38+M39-V38,IF(A39&lt;'Données projet'!$A$36,$K$205^A39,IF(A39='Données projet'!$A$36,'Données projet'!$B$36,N38+M39-V38)))</f>
        <v>230.19999999999993</v>
      </c>
      <c r="O39" s="13">
        <f>N39*VLOOKUP('Données projet'!$B$9,Paramètres!$A$1:$I$89,3,0)*VLOOKUP('Données projet'!$B$9,Paramètres!$A$1:$I$89,5,0)</f>
        <v>137.65959999999995</v>
      </c>
      <c r="P39" s="13">
        <f t="shared" si="33"/>
        <v>35.760327802577585</v>
      </c>
      <c r="Q39" s="20">
        <f t="shared" si="53"/>
        <v>302.03970758948918</v>
      </c>
      <c r="R39" s="59">
        <f t="shared" si="0"/>
        <v>595.3730409228225</v>
      </c>
      <c r="S39" s="59">
        <f ca="1">AVERAGE(OFFSET($R$3,0,0,'Données projet'!$E$9+1,1))-AVERAGE(OFFSET($H$3,0,0,'Données projet'!$E$9+1,1))</f>
        <v>246.59447135626942</v>
      </c>
      <c r="T39" s="59">
        <f t="shared" si="34"/>
        <v>262.00382544285367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10.880053679839875</v>
      </c>
      <c r="AB39" s="21">
        <f>EXP(-LN(2)/2)*AB38+(1-EXP(-LN(2)/2))/(LN(2)/2)*V39*Y39*VLOOKUP('Données projet'!$B$9,Paramètres!$A$1:$I$89,3,0)*0.475*44/12</f>
        <v>2.9661699842273714</v>
      </c>
      <c r="AC39" s="22">
        <f t="shared" si="3"/>
        <v>13.846223664067246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223.66666666666671</v>
      </c>
      <c r="AJ39" s="13">
        <f>AI39*VLOOKUP('Données projet'!$B$10,Paramètres!$A$1:$I$89,3,0)*VLOOKUP('Données projet'!$B$10,Paramètres!$A$1:$I$89,5,0)</f>
        <v>133.75266666666673</v>
      </c>
      <c r="AK39" s="13">
        <f t="shared" si="35"/>
        <v>34.86204901776788</v>
      </c>
      <c r="AL39" s="20">
        <f t="shared" si="4"/>
        <v>293.67062981705698</v>
      </c>
      <c r="AM39" s="59">
        <f t="shared" si="5"/>
        <v>587.00396315039029</v>
      </c>
      <c r="AN39" s="59">
        <f ca="1">AVERAGE(OFFSET($AM$3,0,0,'Données projet'!$E$10+1,1))-AVERAGE(OFFSET($H$3,0,0,'Données projet'!$E$10+1,1))</f>
        <v>195.73441209602686</v>
      </c>
      <c r="AO39" s="59">
        <f t="shared" si="36"/>
        <v>219.19129224309006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5.5162606109796801</v>
      </c>
      <c r="AV39" s="21">
        <f>EXP(-LN(2)/25)*AV38+(1-EXP(-LN(2)/25))/(LN(2)/25)*Calculateur!AQ39*Calculateur!AS39*VLOOKUP('Données projet'!$B$10,Paramètres!$A$1:$I$89,3,0)*0.475*44/12</f>
        <v>10.441116744137856</v>
      </c>
      <c r="AW39" s="21">
        <f>EXP(-LN(2)/2)*AW38+(1-EXP(-LN(2)/2))/(LN(2)/2)*AQ39*AT39*VLOOKUP('Données projet'!$B$10,Paramètres!$A$1:$I$89,3,0)*0.475*44/12</f>
        <v>0.68071154675926904</v>
      </c>
      <c r="AX39" s="21">
        <f t="shared" si="6"/>
        <v>16.638088901876806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113.28095999999998</v>
      </c>
      <c r="BF39" s="13">
        <f t="shared" si="37"/>
        <v>30.102677097724456</v>
      </c>
      <c r="BG39" s="20">
        <f t="shared" si="7"/>
        <v>249.72650127853672</v>
      </c>
      <c r="BH39" s="59">
        <f t="shared" si="8"/>
        <v>543.05983461186997</v>
      </c>
      <c r="BI39" s="59">
        <f ca="1">AVERAGE(OFFSET($BH$3,0,0,'Données projet'!$E$11+1,1))-AVERAGE(OFFSET($H$3,0,0,'Données projet'!$E$11+1,1))</f>
        <v>269.19146943657933</v>
      </c>
      <c r="BJ39" s="59">
        <f t="shared" si="38"/>
        <v>185.94138814570965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2.6299385880436645</v>
      </c>
      <c r="BR39" s="21">
        <f>EXP(-LN(2)/2)*BR38+(1-EXP(-LN(2)/2))/(LN(2)/2)*BL39*BO39*VLOOKUP('Données projet'!$B$11,Paramètres!$A$1:$I$89,3,0)*0.475*44/12</f>
        <v>0.77366848180355341</v>
      </c>
      <c r="BS39" s="22">
        <f t="shared" si="9"/>
        <v>3.4036070698472178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134.76527999999999</v>
      </c>
      <c r="CA39" s="13">
        <f t="shared" si="39"/>
        <v>35.095157965918347</v>
      </c>
      <c r="CB39" s="20">
        <f t="shared" si="10"/>
        <v>295.84026279064108</v>
      </c>
      <c r="CC39" s="59">
        <f t="shared" si="11"/>
        <v>589.17359612397445</v>
      </c>
      <c r="CD39" s="59">
        <f ca="1">AVERAGE(OFFSET($CC$3,0,0,'Données projet'!$E$12+1,1))-AVERAGE(OFFSET($H$3,0,0,'Données projet'!$E$12+1,1))</f>
        <v>335.12015893291874</v>
      </c>
      <c r="CE39" s="59">
        <f t="shared" si="40"/>
        <v>224.76596283033166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3.1287200443967729</v>
      </c>
      <c r="CM39" s="21">
        <f>EXP(-LN(2)/2)*CM38+(1-EXP(-LN(2)/2))/(LN(2)/2)*CG39*CJ39*VLOOKUP('Données projet'!$B$12,Paramètres!$A$1:$I$89,3,0)*0.475*44/12</f>
        <v>0.92039871111112415</v>
      </c>
      <c r="CN39" s="22">
        <f t="shared" si="12"/>
        <v>4.0491187555078971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8.1999999999999993</v>
      </c>
      <c r="CT39" s="12">
        <f>IF('Données projet'!$A$140&gt;35,CT38+CS39-DB38,IF(A39&lt;'Données projet'!$A$140,$CQ$205^A39,IF(A39='Données projet'!$A$140,'Données projet'!$B$140,CT38+CS39-DB38)))</f>
        <v>125.19999999999999</v>
      </c>
      <c r="CU39" s="17">
        <f>CT39*VLOOKUP('Données projet'!$B$13,Paramètres!$A$1:$I$89,3,0)*VLOOKUP('Données projet'!$B$13,Paramètres!$A$1:$I$89,5,0)</f>
        <v>121.09344</v>
      </c>
      <c r="CV39" s="13">
        <f t="shared" si="41"/>
        <v>31.929891428732152</v>
      </c>
      <c r="CW39" s="20">
        <f t="shared" si="13"/>
        <v>266.51563557170846</v>
      </c>
      <c r="CX39" s="59">
        <f t="shared" si="14"/>
        <v>559.84896890504183</v>
      </c>
      <c r="CY39" s="59">
        <f ca="1">AVERAGE(OFFSET($CX$3,0,0,'Données projet'!$E$13+1,1))-AVERAGE(OFFSET($H$3,0,0,'Données projet'!$E$13+1,1))</f>
        <v>293.19327646293601</v>
      </c>
      <c r="CZ39" s="59">
        <f t="shared" si="42"/>
        <v>200.0769581869605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2.8113136630811586</v>
      </c>
      <c r="DH39" s="21">
        <f>EXP(-LN(2)/2)*DH38+(1-EXP(-LN(2)/2))/(LN(2)/2)*DB39*DE39*VLOOKUP('Données projet'!$B$13,Paramètres!$A$1:$I$89,3,0)*0.475*44/12</f>
        <v>0.82702492882448797</v>
      </c>
      <c r="DI39" s="22">
        <f t="shared" si="15"/>
        <v>3.6383385919056463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13.7</v>
      </c>
      <c r="N40" s="13">
        <f>IF('Données projet'!$A$36&gt;35,N39+M40-V39,IF(A40&lt;'Données projet'!$A$36,$K$205^A40,IF(A40='Données projet'!$A$36,'Données projet'!$B$36,N39+M40-V39)))</f>
        <v>243.89999999999992</v>
      </c>
      <c r="O40" s="13">
        <f>N40*VLOOKUP('Données projet'!$B$9,Paramètres!$A$1:$I$89,3,0)*VLOOKUP('Données projet'!$B$9,Paramètres!$A$1:$I$89,5,0)</f>
        <v>145.85219999999998</v>
      </c>
      <c r="P40" s="13">
        <f t="shared" si="33"/>
        <v>37.634450370795903</v>
      </c>
      <c r="Q40" s="20">
        <f t="shared" si="53"/>
        <v>319.57258272913612</v>
      </c>
      <c r="R40" s="59">
        <f t="shared" si="0"/>
        <v>612.90591606246949</v>
      </c>
      <c r="S40" s="59">
        <f ca="1">AVERAGE(OFFSET($R$3,0,0,'Données projet'!$E$9+1,1))-AVERAGE(OFFSET($H$3,0,0,'Données projet'!$E$9+1,1))</f>
        <v>246.59447135626942</v>
      </c>
      <c r="T40" s="59">
        <f t="shared" si="34"/>
        <v>262.00382544285367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10.582538039807497</v>
      </c>
      <c r="AB40" s="21">
        <f>EXP(-LN(2)/2)*AB39+(1-EXP(-LN(2)/2))/(LN(2)/2)*V40*Y40*VLOOKUP('Données projet'!$B$9,Paramètres!$A$1:$I$89,3,0)*0.475*44/12</f>
        <v>2.097398909999169</v>
      </c>
      <c r="AC40" s="22">
        <f t="shared" si="3"/>
        <v>12.679936949806667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12.833333333333334</v>
      </c>
      <c r="AI40" s="13">
        <f>IF('Données projet'!$A$62&gt;35,AI39+AH40-AQ39,IF(A40&lt;'Données projet'!$A$62,$AF$205^A40,IF(A40='Données projet'!$A$62,'Données projet'!$B$62,AI39+AH40-AQ39)))</f>
        <v>236.50000000000006</v>
      </c>
      <c r="AJ40" s="13">
        <f>AI40*VLOOKUP('Données projet'!$B$10,Paramètres!$A$1:$I$89,3,0)*VLOOKUP('Données projet'!$B$10,Paramètres!$A$1:$I$89,5,0)</f>
        <v>141.42700000000005</v>
      </c>
      <c r="AK40" s="13">
        <f t="shared" si="35"/>
        <v>36.623717959686019</v>
      </c>
      <c r="AL40" s="20">
        <f t="shared" si="4"/>
        <v>310.10500044645323</v>
      </c>
      <c r="AM40" s="59">
        <f t="shared" si="5"/>
        <v>603.43833377978649</v>
      </c>
      <c r="AN40" s="59">
        <f ca="1">AVERAGE(OFFSET($AM$3,0,0,'Données projet'!$E$10+1,1))-AVERAGE(OFFSET($H$3,0,0,'Données projet'!$E$10+1,1))</f>
        <v>195.73441209602686</v>
      </c>
      <c r="AO40" s="59">
        <f t="shared" si="36"/>
        <v>219.19129224309006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5.4080901049851162</v>
      </c>
      <c r="AV40" s="21">
        <f>EXP(-LN(2)/25)*AV39+(1-EXP(-LN(2)/25))/(LN(2)/25)*Calculateur!AQ40*Calculateur!AS40*VLOOKUP('Données projet'!$B$10,Paramètres!$A$1:$I$89,3,0)*0.475*44/12</f>
        <v>10.15560385769494</v>
      </c>
      <c r="AW40" s="21">
        <f>EXP(-LN(2)/2)*AW39+(1-EXP(-LN(2)/2))/(LN(2)/2)*AQ40*AT40*VLOOKUP('Données projet'!$B$10,Paramètres!$A$1:$I$89,3,0)*0.475*44/12</f>
        <v>0.48133575074546281</v>
      </c>
      <c r="AX40" s="21">
        <f t="shared" si="6"/>
        <v>16.045029713425517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120.70031999999998</v>
      </c>
      <c r="BF40" s="13">
        <f t="shared" si="37"/>
        <v>31.838282075030818</v>
      </c>
      <c r="BG40" s="20">
        <f t="shared" si="7"/>
        <v>265.67139861401193</v>
      </c>
      <c r="BH40" s="59">
        <f t="shared" si="8"/>
        <v>559.00473194734525</v>
      </c>
      <c r="BI40" s="59">
        <f ca="1">AVERAGE(OFFSET($BH$3,0,0,'Données projet'!$E$11+1,1))-AVERAGE(OFFSET($H$3,0,0,'Données projet'!$E$11+1,1))</f>
        <v>269.19146943657933</v>
      </c>
      <c r="BJ40" s="59">
        <f t="shared" si="38"/>
        <v>185.94138814570965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2.5580227790511509</v>
      </c>
      <c r="BR40" s="21">
        <f>EXP(-LN(2)/2)*BR39+(1-EXP(-LN(2)/2))/(LN(2)/2)*BL40*BO40*VLOOKUP('Données projet'!$B$11,Paramètres!$A$1:$I$89,3,0)*0.475*44/12</f>
        <v>0.54706622987359366</v>
      </c>
      <c r="BS40" s="22">
        <f t="shared" si="9"/>
        <v>3.1050890089247445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143.59175999999997</v>
      </c>
      <c r="CA40" s="13">
        <f t="shared" si="39"/>
        <v>37.118610253808193</v>
      </c>
      <c r="CB40" s="20">
        <f t="shared" si="10"/>
        <v>314.7372281920492</v>
      </c>
      <c r="CC40" s="59">
        <f t="shared" si="11"/>
        <v>608.07056152538257</v>
      </c>
      <c r="CD40" s="59">
        <f ca="1">AVERAGE(OFFSET($CC$3,0,0,'Données projet'!$E$12+1,1))-AVERAGE(OFFSET($H$3,0,0,'Données projet'!$E$12+1,1))</f>
        <v>335.12015893291874</v>
      </c>
      <c r="CE40" s="59">
        <f t="shared" si="40"/>
        <v>224.76596283033166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3.0431650302505067</v>
      </c>
      <c r="CM40" s="21">
        <f>EXP(-LN(2)/2)*CM39+(1-EXP(-LN(2)/2))/(LN(2)/2)*CG40*CJ40*VLOOKUP('Données projet'!$B$12,Paramètres!$A$1:$I$89,3,0)*0.475*44/12</f>
        <v>0.65082017002203407</v>
      </c>
      <c r="CN40" s="22">
        <f t="shared" si="12"/>
        <v>3.6939852002725408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8.1999999999999993</v>
      </c>
      <c r="CT40" s="12">
        <f>IF('Données projet'!$A$140&gt;35,CT39+CS40-DB39,IF(A40&lt;'Données projet'!$A$140,$CQ$205^A40,IF(A40='Données projet'!$A$140,'Données projet'!$B$140,CT39+CS40-DB39)))</f>
        <v>133.39999999999998</v>
      </c>
      <c r="CU40" s="17">
        <f>CT40*VLOOKUP('Données projet'!$B$13,Paramètres!$A$1:$I$89,3,0)*VLOOKUP('Données projet'!$B$13,Paramètres!$A$1:$I$89,5,0)</f>
        <v>129.02447999999998</v>
      </c>
      <c r="CV40" s="13">
        <f t="shared" si="41"/>
        <v>33.770846580616251</v>
      </c>
      <c r="CW40" s="20">
        <f t="shared" si="13"/>
        <v>283.53519379457327</v>
      </c>
      <c r="CX40" s="59">
        <f t="shared" si="14"/>
        <v>576.86852712790665</v>
      </c>
      <c r="CY40" s="59">
        <f ca="1">AVERAGE(OFFSET($CX$3,0,0,'Données projet'!$E$13+1,1))-AVERAGE(OFFSET($H$3,0,0,'Données projet'!$E$13+1,1))</f>
        <v>293.19327646293601</v>
      </c>
      <c r="CZ40" s="59">
        <f t="shared" si="42"/>
        <v>200.0769581869605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2.734438143123644</v>
      </c>
      <c r="DH40" s="21">
        <f>EXP(-LN(2)/2)*DH39+(1-EXP(-LN(2)/2))/(LN(2)/2)*DB40*DE40*VLOOKUP('Données projet'!$B$13,Paramètres!$A$1:$I$89,3,0)*0.475*44/12</f>
        <v>0.58479493538211724</v>
      </c>
      <c r="DI40" s="22">
        <f t="shared" si="15"/>
        <v>3.3192330785057611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13.7</v>
      </c>
      <c r="N41" s="13">
        <f>IF('Données projet'!$A$36&gt;35,N40+M41-V40,IF(A41&lt;'Données projet'!$A$36,$K$205^A41,IF(A41='Données projet'!$A$36,'Données projet'!$B$36,N40+M41-V40)))</f>
        <v>257.59999999999991</v>
      </c>
      <c r="O41" s="13">
        <f>N41*VLOOKUP('Données projet'!$B$9,Paramètres!$A$1:$I$89,3,0)*VLOOKUP('Données projet'!$B$9,Paramètres!$A$1:$I$89,5,0)</f>
        <v>154.04479999999995</v>
      </c>
      <c r="P41" s="13">
        <f t="shared" si="33"/>
        <v>39.496352638742984</v>
      </c>
      <c r="Q41" s="20">
        <f t="shared" si="53"/>
        <v>337.08417417914399</v>
      </c>
      <c r="R41" s="59">
        <f t="shared" si="0"/>
        <v>630.4175075124773</v>
      </c>
      <c r="S41" s="59">
        <f ca="1">AVERAGE(OFFSET($R$3,0,0,'Données projet'!$E$9+1,1))-AVERAGE(OFFSET($H$3,0,0,'Données projet'!$E$9+1,1))</f>
        <v>246.59447135626942</v>
      </c>
      <c r="T41" s="59">
        <f t="shared" si="34"/>
        <v>262.00382544285367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10.293157980597472</v>
      </c>
      <c r="AB41" s="21">
        <f>EXP(-LN(2)/2)*AB40+(1-EXP(-LN(2)/2))/(LN(2)/2)*V41*Y41*VLOOKUP('Données projet'!$B$9,Paramètres!$A$1:$I$89,3,0)*0.475*44/12</f>
        <v>1.4830849921136857</v>
      </c>
      <c r="AC41" s="22">
        <f t="shared" si="3"/>
        <v>11.776242972711158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12.833333333333334</v>
      </c>
      <c r="AI41" s="13">
        <f>IF('Données projet'!$A$62&gt;35,AI40+AH41-AQ40,IF(A41&lt;'Données projet'!$A$62,$AF$205^A41,IF(A41='Données projet'!$A$62,'Données projet'!$B$62,AI40+AH41-AQ40)))</f>
        <v>249.3333333333334</v>
      </c>
      <c r="AJ41" s="13">
        <f>AI41*VLOOKUP('Données projet'!$B$10,Paramètres!$A$1:$I$89,3,0)*VLOOKUP('Données projet'!$B$10,Paramètres!$A$1:$I$89,5,0)</f>
        <v>149.1013333333334</v>
      </c>
      <c r="AK41" s="13">
        <f t="shared" si="35"/>
        <v>38.37428902704788</v>
      </c>
      <c r="AL41" s="20">
        <f t="shared" si="4"/>
        <v>326.52004227766406</v>
      </c>
      <c r="AM41" s="59">
        <f t="shared" si="5"/>
        <v>619.85337561099732</v>
      </c>
      <c r="AN41" s="59">
        <f ca="1">AVERAGE(OFFSET($AM$3,0,0,'Données projet'!$E$10+1,1))-AVERAGE(OFFSET($H$3,0,0,'Données projet'!$E$10+1,1))</f>
        <v>195.73441209602686</v>
      </c>
      <c r="AO41" s="59">
        <f t="shared" si="36"/>
        <v>219.19129224309006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5.3020407566356118</v>
      </c>
      <c r="AV41" s="21">
        <f>EXP(-LN(2)/25)*AV40+(1-EXP(-LN(2)/25))/(LN(2)/25)*Calculateur!AQ41*Calculateur!AS41*VLOOKUP('Données projet'!$B$10,Paramètres!$A$1:$I$89,3,0)*0.475*44/12</f>
        <v>9.8778983361462753</v>
      </c>
      <c r="AW41" s="21">
        <f>EXP(-LN(2)/2)*AW40+(1-EXP(-LN(2)/2))/(LN(2)/2)*AQ41*AT41*VLOOKUP('Données projet'!$B$10,Paramètres!$A$1:$I$89,3,0)*0.475*44/12</f>
        <v>0.34035577337963457</v>
      </c>
      <c r="AX41" s="21">
        <f t="shared" si="6"/>
        <v>15.520294866161521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128.11967999999996</v>
      </c>
      <c r="BF41" s="13">
        <f t="shared" si="37"/>
        <v>33.561504850994297</v>
      </c>
      <c r="BG41" s="20">
        <f t="shared" si="7"/>
        <v>281.5947302821483</v>
      </c>
      <c r="BH41" s="59">
        <f t="shared" si="8"/>
        <v>574.92806361548162</v>
      </c>
      <c r="BI41" s="59">
        <f ca="1">AVERAGE(OFFSET($BH$3,0,0,'Données projet'!$E$11+1,1))-AVERAGE(OFFSET($H$3,0,0,'Données projet'!$E$11+1,1))</f>
        <v>269.19146943657933</v>
      </c>
      <c r="BJ41" s="59">
        <f t="shared" si="38"/>
        <v>185.94138814570965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2.4880735116374257</v>
      </c>
      <c r="BR41" s="21">
        <f>EXP(-LN(2)/2)*BR40+(1-EXP(-LN(2)/2))/(LN(2)/2)*BL41*BO41*VLOOKUP('Données projet'!$B$11,Paramètres!$A$1:$I$89,3,0)*0.475*44/12</f>
        <v>0.3868342409017767</v>
      </c>
      <c r="BS41" s="22">
        <f t="shared" si="9"/>
        <v>2.8749077525392024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152.41823999999994</v>
      </c>
      <c r="CA41" s="13">
        <f t="shared" si="39"/>
        <v>39.127626772059259</v>
      </c>
      <c r="CB41" s="20">
        <f t="shared" si="10"/>
        <v>333.60905129466971</v>
      </c>
      <c r="CC41" s="59">
        <f t="shared" si="11"/>
        <v>626.94238462800308</v>
      </c>
      <c r="CD41" s="59">
        <f ca="1">AVERAGE(OFFSET($CC$3,0,0,'Données projet'!$E$12+1,1))-AVERAGE(OFFSET($H$3,0,0,'Données projet'!$E$12+1,1))</f>
        <v>335.12015893291874</v>
      </c>
      <c r="CE41" s="59">
        <f t="shared" si="40"/>
        <v>224.76596283033166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2.9599495224652128</v>
      </c>
      <c r="CM41" s="21">
        <f>EXP(-LN(2)/2)*CM40+(1-EXP(-LN(2)/2))/(LN(2)/2)*CG41*CJ41*VLOOKUP('Données projet'!$B$12,Paramètres!$A$1:$I$89,3,0)*0.475*44/12</f>
        <v>0.46019935555556213</v>
      </c>
      <c r="CN41" s="22">
        <f t="shared" si="12"/>
        <v>3.4201488780207749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8.1999999999999993</v>
      </c>
      <c r="CT41" s="12">
        <f>IF('Données projet'!$A$140&gt;35,CT40+CS41-DB40,IF(A41&lt;'Données projet'!$A$140,$CQ$205^A41,IF(A41='Données projet'!$A$140,'Données projet'!$B$140,CT40+CS41-DB40)))</f>
        <v>141.59999999999997</v>
      </c>
      <c r="CU41" s="17">
        <f>CT41*VLOOKUP('Données projet'!$B$13,Paramètres!$A$1:$I$89,3,0)*VLOOKUP('Données projet'!$B$13,Paramètres!$A$1:$I$89,5,0)</f>
        <v>136.95551999999995</v>
      </c>
      <c r="CV41" s="13">
        <f t="shared" si="41"/>
        <v>35.598667939009403</v>
      </c>
      <c r="CW41" s="20">
        <f t="shared" si="13"/>
        <v>300.53187732710791</v>
      </c>
      <c r="CX41" s="59">
        <f t="shared" si="14"/>
        <v>593.86521066044122</v>
      </c>
      <c r="CY41" s="59">
        <f ca="1">AVERAGE(OFFSET($CX$3,0,0,'Données projet'!$E$13+1,1))-AVERAGE(OFFSET($H$3,0,0,'Données projet'!$E$13+1,1))</f>
        <v>293.19327646293601</v>
      </c>
      <c r="CZ41" s="59">
        <f t="shared" si="42"/>
        <v>200.0769581869605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2.6596647883020754</v>
      </c>
      <c r="DH41" s="21">
        <f>EXP(-LN(2)/2)*DH40+(1-EXP(-LN(2)/2))/(LN(2)/2)*DB41*DE41*VLOOKUP('Données projet'!$B$13,Paramètres!$A$1:$I$89,3,0)*0.475*44/12</f>
        <v>0.41351246441224399</v>
      </c>
      <c r="DI41" s="22">
        <f t="shared" si="15"/>
        <v>3.0731772527143195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13.7</v>
      </c>
      <c r="N42" s="13">
        <f>IF('Données projet'!$A$36&gt;35,N41+M42-V41,IF(A42&lt;'Données projet'!$A$36,$K$205^A42,IF(A42='Données projet'!$A$36,'Données projet'!$B$36,N41+M42-V41)))</f>
        <v>271.2999999999999</v>
      </c>
      <c r="O42" s="13">
        <f>N42*VLOOKUP('Données projet'!$B$9,Paramètres!$A$1:$I$89,3,0)*VLOOKUP('Données projet'!$B$9,Paramètres!$A$1:$I$89,5,0)</f>
        <v>162.23739999999995</v>
      </c>
      <c r="P42" s="13">
        <f t="shared" si="33"/>
        <v>41.346758630600348</v>
      </c>
      <c r="Q42" s="20">
        <f t="shared" si="53"/>
        <v>354.57574294829556</v>
      </c>
      <c r="R42" s="59">
        <f t="shared" si="0"/>
        <v>647.90907628162881</v>
      </c>
      <c r="S42" s="59">
        <f ca="1">AVERAGE(OFFSET($R$3,0,0,'Données projet'!$E$9+1,1))-AVERAGE(OFFSET($H$3,0,0,'Données projet'!$E$9+1,1))</f>
        <v>246.59447135626942</v>
      </c>
      <c r="T42" s="59">
        <f t="shared" si="34"/>
        <v>262.00382544285367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10.011691034324382</v>
      </c>
      <c r="AB42" s="21">
        <f>EXP(-LN(2)/2)*AB41+(1-EXP(-LN(2)/2))/(LN(2)/2)*V42*Y42*VLOOKUP('Données projet'!$B$9,Paramètres!$A$1:$I$89,3,0)*0.475*44/12</f>
        <v>1.0486994549995845</v>
      </c>
      <c r="AC42" s="22">
        <f t="shared" si="3"/>
        <v>11.060390489323966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12.833333333333334</v>
      </c>
      <c r="AI42" s="13">
        <f>IF('Données projet'!$A$62&gt;35,AI41+AH42-AQ41,IF(A42&lt;'Données projet'!$A$62,$AF$205^A42,IF(A42='Données projet'!$A$62,'Données projet'!$B$62,AI41+AH42-AQ41)))</f>
        <v>262.16666666666674</v>
      </c>
      <c r="AJ42" s="13">
        <f>AI42*VLOOKUP('Données projet'!$B$10,Paramètres!$A$1:$I$89,3,0)*VLOOKUP('Données projet'!$B$10,Paramètres!$A$1:$I$89,5,0)</f>
        <v>156.77566666666672</v>
      </c>
      <c r="AK42" s="13">
        <f t="shared" si="35"/>
        <v>40.114398592763365</v>
      </c>
      <c r="AL42" s="20">
        <f t="shared" si="4"/>
        <v>342.9168636601741</v>
      </c>
      <c r="AM42" s="59">
        <f t="shared" si="5"/>
        <v>636.25019699350742</v>
      </c>
      <c r="AN42" s="59">
        <f ca="1">AVERAGE(OFFSET($AM$3,0,0,'Données projet'!$E$10+1,1))-AVERAGE(OFFSET($H$3,0,0,'Données projet'!$E$10+1,1))</f>
        <v>195.73441209602686</v>
      </c>
      <c r="AO42" s="59">
        <f t="shared" si="36"/>
        <v>219.19129224309006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5.1980709713235251</v>
      </c>
      <c r="AV42" s="21">
        <f>EXP(-LN(2)/25)*AV41+(1-EXP(-LN(2)/25))/(LN(2)/25)*Calculateur!AQ42*Calculateur!AS42*VLOOKUP('Données projet'!$B$10,Paramètres!$A$1:$I$89,3,0)*0.475*44/12</f>
        <v>9.6077866866882573</v>
      </c>
      <c r="AW42" s="21">
        <f>EXP(-LN(2)/2)*AW41+(1-EXP(-LN(2)/2))/(LN(2)/2)*AQ42*AT42*VLOOKUP('Données projet'!$B$10,Paramètres!$A$1:$I$89,3,0)*0.475*44/12</f>
        <v>0.24066787537273143</v>
      </c>
      <c r="AX42" s="21">
        <f t="shared" si="6"/>
        <v>15.046525533384512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135.53903999999997</v>
      </c>
      <c r="BF42" s="13">
        <f t="shared" si="37"/>
        <v>35.273144164630104</v>
      </c>
      <c r="BG42" s="20">
        <f t="shared" si="7"/>
        <v>297.49788742006405</v>
      </c>
      <c r="BH42" s="59">
        <f t="shared" si="8"/>
        <v>590.83122075339736</v>
      </c>
      <c r="BI42" s="59">
        <f ca="1">AVERAGE(OFFSET($BH$3,0,0,'Données projet'!$E$11+1,1))-AVERAGE(OFFSET($H$3,0,0,'Données projet'!$E$11+1,1))</f>
        <v>269.19146943657933</v>
      </c>
      <c r="BJ42" s="59">
        <f t="shared" si="38"/>
        <v>185.94138814570965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2.420037010619601</v>
      </c>
      <c r="BR42" s="21">
        <f>EXP(-LN(2)/2)*BR41+(1-EXP(-LN(2)/2))/(LN(2)/2)*BL42*BO42*VLOOKUP('Données projet'!$B$11,Paramètres!$A$1:$I$89,3,0)*0.475*44/12</f>
        <v>0.27353311493679683</v>
      </c>
      <c r="BS42" s="22">
        <f t="shared" si="9"/>
        <v>2.693570125556398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161.24471999999994</v>
      </c>
      <c r="CA42" s="13">
        <f t="shared" si="39"/>
        <v>41.123138729275411</v>
      </c>
      <c r="CB42" s="20">
        <f t="shared" si="10"/>
        <v>352.45735395348788</v>
      </c>
      <c r="CC42" s="59">
        <f t="shared" si="11"/>
        <v>645.79068728682114</v>
      </c>
      <c r="CD42" s="59">
        <f ca="1">AVERAGE(OFFSET($CC$3,0,0,'Données projet'!$E$12+1,1))-AVERAGE(OFFSET($H$3,0,0,'Données projet'!$E$12+1,1))</f>
        <v>335.12015893291874</v>
      </c>
      <c r="CE42" s="59">
        <f t="shared" si="40"/>
        <v>224.76596283033166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2.8790095471164214</v>
      </c>
      <c r="CM42" s="21">
        <f>EXP(-LN(2)/2)*CM41+(1-EXP(-LN(2)/2))/(LN(2)/2)*CG42*CJ42*VLOOKUP('Données projet'!$B$12,Paramètres!$A$1:$I$89,3,0)*0.475*44/12</f>
        <v>0.32541008501101709</v>
      </c>
      <c r="CN42" s="22">
        <f t="shared" si="12"/>
        <v>3.2044196321274385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8.1999999999999993</v>
      </c>
      <c r="CT42" s="12">
        <f>IF('Données projet'!$A$140&gt;35,CT41+CS42-DB41,IF(A42&lt;'Données projet'!$A$140,$CQ$205^A42,IF(A42='Données projet'!$A$140,'Données projet'!$B$140,CT41+CS42-DB41)))</f>
        <v>149.79999999999995</v>
      </c>
      <c r="CU42" s="17">
        <f>CT42*VLOOKUP('Données projet'!$B$13,Paramètres!$A$1:$I$89,3,0)*VLOOKUP('Données projet'!$B$13,Paramètres!$A$1:$I$89,5,0)</f>
        <v>144.88655999999997</v>
      </c>
      <c r="CV42" s="13">
        <f t="shared" si="41"/>
        <v>37.414202725902875</v>
      </c>
      <c r="CW42" s="20">
        <f t="shared" si="13"/>
        <v>317.50716174761413</v>
      </c>
      <c r="CX42" s="59">
        <f t="shared" si="14"/>
        <v>610.84049508094745</v>
      </c>
      <c r="CY42" s="59">
        <f ca="1">AVERAGE(OFFSET($CX$3,0,0,'Données projet'!$E$13+1,1))-AVERAGE(OFFSET($H$3,0,0,'Données projet'!$E$13+1,1))</f>
        <v>293.19327646293601</v>
      </c>
      <c r="CZ42" s="59">
        <f t="shared" si="42"/>
        <v>200.0769581869605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2.5869361148002628</v>
      </c>
      <c r="DH42" s="21">
        <f>EXP(-LN(2)/2)*DH41+(1-EXP(-LN(2)/2))/(LN(2)/2)*DB42*DE42*VLOOKUP('Données projet'!$B$13,Paramètres!$A$1:$I$89,3,0)*0.475*44/12</f>
        <v>0.29239746769105862</v>
      </c>
      <c r="DI42" s="22">
        <f t="shared" si="15"/>
        <v>2.8793335824913213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285</v>
      </c>
      <c r="L43" s="12">
        <f>VLOOKUP(A43,'Données projet'!$A$35:$I$55,9,0)</f>
        <v>13.7</v>
      </c>
      <c r="M43" s="12">
        <f t="array" ref="M43">INDEX(L:L,MIN(IF(ISNUMBER(L43:L239),ROW(L43:L239),"")))</f>
        <v>13.7</v>
      </c>
      <c r="N43" s="13">
        <f>IF('Données projet'!$A$36&gt;35,N42+M43-V42,IF(A43&lt;'Données projet'!$A$36,$K$205^A43,IF(A43='Données projet'!$A$36,'Données projet'!$B$36,N42+M43-V42)))</f>
        <v>284.99999999999989</v>
      </c>
      <c r="O43" s="13">
        <f>N43*VLOOKUP('Données projet'!$B$9,Paramètres!$A$1:$I$89,3,0)*VLOOKUP('Données projet'!$B$9,Paramètres!$A$1:$I$89,5,0)</f>
        <v>170.42999999999995</v>
      </c>
      <c r="P43" s="13">
        <f t="shared" si="33"/>
        <v>43.186315117079396</v>
      </c>
      <c r="Q43" s="20">
        <f t="shared" si="53"/>
        <v>372.04841549557983</v>
      </c>
      <c r="R43" s="59">
        <f t="shared" si="0"/>
        <v>665.38174882891315</v>
      </c>
      <c r="S43" s="59">
        <f ca="1">AVERAGE(OFFSET($R$3,0,0,'Données projet'!$E$9+1,1))-AVERAGE(OFFSET($H$3,0,0,'Données projet'!$E$9+1,1))</f>
        <v>246.59447135626942</v>
      </c>
      <c r="T43" s="59">
        <f t="shared" si="34"/>
        <v>262.00382544285367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9.737920816498832</v>
      </c>
      <c r="AB43" s="21">
        <f>EXP(-LN(2)/2)*AB42+(1-EXP(-LN(2)/2))/(LN(2)/2)*V43*Y43*VLOOKUP('Données projet'!$B$9,Paramètres!$A$1:$I$89,3,0)*0.475*44/12</f>
        <v>0.74154249605684286</v>
      </c>
      <c r="AC43" s="22">
        <f t="shared" si="3"/>
        <v>10.479463312555675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275</v>
      </c>
      <c r="AG43" s="12">
        <f>VLOOKUP(A43,'Données projet'!$A$61:$I$81,9,0)</f>
        <v>12.833333333333334</v>
      </c>
      <c r="AH43" s="12">
        <f t="array" ref="AH43">INDEX(AG:AG,MIN(IF(ISNUMBER(AG43:AG239),ROW(AG43:AG239),"")))</f>
        <v>12.833333333333334</v>
      </c>
      <c r="AI43" s="13">
        <f>IF('Données projet'!$A$62&gt;35,AI42+AH43-AQ42,IF(A43&lt;'Données projet'!$A$62,$AF$205^A43,IF(A43='Données projet'!$A$62,'Données projet'!$B$62,AI42+AH43-AQ42)))</f>
        <v>275.00000000000006</v>
      </c>
      <c r="AJ43" s="13">
        <f>AI43*VLOOKUP('Données projet'!$B$10,Paramètres!$A$1:$I$89,3,0)*VLOOKUP('Données projet'!$B$10,Paramètres!$A$1:$I$89,5,0)</f>
        <v>164.45000000000005</v>
      </c>
      <c r="AK43" s="13">
        <f t="shared" si="35"/>
        <v>41.844617207687371</v>
      </c>
      <c r="AL43" s="20">
        <f t="shared" si="4"/>
        <v>359.29645830338887</v>
      </c>
      <c r="AM43" s="59">
        <f t="shared" si="5"/>
        <v>652.62979163672219</v>
      </c>
      <c r="AN43" s="59">
        <f ca="1">AVERAGE(OFFSET($AM$3,0,0,'Données projet'!$E$10+1,1))-AVERAGE(OFFSET($H$3,0,0,'Données projet'!$E$10+1,1))</f>
        <v>195.73441209602686</v>
      </c>
      <c r="AO43" s="59">
        <f t="shared" si="36"/>
        <v>219.19129224309006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5.0961399700861012</v>
      </c>
      <c r="AV43" s="21">
        <f>EXP(-LN(2)/25)*AV42+(1-EXP(-LN(2)/25))/(LN(2)/25)*Calculateur!AQ43*Calculateur!AS43*VLOOKUP('Données projet'!$B$10,Paramètres!$A$1:$I$89,3,0)*0.475*44/12</f>
        <v>9.3450612544892238</v>
      </c>
      <c r="AW43" s="21">
        <f>EXP(-LN(2)/2)*AW42+(1-EXP(-LN(2)/2))/(LN(2)/2)*AQ43*AT43*VLOOKUP('Données projet'!$B$10,Paramètres!$A$1:$I$89,3,0)*0.475*44/12</f>
        <v>0.17017788668981731</v>
      </c>
      <c r="AX43" s="21">
        <f t="shared" si="6"/>
        <v>14.611379111265142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142.95839999999993</v>
      </c>
      <c r="BF43" s="13">
        <f t="shared" si="37"/>
        <v>36.973906370811264</v>
      </c>
      <c r="BG43" s="20">
        <f t="shared" si="7"/>
        <v>313.38210026249618</v>
      </c>
      <c r="BH43" s="59">
        <f t="shared" si="8"/>
        <v>606.7154335958295</v>
      </c>
      <c r="BI43" s="59">
        <f ca="1">AVERAGE(OFFSET($BH$3,0,0,'Données projet'!$E$11+1,1))-AVERAGE(OFFSET($H$3,0,0,'Données projet'!$E$11+1,1))</f>
        <v>269.19146943657933</v>
      </c>
      <c r="BJ43" s="59">
        <f t="shared" si="38"/>
        <v>185.94138814570965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2.3538609712999925</v>
      </c>
      <c r="BR43" s="21">
        <f>EXP(-LN(2)/2)*BR42+(1-EXP(-LN(2)/2))/(LN(2)/2)*BL43*BO43*VLOOKUP('Données projet'!$B$11,Paramètres!$A$1:$I$89,3,0)*0.475*44/12</f>
        <v>0.19341712045088835</v>
      </c>
      <c r="BS43" s="22">
        <f t="shared" si="9"/>
        <v>2.547278091750881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170.07119999999992</v>
      </c>
      <c r="CA43" s="13">
        <f t="shared" si="39"/>
        <v>43.105969628155904</v>
      </c>
      <c r="CB43" s="20">
        <f t="shared" si="10"/>
        <v>371.28357043570469</v>
      </c>
      <c r="CC43" s="59">
        <f t="shared" si="11"/>
        <v>664.616903769038</v>
      </c>
      <c r="CD43" s="59">
        <f ca="1">AVERAGE(OFFSET($CC$3,0,0,'Données projet'!$E$12+1,1))-AVERAGE(OFFSET($H$3,0,0,'Données projet'!$E$12+1,1))</f>
        <v>335.12015893291874</v>
      </c>
      <c r="CE43" s="59">
        <f t="shared" si="40"/>
        <v>224.76596283033166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2.8002828796499908</v>
      </c>
      <c r="CM43" s="21">
        <f>EXP(-LN(2)/2)*CM42+(1-EXP(-LN(2)/2))/(LN(2)/2)*CG43*CJ43*VLOOKUP('Données projet'!$B$12,Paramètres!$A$1:$I$89,3,0)*0.475*44/12</f>
        <v>0.23009967777778112</v>
      </c>
      <c r="CN43" s="22">
        <f t="shared" si="12"/>
        <v>3.0303825574277719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158</v>
      </c>
      <c r="CR43" s="12">
        <f>VLOOKUP(A43,'Données projet'!$A$139:$I$159,9,0)</f>
        <v>8.1999999999999993</v>
      </c>
      <c r="CS43" s="12">
        <f t="array" ref="CS43">INDEX(CR:CR,MIN(IF(ISNUMBER(CR43:CR239),ROW(CR43:CR239),"")))</f>
        <v>8.1999999999999993</v>
      </c>
      <c r="CT43" s="12">
        <f>IF('Données projet'!$A$140&gt;35,CT42+CS43-DB42,IF(A43&lt;'Données projet'!$A$140,$CQ$205^A43,IF(A43='Données projet'!$A$140,'Données projet'!$B$140,CT42+CS43-DB42)))</f>
        <v>157.99999999999994</v>
      </c>
      <c r="CU43" s="17">
        <f>CT43*VLOOKUP('Données projet'!$B$13,Paramètres!$A$1:$I$89,3,0)*VLOOKUP('Données projet'!$B$13,Paramètres!$A$1:$I$89,5,0)</f>
        <v>152.81759999999994</v>
      </c>
      <c r="CV43" s="13">
        <f t="shared" si="41"/>
        <v>39.218200171484192</v>
      </c>
      <c r="CW43" s="20">
        <f t="shared" si="13"/>
        <v>334.46235196533485</v>
      </c>
      <c r="CX43" s="59">
        <f t="shared" si="14"/>
        <v>627.7956852986681</v>
      </c>
      <c r="CY43" s="59">
        <f ca="1">AVERAGE(OFFSET($CX$3,0,0,'Données projet'!$E$13+1,1))-AVERAGE(OFFSET($H$3,0,0,'Données projet'!$E$13+1,1))</f>
        <v>293.19327646293601</v>
      </c>
      <c r="CZ43" s="59">
        <f t="shared" si="42"/>
        <v>200.0769581869605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2.516196210699992</v>
      </c>
      <c r="DH43" s="21">
        <f>EXP(-LN(2)/2)*DH42+(1-EXP(-LN(2)/2))/(LN(2)/2)*DB43*DE43*VLOOKUP('Données projet'!$B$13,Paramètres!$A$1:$I$89,3,0)*0.475*44/12</f>
        <v>0.20675623220612199</v>
      </c>
      <c r="DI43" s="22">
        <f t="shared" si="15"/>
        <v>2.7229524429061138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12.8</v>
      </c>
      <c r="N44" s="13">
        <f>IF('Données projet'!$A$36&gt;35,N43+M44-V43,IF(A44&lt;'Données projet'!$A$36,$K$205^A44,IF(A44='Données projet'!$A$36,'Données projet'!$B$36,N43+M44-V43)))</f>
        <v>227.7999999999999</v>
      </c>
      <c r="O44" s="13">
        <f>N44*VLOOKUP('Données projet'!$B$9,Paramètres!$A$1:$I$89,3,0)*VLOOKUP('Données projet'!$B$9,Paramètres!$A$1:$I$89,5,0)</f>
        <v>136.22439999999995</v>
      </c>
      <c r="P44" s="13">
        <f t="shared" si="33"/>
        <v>35.430697151629076</v>
      </c>
      <c r="Q44" s="20">
        <f t="shared" si="53"/>
        <v>298.96596087242057</v>
      </c>
      <c r="R44" s="59">
        <f t="shared" si="0"/>
        <v>592.29929420575388</v>
      </c>
      <c r="S44" s="59">
        <f ca="1">AVERAGE(OFFSET($R$3,0,0,'Données projet'!$E$9+1,1))-AVERAGE(OFFSET($H$3,0,0,'Données projet'!$E$9+1,1))</f>
        <v>246.59447135626942</v>
      </c>
      <c r="T44" s="59">
        <f t="shared" si="34"/>
        <v>262.00382544285367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9.4716368596766713</v>
      </c>
      <c r="AB44" s="21">
        <f>EXP(-LN(2)/2)*AB43+(1-EXP(-LN(2)/2))/(LN(2)/2)*V44*Y44*VLOOKUP('Données projet'!$B$9,Paramètres!$A$1:$I$89,3,0)*0.475*44/12</f>
        <v>0.52434972749979225</v>
      </c>
      <c r="AC44" s="22">
        <f t="shared" si="3"/>
        <v>9.9959865871764642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9.8333333333333339</v>
      </c>
      <c r="AI44" s="13">
        <f>IF('Données projet'!$A$62&gt;35,AI43+AH44-AQ43,IF(A44&lt;'Données projet'!$A$62,$AF$205^A44,IF(A44='Données projet'!$A$62,'Données projet'!$B$62,AI43+AH44-AQ43)))</f>
        <v>243.83333333333337</v>
      </c>
      <c r="AJ44" s="13">
        <f>AI44*VLOOKUP('Données projet'!$B$10,Paramètres!$A$1:$I$89,3,0)*VLOOKUP('Données projet'!$B$10,Paramètres!$A$1:$I$89,5,0)</f>
        <v>145.81233333333336</v>
      </c>
      <c r="AK44" s="13">
        <f t="shared" si="35"/>
        <v>37.625360763194948</v>
      </c>
      <c r="AL44" s="20">
        <f t="shared" si="4"/>
        <v>319.4873172181201</v>
      </c>
      <c r="AM44" s="59">
        <f t="shared" si="5"/>
        <v>612.82065055145335</v>
      </c>
      <c r="AN44" s="59">
        <f ca="1">AVERAGE(OFFSET($AM$3,0,0,'Données projet'!$E$10+1,1))-AVERAGE(OFFSET($H$3,0,0,'Données projet'!$E$10+1,1))</f>
        <v>195.73441209602686</v>
      </c>
      <c r="AO44" s="59">
        <f t="shared" si="36"/>
        <v>219.19129224309006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4.9962077736111716</v>
      </c>
      <c r="AV44" s="21">
        <f>EXP(-LN(2)/25)*AV43+(1-EXP(-LN(2)/25))/(LN(2)/25)*Calculateur!AQ44*Calculateur!AS44*VLOOKUP('Données projet'!$B$10,Paramètres!$A$1:$I$89,3,0)*0.475*44/12</f>
        <v>9.0895200630498039</v>
      </c>
      <c r="AW44" s="21">
        <f>EXP(-LN(2)/2)*AW43+(1-EXP(-LN(2)/2))/(LN(2)/2)*AQ44*AT44*VLOOKUP('Données projet'!$B$10,Paramètres!$A$1:$I$89,3,0)*0.475*44/12</f>
        <v>0.12033393768636574</v>
      </c>
      <c r="AX44" s="21">
        <f t="shared" si="6"/>
        <v>14.206061774347342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112.46663999999996</v>
      </c>
      <c r="BF44" s="13">
        <f t="shared" si="37"/>
        <v>29.911391992758421</v>
      </c>
      <c r="BG44" s="20">
        <f t="shared" si="7"/>
        <v>247.97507238738748</v>
      </c>
      <c r="BH44" s="59">
        <f t="shared" si="8"/>
        <v>541.30840572072077</v>
      </c>
      <c r="BI44" s="59">
        <f ca="1">AVERAGE(OFFSET($BH$3,0,0,'Données projet'!$E$11+1,1))-AVERAGE(OFFSET($H$3,0,0,'Données projet'!$E$11+1,1))</f>
        <v>269.19146943657933</v>
      </c>
      <c r="BJ44" s="59">
        <f t="shared" si="38"/>
        <v>185.94138814570965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2.2894945192556255</v>
      </c>
      <c r="BR44" s="21">
        <f>EXP(-LN(2)/2)*BR43+(1-EXP(-LN(2)/2))/(LN(2)/2)*BL44*BO44*VLOOKUP('Données projet'!$B$11,Paramètres!$A$1:$I$89,3,0)*0.475*44/12</f>
        <v>0.13676655746839841</v>
      </c>
      <c r="BS44" s="22">
        <f t="shared" si="9"/>
        <v>2.4262610767240238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133.79651999999996</v>
      </c>
      <c r="CA44" s="13">
        <f t="shared" si="39"/>
        <v>34.872148532122218</v>
      </c>
      <c r="CB44" s="20">
        <f t="shared" si="10"/>
        <v>293.76459769344609</v>
      </c>
      <c r="CC44" s="59">
        <f t="shared" si="11"/>
        <v>587.09793102677941</v>
      </c>
      <c r="CD44" s="59">
        <f ca="1">AVERAGE(OFFSET($CC$3,0,0,'Données projet'!$E$12+1,1))-AVERAGE(OFFSET($H$3,0,0,'Données projet'!$E$12+1,1))</f>
        <v>335.12015893291874</v>
      </c>
      <c r="CE44" s="59">
        <f t="shared" si="40"/>
        <v>224.76596283033166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2.7237089970454851</v>
      </c>
      <c r="CM44" s="21">
        <f>EXP(-LN(2)/2)*CM43+(1-EXP(-LN(2)/2))/(LN(2)/2)*CG44*CJ44*VLOOKUP('Données projet'!$B$12,Paramètres!$A$1:$I$89,3,0)*0.475*44/12</f>
        <v>0.16270504250550857</v>
      </c>
      <c r="CN44" s="22">
        <f t="shared" si="12"/>
        <v>2.8864140395509938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8.3000000000000007</v>
      </c>
      <c r="CT44" s="12">
        <f>IF('Données projet'!$A$140&gt;35,CT43+CS44-DB43,IF(A44&lt;'Données projet'!$A$140,$CQ$205^A44,IF(A44='Données projet'!$A$140,'Données projet'!$B$140,CT43+CS44-DB43)))</f>
        <v>124.29999999999995</v>
      </c>
      <c r="CU44" s="17">
        <f>CT44*VLOOKUP('Données projet'!$B$13,Paramètres!$A$1:$I$89,3,0)*VLOOKUP('Données projet'!$B$13,Paramètres!$A$1:$I$89,5,0)</f>
        <v>120.22295999999996</v>
      </c>
      <c r="CV44" s="13">
        <f t="shared" si="41"/>
        <v>31.726995433347049</v>
      </c>
      <c r="CW44" s="20">
        <f t="shared" si="13"/>
        <v>264.64617237974602</v>
      </c>
      <c r="CX44" s="59">
        <f t="shared" si="14"/>
        <v>557.97950571307933</v>
      </c>
      <c r="CY44" s="59">
        <f ca="1">AVERAGE(OFFSET($CX$3,0,0,'Données projet'!$E$13+1,1))-AVERAGE(OFFSET($H$3,0,0,'Données projet'!$E$13+1,1))</f>
        <v>293.19327646293601</v>
      </c>
      <c r="CZ44" s="59">
        <f t="shared" si="42"/>
        <v>200.0769581869605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2.4473906929973928</v>
      </c>
      <c r="DH44" s="21">
        <f>EXP(-LN(2)/2)*DH43+(1-EXP(-LN(2)/2))/(LN(2)/2)*DB44*DE44*VLOOKUP('Données projet'!$B$13,Paramètres!$A$1:$I$89,3,0)*0.475*44/12</f>
        <v>0.14619873384552931</v>
      </c>
      <c r="DI44" s="22">
        <f t="shared" si="15"/>
        <v>2.593589426842922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12.8</v>
      </c>
      <c r="N45" s="13">
        <f>IF('Données projet'!$A$36&gt;35,N44+M45-V44,IF(A45&lt;'Données projet'!$A$36,$K$205^A45,IF(A45='Données projet'!$A$36,'Données projet'!$B$36,N44+M45-V44)))</f>
        <v>240.59999999999991</v>
      </c>
      <c r="O45" s="13">
        <f>N45*VLOOKUP('Données projet'!$B$9,Paramètres!$A$1:$I$89,3,0)*VLOOKUP('Données projet'!$B$9,Paramètres!$A$1:$I$89,5,0)</f>
        <v>143.87879999999996</v>
      </c>
      <c r="P45" s="13">
        <f t="shared" si="33"/>
        <v>37.184165858158067</v>
      </c>
      <c r="Q45" s="20">
        <f t="shared" si="53"/>
        <v>315.35133220295853</v>
      </c>
      <c r="R45" s="59">
        <f t="shared" si="0"/>
        <v>608.68466553629185</v>
      </c>
      <c r="S45" s="59">
        <f ca="1">AVERAGE(OFFSET($R$3,0,0,'Données projet'!$E$9+1,1))-AVERAGE(OFFSET($H$3,0,0,'Données projet'!$E$9+1,1))</f>
        <v>246.59447135626942</v>
      </c>
      <c r="T45" s="59">
        <f t="shared" si="34"/>
        <v>262.00382544285367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9.2126344516570775</v>
      </c>
      <c r="AB45" s="21">
        <f>EXP(-LN(2)/2)*AB44+(1-EXP(-LN(2)/2))/(LN(2)/2)*V45*Y45*VLOOKUP('Données projet'!$B$9,Paramètres!$A$1:$I$89,3,0)*0.475*44/12</f>
        <v>0.37077124802842143</v>
      </c>
      <c r="AC45" s="22">
        <f t="shared" si="3"/>
        <v>9.5834056996854997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9.8333333333333339</v>
      </c>
      <c r="AI45" s="13">
        <f>IF('Données projet'!$A$62&gt;35,AI44+AH45-AQ44,IF(A45&lt;'Données projet'!$A$62,$AF$205^A45,IF(A45='Données projet'!$A$62,'Données projet'!$B$62,AI44+AH45-AQ44)))</f>
        <v>253.66666666666671</v>
      </c>
      <c r="AJ45" s="13">
        <f>AI45*VLOOKUP('Données projet'!$B$10,Paramètres!$A$1:$I$89,3,0)*VLOOKUP('Données projet'!$B$10,Paramètres!$A$1:$I$89,5,0)</f>
        <v>151.6926666666667</v>
      </c>
      <c r="AK45" s="13">
        <f t="shared" si="35"/>
        <v>38.96299861908853</v>
      </c>
      <c r="AL45" s="20">
        <f t="shared" si="4"/>
        <v>332.05861703935699</v>
      </c>
      <c r="AM45" s="59">
        <f t="shared" si="5"/>
        <v>625.3919503726903</v>
      </c>
      <c r="AN45" s="59">
        <f ca="1">AVERAGE(OFFSET($AM$3,0,0,'Données projet'!$E$10+1,1))-AVERAGE(OFFSET($H$3,0,0,'Données projet'!$E$10+1,1))</f>
        <v>195.73441209602686</v>
      </c>
      <c r="AO45" s="59">
        <f t="shared" si="36"/>
        <v>219.19129224309006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4.8982351865564944</v>
      </c>
      <c r="AV45" s="21">
        <f>EXP(-LN(2)/25)*AV44+(1-EXP(-LN(2)/25))/(LN(2)/25)*Calculateur!AQ45*Calculateur!AS45*VLOOKUP('Données projet'!$B$10,Paramètres!$A$1:$I$89,3,0)*0.475*44/12</f>
        <v>8.8409666589286218</v>
      </c>
      <c r="AW45" s="21">
        <f>EXP(-LN(2)/2)*AW44+(1-EXP(-LN(2)/2))/(LN(2)/2)*AQ45*AT45*VLOOKUP('Données projet'!$B$10,Paramètres!$A$1:$I$89,3,0)*0.475*44/12</f>
        <v>8.5088943344908671E-2</v>
      </c>
      <c r="AX45" s="21">
        <f t="shared" si="6"/>
        <v>13.824290788830025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119.97647999999997</v>
      </c>
      <c r="BF45" s="13">
        <f t="shared" si="37"/>
        <v>31.669513577784763</v>
      </c>
      <c r="BG45" s="20">
        <f t="shared" si="7"/>
        <v>264.11677214797504</v>
      </c>
      <c r="BH45" s="59">
        <f t="shared" si="8"/>
        <v>557.45010548130836</v>
      </c>
      <c r="BI45" s="59">
        <f ca="1">AVERAGE(OFFSET($BH$3,0,0,'Données projet'!$E$11+1,1))-AVERAGE(OFFSET($H$3,0,0,'Données projet'!$E$11+1,1))</f>
        <v>269.19146943657933</v>
      </c>
      <c r="BJ45" s="59">
        <f t="shared" si="38"/>
        <v>185.94138814570965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2.2268881712272965</v>
      </c>
      <c r="BR45" s="21">
        <f>EXP(-LN(2)/2)*BR44+(1-EXP(-LN(2)/2))/(LN(2)/2)*BL45*BO45*VLOOKUP('Données projet'!$B$11,Paramètres!$A$1:$I$89,3,0)*0.475*44/12</f>
        <v>9.6708560225444176E-2</v>
      </c>
      <c r="BS45" s="22">
        <f t="shared" si="9"/>
        <v>2.3235967314527408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142.73063999999997</v>
      </c>
      <c r="CA45" s="13">
        <f t="shared" si="39"/>
        <v>36.921851771122689</v>
      </c>
      <c r="CB45" s="20">
        <f t="shared" si="10"/>
        <v>312.89475650137189</v>
      </c>
      <c r="CC45" s="59">
        <f t="shared" si="11"/>
        <v>606.2280898347052</v>
      </c>
      <c r="CD45" s="59">
        <f ca="1">AVERAGE(OFFSET($CC$3,0,0,'Données projet'!$E$12+1,1))-AVERAGE(OFFSET($H$3,0,0,'Données projet'!$E$12+1,1))</f>
        <v>335.12015893291874</v>
      </c>
      <c r="CE45" s="59">
        <f t="shared" si="40"/>
        <v>224.76596283033166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2.6492290312876454</v>
      </c>
      <c r="CM45" s="21">
        <f>EXP(-LN(2)/2)*CM44+(1-EXP(-LN(2)/2))/(LN(2)/2)*CG45*CJ45*VLOOKUP('Données projet'!$B$12,Paramètres!$A$1:$I$89,3,0)*0.475*44/12</f>
        <v>0.11504983888889057</v>
      </c>
      <c r="CN45" s="22">
        <f t="shared" si="12"/>
        <v>2.7642788701765362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8.3000000000000007</v>
      </c>
      <c r="CT45" s="12">
        <f>IF('Données projet'!$A$140&gt;35,CT44+CS45-DB44,IF(A45&lt;'Données projet'!$A$140,$CQ$205^A45,IF(A45='Données projet'!$A$140,'Données projet'!$B$140,CT44+CS45-DB44)))</f>
        <v>132.59999999999997</v>
      </c>
      <c r="CU45" s="17">
        <f>CT45*VLOOKUP('Données projet'!$B$13,Paramètres!$A$1:$I$89,3,0)*VLOOKUP('Données projet'!$B$13,Paramètres!$A$1:$I$89,5,0)</f>
        <v>128.25071999999997</v>
      </c>
      <c r="CV45" s="13">
        <f t="shared" si="41"/>
        <v>33.591833937449593</v>
      </c>
      <c r="CW45" s="20">
        <f t="shared" si="13"/>
        <v>281.875781441058</v>
      </c>
      <c r="CX45" s="59">
        <f t="shared" si="14"/>
        <v>575.20911477439131</v>
      </c>
      <c r="CY45" s="59">
        <f ca="1">AVERAGE(OFFSET($CX$3,0,0,'Données projet'!$E$13+1,1))-AVERAGE(OFFSET($H$3,0,0,'Données projet'!$E$13+1,1))</f>
        <v>293.19327646293601</v>
      </c>
      <c r="CZ45" s="59">
        <f t="shared" si="42"/>
        <v>200.0769581869605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2.380466665794696</v>
      </c>
      <c r="DH45" s="21">
        <f>EXP(-LN(2)/2)*DH44+(1-EXP(-LN(2)/2))/(LN(2)/2)*DB45*DE45*VLOOKUP('Données projet'!$B$13,Paramètres!$A$1:$I$89,3,0)*0.475*44/12</f>
        <v>0.103378116103061</v>
      </c>
      <c r="DI45" s="22">
        <f t="shared" si="15"/>
        <v>2.4838447818977571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12.8</v>
      </c>
      <c r="N46" s="13">
        <f>IF('Données projet'!$A$36&gt;35,N45+M46-V45,IF(A46&lt;'Données projet'!$A$36,$K$205^A46,IF(A46='Données projet'!$A$36,'Données projet'!$B$36,N45+M46-V45)))</f>
        <v>253.39999999999992</v>
      </c>
      <c r="O46" s="13">
        <f>N46*VLOOKUP('Données projet'!$B$9,Paramètres!$A$1:$I$89,3,0)*VLOOKUP('Données projet'!$B$9,Paramètres!$A$1:$I$89,5,0)</f>
        <v>151.53319999999997</v>
      </c>
      <c r="P46" s="13">
        <f t="shared" si="33"/>
        <v>38.926804334954284</v>
      </c>
      <c r="Q46" s="20">
        <f t="shared" si="53"/>
        <v>331.71784088337864</v>
      </c>
      <c r="R46" s="59">
        <f t="shared" si="0"/>
        <v>625.05117421671196</v>
      </c>
      <c r="S46" s="59">
        <f ca="1">AVERAGE(OFFSET($R$3,0,0,'Données projet'!$E$9+1,1))-AVERAGE(OFFSET($H$3,0,0,'Données projet'!$E$9+1,1))</f>
        <v>246.59447135626942</v>
      </c>
      <c r="T46" s="59">
        <f t="shared" si="34"/>
        <v>262.00382544285367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8.9607144781051247</v>
      </c>
      <c r="AB46" s="21">
        <f>EXP(-LN(2)/2)*AB45+(1-EXP(-LN(2)/2))/(LN(2)/2)*V46*Y46*VLOOKUP('Données projet'!$B$9,Paramètres!$A$1:$I$89,3,0)*0.475*44/12</f>
        <v>0.26217486374989613</v>
      </c>
      <c r="AC46" s="22">
        <f t="shared" si="3"/>
        <v>9.2228893418550211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9.8333333333333339</v>
      </c>
      <c r="AI46" s="13">
        <f>IF('Données projet'!$A$62&gt;35,AI45+AH46-AQ45,IF(A46&lt;'Données projet'!$A$62,$AF$205^A46,IF(A46='Données projet'!$A$62,'Données projet'!$B$62,AI45+AH46-AQ45)))</f>
        <v>263.50000000000006</v>
      </c>
      <c r="AJ46" s="13">
        <f>AI46*VLOOKUP('Données projet'!$B$10,Paramètres!$A$1:$I$89,3,0)*VLOOKUP('Données projet'!$B$10,Paramètres!$A$1:$I$89,5,0)</f>
        <v>157.57300000000006</v>
      </c>
      <c r="AK46" s="13">
        <f t="shared" si="35"/>
        <v>40.294612761030372</v>
      </c>
      <c r="AL46" s="20">
        <f t="shared" si="4"/>
        <v>344.61942555879472</v>
      </c>
      <c r="AM46" s="59">
        <f t="shared" si="5"/>
        <v>637.95275889212803</v>
      </c>
      <c r="AN46" s="59">
        <f ca="1">AVERAGE(OFFSET($AM$3,0,0,'Données projet'!$E$10+1,1))-AVERAGE(OFFSET($H$3,0,0,'Données projet'!$E$10+1,1))</f>
        <v>195.73441209602686</v>
      </c>
      <c r="AO46" s="59">
        <f t="shared" si="36"/>
        <v>219.19129224309006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4.8021837821765816</v>
      </c>
      <c r="AV46" s="21">
        <f>EXP(-LN(2)/25)*AV45+(1-EXP(-LN(2)/25))/(LN(2)/25)*Calculateur!AQ46*Calculateur!AS46*VLOOKUP('Données projet'!$B$10,Paramètres!$A$1:$I$89,3,0)*0.475*44/12</f>
        <v>8.5992099607139885</v>
      </c>
      <c r="AW46" s="21">
        <f>EXP(-LN(2)/2)*AW45+(1-EXP(-LN(2)/2))/(LN(2)/2)*AQ46*AT46*VLOOKUP('Données projet'!$B$10,Paramètres!$A$1:$I$89,3,0)*0.475*44/12</f>
        <v>6.0166968843182879E-2</v>
      </c>
      <c r="AX46" s="21">
        <f t="shared" si="6"/>
        <v>13.461560711733751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127.48631999999998</v>
      </c>
      <c r="BF46" s="13">
        <f t="shared" si="37"/>
        <v>33.414863287066048</v>
      </c>
      <c r="BG46" s="20">
        <f t="shared" si="7"/>
        <v>280.23622755830667</v>
      </c>
      <c r="BH46" s="59">
        <f t="shared" si="8"/>
        <v>573.56956089163998</v>
      </c>
      <c r="BI46" s="59">
        <f ca="1">AVERAGE(OFFSET($BH$3,0,0,'Données projet'!$E$11+1,1))-AVERAGE(OFFSET($H$3,0,0,'Données projet'!$E$11+1,1))</f>
        <v>269.19146943657933</v>
      </c>
      <c r="BJ46" s="59">
        <f t="shared" si="38"/>
        <v>185.94138814570965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2.1659937970781269</v>
      </c>
      <c r="BR46" s="21">
        <f>EXP(-LN(2)/2)*BR45+(1-EXP(-LN(2)/2))/(LN(2)/2)*BL46*BO46*VLOOKUP('Données projet'!$B$11,Paramètres!$A$1:$I$89,3,0)*0.475*44/12</f>
        <v>6.8383278734199207E-2</v>
      </c>
      <c r="BS46" s="22">
        <f t="shared" si="9"/>
        <v>2.234377075812326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151.66475999999997</v>
      </c>
      <c r="CA46" s="13">
        <f t="shared" si="39"/>
        <v>38.956664939205524</v>
      </c>
      <c r="CB46" s="20">
        <f t="shared" si="10"/>
        <v>331.9989817691162</v>
      </c>
      <c r="CC46" s="59">
        <f t="shared" si="11"/>
        <v>625.33231510244946</v>
      </c>
      <c r="CD46" s="59">
        <f ca="1">AVERAGE(OFFSET($CC$3,0,0,'Données projet'!$E$12+1,1))-AVERAGE(OFFSET($H$3,0,0,'Données projet'!$E$12+1,1))</f>
        <v>335.12015893291874</v>
      </c>
      <c r="CE46" s="59">
        <f t="shared" si="40"/>
        <v>224.76596283033166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2.5767857241101848</v>
      </c>
      <c r="CM46" s="21">
        <f>EXP(-LN(2)/2)*CM45+(1-EXP(-LN(2)/2))/(LN(2)/2)*CG46*CJ46*VLOOKUP('Données projet'!$B$12,Paramètres!$A$1:$I$89,3,0)*0.475*44/12</f>
        <v>8.1352521252754301E-2</v>
      </c>
      <c r="CN46" s="22">
        <f t="shared" si="12"/>
        <v>2.658138245362939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8.3000000000000007</v>
      </c>
      <c r="CT46" s="12">
        <f>IF('Données projet'!$A$140&gt;35,CT45+CS46-DB45,IF(A46&lt;'Données projet'!$A$140,$CQ$205^A46,IF(A46='Données projet'!$A$140,'Données projet'!$B$140,CT45+CS46-DB45)))</f>
        <v>140.89999999999998</v>
      </c>
      <c r="CU46" s="17">
        <f>CT46*VLOOKUP('Données projet'!$B$13,Paramètres!$A$1:$I$89,3,0)*VLOOKUP('Données projet'!$B$13,Paramètres!$A$1:$I$89,5,0)</f>
        <v>136.27848</v>
      </c>
      <c r="CV46" s="13">
        <f t="shared" si="41"/>
        <v>35.443125320657884</v>
      </c>
      <c r="CW46" s="20">
        <f t="shared" si="13"/>
        <v>299.08179593347916</v>
      </c>
      <c r="CX46" s="59">
        <f t="shared" si="14"/>
        <v>592.41512926681253</v>
      </c>
      <c r="CY46" s="59">
        <f ca="1">AVERAGE(OFFSET($CX$3,0,0,'Données projet'!$E$13+1,1))-AVERAGE(OFFSET($H$3,0,0,'Données projet'!$E$13+1,1))</f>
        <v>293.19327646293601</v>
      </c>
      <c r="CZ46" s="59">
        <f t="shared" si="42"/>
        <v>200.0769581869605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2.3153726796352387</v>
      </c>
      <c r="DH46" s="21">
        <f>EXP(-LN(2)/2)*DH45+(1-EXP(-LN(2)/2))/(LN(2)/2)*DB46*DE46*VLOOKUP('Données projet'!$B$13,Paramètres!$A$1:$I$89,3,0)*0.475*44/12</f>
        <v>7.3099366922764655E-2</v>
      </c>
      <c r="DI46" s="22">
        <f t="shared" si="15"/>
        <v>2.3884720465580034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12.8</v>
      </c>
      <c r="N47" s="13">
        <f>IF('Données projet'!$A$36&gt;35,N46+M47-V46,IF(A47&lt;'Données projet'!$A$36,$K$205^A47,IF(A47='Données projet'!$A$36,'Données projet'!$B$36,N46+M47-V46)))</f>
        <v>266.19999999999993</v>
      </c>
      <c r="O47" s="13">
        <f>N47*VLOOKUP('Données projet'!$B$9,Paramètres!$A$1:$I$89,3,0)*VLOOKUP('Données projet'!$B$9,Paramètres!$A$1:$I$89,5,0)</f>
        <v>159.18759999999997</v>
      </c>
      <c r="P47" s="13">
        <f t="shared" si="33"/>
        <v>40.659222067351315</v>
      </c>
      <c r="Q47" s="20">
        <f t="shared" si="53"/>
        <v>348.06654843397018</v>
      </c>
      <c r="R47" s="59">
        <f t="shared" si="0"/>
        <v>641.39988176730344</v>
      </c>
      <c r="S47" s="59">
        <f ca="1">AVERAGE(OFFSET($R$3,0,0,'Données projet'!$E$9+1,1))-AVERAGE(OFFSET($H$3,0,0,'Données projet'!$E$9+1,1))</f>
        <v>246.59447135626942</v>
      </c>
      <c r="T47" s="59">
        <f t="shared" si="34"/>
        <v>262.00382544285367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8.7156832694778448</v>
      </c>
      <c r="AB47" s="21">
        <f>EXP(-LN(2)/2)*AB46+(1-EXP(-LN(2)/2))/(LN(2)/2)*V47*Y47*VLOOKUP('Données projet'!$B$9,Paramètres!$A$1:$I$89,3,0)*0.475*44/12</f>
        <v>0.18538562401421071</v>
      </c>
      <c r="AC47" s="22">
        <f t="shared" si="3"/>
        <v>8.9010688934920559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9.8333333333333339</v>
      </c>
      <c r="AI47" s="13">
        <f>IF('Données projet'!$A$62&gt;35,AI46+AH47-AQ46,IF(A47&lt;'Données projet'!$A$62,$AF$205^A47,IF(A47='Données projet'!$A$62,'Données projet'!$B$62,AI46+AH47-AQ46)))</f>
        <v>273.33333333333337</v>
      </c>
      <c r="AJ47" s="13">
        <f>AI47*VLOOKUP('Données projet'!$B$10,Paramètres!$A$1:$I$89,3,0)*VLOOKUP('Données projet'!$B$10,Paramètres!$A$1:$I$89,5,0)</f>
        <v>163.45333333333338</v>
      </c>
      <c r="AK47" s="13">
        <f t="shared" si="35"/>
        <v>41.620453722976563</v>
      </c>
      <c r="AL47" s="20">
        <f t="shared" si="4"/>
        <v>357.17017912307307</v>
      </c>
      <c r="AM47" s="59">
        <f t="shared" si="5"/>
        <v>650.50351245640638</v>
      </c>
      <c r="AN47" s="59">
        <f ca="1">AVERAGE(OFFSET($AM$3,0,0,'Données projet'!$E$10+1,1))-AVERAGE(OFFSET($H$3,0,0,'Données projet'!$E$10+1,1))</f>
        <v>195.73441209602686</v>
      </c>
      <c r="AO47" s="59">
        <f t="shared" si="36"/>
        <v>219.19129224309006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4.708015887250987</v>
      </c>
      <c r="AV47" s="21">
        <f>EXP(-LN(2)/25)*AV46+(1-EXP(-LN(2)/25))/(LN(2)/25)*Calculateur!AQ47*Calculateur!AS47*VLOOKUP('Données projet'!$B$10,Paramètres!$A$1:$I$89,3,0)*0.475*44/12</f>
        <v>8.3640641121254671</v>
      </c>
      <c r="AW47" s="21">
        <f>EXP(-LN(2)/2)*AW46+(1-EXP(-LN(2)/2))/(LN(2)/2)*AQ47*AT47*VLOOKUP('Données projet'!$B$10,Paramètres!$A$1:$I$89,3,0)*0.475*44/12</f>
        <v>4.2544471672454343E-2</v>
      </c>
      <c r="AX47" s="21">
        <f t="shared" si="6"/>
        <v>13.114624471048909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134.99615999999997</v>
      </c>
      <c r="BF47" s="13">
        <f t="shared" si="37"/>
        <v>35.148279172043118</v>
      </c>
      <c r="BG47" s="20">
        <f t="shared" si="7"/>
        <v>296.33489822464168</v>
      </c>
      <c r="BH47" s="59">
        <f t="shared" si="8"/>
        <v>589.66823155797499</v>
      </c>
      <c r="BI47" s="59">
        <f ca="1">AVERAGE(OFFSET($BH$3,0,0,'Données projet'!$E$11+1,1))-AVERAGE(OFFSET($H$3,0,0,'Données projet'!$E$11+1,1))</f>
        <v>269.19146943657933</v>
      </c>
      <c r="BJ47" s="59">
        <f t="shared" si="38"/>
        <v>185.94138814570965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2.106764582792362</v>
      </c>
      <c r="BR47" s="21">
        <f>EXP(-LN(2)/2)*BR46+(1-EXP(-LN(2)/2))/(LN(2)/2)*BL47*BO47*VLOOKUP('Données projet'!$B$11,Paramètres!$A$1:$I$89,3,0)*0.475*44/12</f>
        <v>4.8354280112722088E-2</v>
      </c>
      <c r="BS47" s="22">
        <f t="shared" si="9"/>
        <v>2.1551188629050841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160.59887999999998</v>
      </c>
      <c r="CA47" s="13">
        <f t="shared" si="39"/>
        <v>40.97756507730324</v>
      </c>
      <c r="CB47" s="20">
        <f t="shared" si="10"/>
        <v>351.07897517630312</v>
      </c>
      <c r="CC47" s="59">
        <f t="shared" si="11"/>
        <v>644.41230850963643</v>
      </c>
      <c r="CD47" s="59">
        <f ca="1">AVERAGE(OFFSET($CC$3,0,0,'Données projet'!$E$12+1,1))-AVERAGE(OFFSET($H$3,0,0,'Données projet'!$E$12+1,1))</f>
        <v>335.12015893291874</v>
      </c>
      <c r="CE47" s="59">
        <f t="shared" si="40"/>
        <v>224.76596283033166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2.5063233829771199</v>
      </c>
      <c r="CM47" s="21">
        <f>EXP(-LN(2)/2)*CM46+(1-EXP(-LN(2)/2))/(LN(2)/2)*CG47*CJ47*VLOOKUP('Données projet'!$B$12,Paramètres!$A$1:$I$89,3,0)*0.475*44/12</f>
        <v>5.7524919444445294E-2</v>
      </c>
      <c r="CN47" s="22">
        <f t="shared" si="12"/>
        <v>2.5638483024215653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8.3000000000000007</v>
      </c>
      <c r="CT47" s="12">
        <f>IF('Données projet'!$A$140&gt;35,CT46+CS47-DB46,IF(A47&lt;'Données projet'!$A$140,$CQ$205^A47,IF(A47='Données projet'!$A$140,'Données projet'!$B$140,CT46+CS47-DB46)))</f>
        <v>149.19999999999999</v>
      </c>
      <c r="CU47" s="17">
        <f>CT47*VLOOKUP('Données projet'!$B$13,Paramètres!$A$1:$I$89,3,0)*VLOOKUP('Données projet'!$B$13,Paramètres!$A$1:$I$89,5,0)</f>
        <v>144.30624</v>
      </c>
      <c r="CV47" s="13">
        <f t="shared" si="41"/>
        <v>37.281758503629554</v>
      </c>
      <c r="CW47" s="20">
        <f t="shared" si="13"/>
        <v>316.26576406048815</v>
      </c>
      <c r="CX47" s="59">
        <f t="shared" si="14"/>
        <v>609.59909739382147</v>
      </c>
      <c r="CY47" s="59">
        <f ca="1">AVERAGE(OFFSET($CX$3,0,0,'Données projet'!$E$13+1,1))-AVERAGE(OFFSET($H$3,0,0,'Données projet'!$E$13+1,1))</f>
        <v>293.19327646293601</v>
      </c>
      <c r="CZ47" s="59">
        <f t="shared" si="42"/>
        <v>200.0769581869605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2.2520586919504559</v>
      </c>
      <c r="DH47" s="21">
        <f>EXP(-LN(2)/2)*DH46+(1-EXP(-LN(2)/2))/(LN(2)/2)*DB47*DE47*VLOOKUP('Données projet'!$B$13,Paramètres!$A$1:$I$89,3,0)*0.475*44/12</f>
        <v>5.1689058051530498E-2</v>
      </c>
      <c r="DI47" s="22">
        <f t="shared" si="15"/>
        <v>2.3037477500019863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12.8</v>
      </c>
      <c r="N48" s="13">
        <f>IF('Données projet'!$A$36&gt;35,N47+M48-V47,IF(A48&lt;'Données projet'!$A$36,$K$205^A48,IF(A48='Données projet'!$A$36,'Données projet'!$B$36,N47+M48-V47)))</f>
        <v>278.99999999999994</v>
      </c>
      <c r="O48" s="13">
        <f>N48*VLOOKUP('Données projet'!$B$9,Paramètres!$A$1:$I$89,3,0)*VLOOKUP('Données projet'!$B$9,Paramètres!$A$1:$I$89,5,0)</f>
        <v>166.84199999999998</v>
      </c>
      <c r="P48" s="13">
        <f t="shared" si="33"/>
        <v>42.381966615760334</v>
      </c>
      <c r="Q48" s="20">
        <f t="shared" si="53"/>
        <v>364.39840852244924</v>
      </c>
      <c r="R48" s="59">
        <f t="shared" si="0"/>
        <v>657.7317418557825</v>
      </c>
      <c r="S48" s="59">
        <f ca="1">AVERAGE(OFFSET($R$3,0,0,'Données projet'!$E$9+1,1))-AVERAGE(OFFSET($H$3,0,0,'Données projet'!$E$9+1,1))</f>
        <v>246.59447135626942</v>
      </c>
      <c r="T48" s="59">
        <f t="shared" si="34"/>
        <v>262.00382544285367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8.4773524521361097</v>
      </c>
      <c r="AB48" s="21">
        <f>EXP(-LN(2)/2)*AB47+(1-EXP(-LN(2)/2))/(LN(2)/2)*V48*Y48*VLOOKUP('Données projet'!$B$9,Paramètres!$A$1:$I$89,3,0)*0.475*44/12</f>
        <v>0.13108743187494806</v>
      </c>
      <c r="AC48" s="22">
        <f t="shared" si="3"/>
        <v>8.608439884011057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9.8333333333333339</v>
      </c>
      <c r="AI48" s="13">
        <f>IF('Données projet'!$A$62&gt;35,AI47+AH48-AQ47,IF(A48&lt;'Données projet'!$A$62,$AF$205^A48,IF(A48='Données projet'!$A$62,'Données projet'!$B$62,AI47+AH48-AQ47)))</f>
        <v>283.16666666666669</v>
      </c>
      <c r="AJ48" s="13">
        <f>AI48*VLOOKUP('Données projet'!$B$10,Paramètres!$A$1:$I$89,3,0)*VLOOKUP('Données projet'!$B$10,Paramètres!$A$1:$I$89,5,0)</f>
        <v>169.33366666666672</v>
      </c>
      <c r="AK48" s="13">
        <f t="shared" si="35"/>
        <v>42.940752990888512</v>
      </c>
      <c r="AL48" s="20">
        <f t="shared" si="4"/>
        <v>369.7112809035753</v>
      </c>
      <c r="AM48" s="59">
        <f t="shared" si="5"/>
        <v>663.04461423690861</v>
      </c>
      <c r="AN48" s="59">
        <f ca="1">AVERAGE(OFFSET($AM$3,0,0,'Données projet'!$E$10+1,1))-AVERAGE(OFFSET($H$3,0,0,'Données projet'!$E$10+1,1))</f>
        <v>195.73441209602686</v>
      </c>
      <c r="AO48" s="59">
        <f t="shared" si="36"/>
        <v>219.19129224309006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4.6156945673081387</v>
      </c>
      <c r="AV48" s="21">
        <f>EXP(-LN(2)/25)*AV47+(1-EXP(-LN(2)/25))/(LN(2)/25)*Calculateur!AQ48*Calculateur!AS48*VLOOKUP('Données projet'!$B$10,Paramètres!$A$1:$I$89,3,0)*0.475*44/12</f>
        <v>8.1353483391323813</v>
      </c>
      <c r="AW48" s="21">
        <f>EXP(-LN(2)/2)*AW47+(1-EXP(-LN(2)/2))/(LN(2)/2)*AQ48*AT48*VLOOKUP('Données projet'!$B$10,Paramètres!$A$1:$I$89,3,0)*0.475*44/12</f>
        <v>3.0083484421591443E-2</v>
      </c>
      <c r="AX48" s="21">
        <f t="shared" si="6"/>
        <v>12.781126390862113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142.506</v>
      </c>
      <c r="BF48" s="13">
        <f t="shared" si="37"/>
        <v>36.870500776307537</v>
      </c>
      <c r="BG48" s="20">
        <f t="shared" si="7"/>
        <v>312.41407218540223</v>
      </c>
      <c r="BH48" s="59">
        <f t="shared" si="8"/>
        <v>605.7474055187356</v>
      </c>
      <c r="BI48" s="59">
        <f ca="1">AVERAGE(OFFSET($BH$3,0,0,'Données projet'!$E$11+1,1))-AVERAGE(OFFSET($H$3,0,0,'Données projet'!$E$11+1,1))</f>
        <v>269.19146943657933</v>
      </c>
      <c r="BJ48" s="59">
        <f t="shared" si="38"/>
        <v>185.94138814570965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2.0491549944859706</v>
      </c>
      <c r="BR48" s="21">
        <f>EXP(-LN(2)/2)*BR47+(1-EXP(-LN(2)/2))/(LN(2)/2)*BL48*BO48*VLOOKUP('Données projet'!$B$11,Paramètres!$A$1:$I$89,3,0)*0.475*44/12</f>
        <v>3.4191639367099604E-2</v>
      </c>
      <c r="BS48" s="22">
        <f t="shared" si="9"/>
        <v>2.0833466338530702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169.53300000000002</v>
      </c>
      <c r="CA48" s="13">
        <f t="shared" si="39"/>
        <v>42.985414381129679</v>
      </c>
      <c r="CB48" s="20">
        <f t="shared" si="10"/>
        <v>370.13623838046755</v>
      </c>
      <c r="CC48" s="59">
        <f t="shared" si="11"/>
        <v>663.46957171380086</v>
      </c>
      <c r="CD48" s="59">
        <f ca="1">AVERAGE(OFFSET($CC$3,0,0,'Données projet'!$E$12+1,1))-AVERAGE(OFFSET($H$3,0,0,'Données projet'!$E$12+1,1))</f>
        <v>335.12015893291874</v>
      </c>
      <c r="CE48" s="59">
        <f t="shared" si="40"/>
        <v>224.76596283033166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2.4377878382677922</v>
      </c>
      <c r="CM48" s="21">
        <f>EXP(-LN(2)/2)*CM47+(1-EXP(-LN(2)/2))/(LN(2)/2)*CG48*CJ48*VLOOKUP('Données projet'!$B$12,Paramètres!$A$1:$I$89,3,0)*0.475*44/12</f>
        <v>4.0676260626377157E-2</v>
      </c>
      <c r="CN48" s="22">
        <f t="shared" si="12"/>
        <v>2.4784640988941695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8.3000000000000007</v>
      </c>
      <c r="CT48" s="12">
        <f>IF('Données projet'!$A$140&gt;35,CT47+CS48-DB47,IF(A48&lt;'Données projet'!$A$140,$CQ$205^A48,IF(A48='Données projet'!$A$140,'Données projet'!$B$140,CT47+CS48-DB47)))</f>
        <v>157.5</v>
      </c>
      <c r="CU48" s="17">
        <f>CT48*VLOOKUP('Données projet'!$B$13,Paramètres!$A$1:$I$89,3,0)*VLOOKUP('Données projet'!$B$13,Paramètres!$A$1:$I$89,5,0)</f>
        <v>152.334</v>
      </c>
      <c r="CV48" s="13">
        <f t="shared" si="41"/>
        <v>39.108517919805784</v>
      </c>
      <c r="CW48" s="20">
        <f t="shared" si="13"/>
        <v>333.42905204366178</v>
      </c>
      <c r="CX48" s="59">
        <f t="shared" si="14"/>
        <v>626.7623853769951</v>
      </c>
      <c r="CY48" s="59">
        <f ca="1">AVERAGE(OFFSET($CX$3,0,0,'Données projet'!$E$13+1,1))-AVERAGE(OFFSET($H$3,0,0,'Données projet'!$E$13+1,1))</f>
        <v>293.19327646293601</v>
      </c>
      <c r="CZ48" s="59">
        <f t="shared" si="42"/>
        <v>200.0769581869605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2.1904760285884515</v>
      </c>
      <c r="DH48" s="21">
        <f>EXP(-LN(2)/2)*DH47+(1-EXP(-LN(2)/2))/(LN(2)/2)*DB48*DE48*VLOOKUP('Données projet'!$B$13,Paramètres!$A$1:$I$89,3,0)*0.475*44/12</f>
        <v>3.6549683461382328E-2</v>
      </c>
      <c r="DI48" s="22">
        <f t="shared" si="15"/>
        <v>2.227025712049834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12.8</v>
      </c>
      <c r="N49" s="13">
        <f>IF('Données projet'!$A$36&gt;35,N48+M49-V48,IF(A49&lt;'Données projet'!$A$36,$K$205^A49,IF(A49='Données projet'!$A$36,'Données projet'!$B$36,N48+M49-V48)))</f>
        <v>291.79999999999995</v>
      </c>
      <c r="O49" s="13">
        <f>N49*VLOOKUP('Données projet'!$B$9,Paramètres!$A$1:$I$89,3,0)*VLOOKUP('Données projet'!$B$9,Paramètres!$A$1:$I$89,5,0)</f>
        <v>174.49639999999999</v>
      </c>
      <c r="P49" s="13">
        <f t="shared" si="33"/>
        <v>44.095532458716939</v>
      </c>
      <c r="Q49" s="20">
        <f t="shared" si="53"/>
        <v>380.71428236559865</v>
      </c>
      <c r="R49" s="59">
        <f t="shared" si="0"/>
        <v>674.04761569893196</v>
      </c>
      <c r="S49" s="59">
        <f ca="1">AVERAGE(OFFSET($R$3,0,0,'Données projet'!$E$9+1,1))-AVERAGE(OFFSET($H$3,0,0,'Données projet'!$E$9+1,1))</f>
        <v>246.59447135626942</v>
      </c>
      <c r="T49" s="59">
        <f t="shared" si="34"/>
        <v>262.00382544285367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8.2455388035278574</v>
      </c>
      <c r="AB49" s="21">
        <f>EXP(-LN(2)/2)*AB48+(1-EXP(-LN(2)/2))/(LN(2)/2)*V49*Y49*VLOOKUP('Données projet'!$B$9,Paramètres!$A$1:$I$89,3,0)*0.475*44/12</f>
        <v>9.2692812007105357E-2</v>
      </c>
      <c r="AC49" s="22">
        <f t="shared" si="3"/>
        <v>8.3382316155349621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293</v>
      </c>
      <c r="AG49" s="12">
        <f>VLOOKUP(A49,'Données projet'!$A$61:$I$81,9,0)</f>
        <v>9.8333333333333339</v>
      </c>
      <c r="AH49" s="12">
        <f t="array" ref="AH49">INDEX(AG:AG,MIN(IF(ISNUMBER(AG49:AG245),ROW(AG49:AG245),"")))</f>
        <v>9.8333333333333339</v>
      </c>
      <c r="AI49" s="13">
        <f>IF('Données projet'!$A$62&gt;35,AI48+AH49-AQ48,IF(A49&lt;'Données projet'!$A$62,$AF$205^A49,IF(A49='Données projet'!$A$62,'Données projet'!$B$62,AI48+AH49-AQ48)))</f>
        <v>293</v>
      </c>
      <c r="AJ49" s="13">
        <f>AI49*VLOOKUP('Données projet'!$B$10,Paramètres!$A$1:$I$89,3,0)*VLOOKUP('Données projet'!$B$10,Paramètres!$A$1:$I$89,5,0)</f>
        <v>175.214</v>
      </c>
      <c r="AK49" s="13">
        <f t="shared" si="35"/>
        <v>44.255725061661991</v>
      </c>
      <c r="AL49" s="20">
        <f t="shared" si="4"/>
        <v>382.24310448239459</v>
      </c>
      <c r="AM49" s="59">
        <f t="shared" si="5"/>
        <v>675.5764378157279</v>
      </c>
      <c r="AN49" s="59">
        <f ca="1">AVERAGE(OFFSET($AM$3,0,0,'Données projet'!$E$10+1,1))-AVERAGE(OFFSET($H$3,0,0,'Données projet'!$E$10+1,1))</f>
        <v>195.73441209602686</v>
      </c>
      <c r="AO49" s="59">
        <f t="shared" si="36"/>
        <v>219.19129224309006</v>
      </c>
      <c r="AP49" s="15">
        <f>IF(ISNA(VLOOKUP(A49,'Données projet'!$A$61:$I$81,3,0)),0,VLOOKUP(A49,'Données projet'!$A$61:$I$81,3,0))</f>
        <v>7</v>
      </c>
      <c r="AQ49" s="15">
        <f>IF(ISNA(VLOOKUP(A49,'Données projet'!$A$61:$I$81,4,0)),0,VLOOKUP(A49,'Données projet'!$A$61:$I$81,4,0))</f>
        <v>29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4.5251836121389246</v>
      </c>
      <c r="AV49" s="21">
        <f>EXP(-LN(2)/25)*AV48+(1-EXP(-LN(2)/25))/(LN(2)/25)*Calculateur!AQ49*Calculateur!AS49*VLOOKUP('Données projet'!$B$10,Paramètres!$A$1:$I$89,3,0)*0.475*44/12</f>
        <v>7.9128868109794306</v>
      </c>
      <c r="AW49" s="21">
        <f>EXP(-LN(2)/2)*AW48+(1-EXP(-LN(2)/2))/(LN(2)/2)*AQ49*AT49*VLOOKUP('Données projet'!$B$10,Paramètres!$A$1:$I$89,3,0)*0.475*44/12</f>
        <v>2.1272235836227175E-2</v>
      </c>
      <c r="AX49" s="21">
        <f t="shared" si="6"/>
        <v>12.459342658954581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150.01584</v>
      </c>
      <c r="BF49" s="13">
        <f t="shared" si="37"/>
        <v>38.582185295570788</v>
      </c>
      <c r="BG49" s="20">
        <f t="shared" si="7"/>
        <v>328.47489405645246</v>
      </c>
      <c r="BH49" s="59">
        <f t="shared" si="8"/>
        <v>621.80822738978577</v>
      </c>
      <c r="BI49" s="59">
        <f ca="1">AVERAGE(OFFSET($BH$3,0,0,'Données projet'!$E$11+1,1))-AVERAGE(OFFSET($H$3,0,0,'Données projet'!$E$11+1,1))</f>
        <v>269.19146943657933</v>
      </c>
      <c r="BJ49" s="59">
        <f t="shared" si="38"/>
        <v>185.94138814570965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1.993120743401374</v>
      </c>
      <c r="BR49" s="21">
        <f>EXP(-LN(2)/2)*BR48+(1-EXP(-LN(2)/2))/(LN(2)/2)*BL49*BO49*VLOOKUP('Données projet'!$B$11,Paramètres!$A$1:$I$89,3,0)*0.475*44/12</f>
        <v>2.4177140056361044E-2</v>
      </c>
      <c r="BS49" s="22">
        <f t="shared" si="9"/>
        <v>2.0172978834577351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178.46711999999999</v>
      </c>
      <c r="CA49" s="13">
        <f t="shared" si="39"/>
        <v>44.980979041254272</v>
      </c>
      <c r="CB49" s="20">
        <f t="shared" si="10"/>
        <v>389.17210583018453</v>
      </c>
      <c r="CC49" s="59">
        <f t="shared" si="11"/>
        <v>682.50543916351785</v>
      </c>
      <c r="CD49" s="59">
        <f ca="1">AVERAGE(OFFSET($CC$3,0,0,'Données projet'!$E$12+1,1))-AVERAGE(OFFSET($H$3,0,0,'Données projet'!$E$12+1,1))</f>
        <v>335.12015893291874</v>
      </c>
      <c r="CE49" s="59">
        <f t="shared" si="40"/>
        <v>224.76596283033166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2.3711264016326687</v>
      </c>
      <c r="CM49" s="21">
        <f>EXP(-LN(2)/2)*CM48+(1-EXP(-LN(2)/2))/(LN(2)/2)*CG49*CJ49*VLOOKUP('Données projet'!$B$12,Paramètres!$A$1:$I$89,3,0)*0.475*44/12</f>
        <v>2.8762459722222654E-2</v>
      </c>
      <c r="CN49" s="22">
        <f t="shared" si="12"/>
        <v>2.3998888613548912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8.3000000000000007</v>
      </c>
      <c r="CT49" s="12">
        <f>IF('Données projet'!$A$140&gt;35,CT48+CS49-DB48,IF(A49&lt;'Données projet'!$A$140,$CQ$205^A49,IF(A49='Données projet'!$A$140,'Données projet'!$B$140,CT48+CS49-DB48)))</f>
        <v>165.8</v>
      </c>
      <c r="CU49" s="17">
        <f>CT49*VLOOKUP('Données projet'!$B$13,Paramètres!$A$1:$I$89,3,0)*VLOOKUP('Données projet'!$B$13,Paramètres!$A$1:$I$89,5,0)</f>
        <v>160.36176</v>
      </c>
      <c r="CV49" s="13">
        <f t="shared" si="41"/>
        <v>40.924100656281027</v>
      </c>
      <c r="CW49" s="20">
        <f t="shared" si="13"/>
        <v>350.57287397635611</v>
      </c>
      <c r="CX49" s="59">
        <f t="shared" si="14"/>
        <v>643.90620730968942</v>
      </c>
      <c r="CY49" s="59">
        <f ca="1">AVERAGE(OFFSET($CX$3,0,0,'Données projet'!$E$13+1,1))-AVERAGE(OFFSET($H$3,0,0,'Données projet'!$E$13+1,1))</f>
        <v>293.19327646293601</v>
      </c>
      <c r="CZ49" s="59">
        <f t="shared" si="42"/>
        <v>200.0769581869605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2.1305773463945723</v>
      </c>
      <c r="DH49" s="21">
        <f>EXP(-LN(2)/2)*DH48+(1-EXP(-LN(2)/2))/(LN(2)/2)*DB49*DE49*VLOOKUP('Données projet'!$B$13,Paramètres!$A$1:$I$89,3,0)*0.475*44/12</f>
        <v>2.5844529025765249E-2</v>
      </c>
      <c r="DI49" s="22">
        <f t="shared" si="15"/>
        <v>2.1564218754203375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12.8</v>
      </c>
      <c r="N50" s="13">
        <f>IF('Données projet'!$A$36&gt;35,N49+M50-V49,IF(A50&lt;'Données projet'!$A$36,$K$205^A50,IF(A50='Données projet'!$A$36,'Données projet'!$B$36,N49+M50-V49)))</f>
        <v>304.59999999999997</v>
      </c>
      <c r="O50" s="13">
        <f>N50*VLOOKUP('Données projet'!$B$9,Paramètres!$A$1:$I$89,3,0)*VLOOKUP('Données projet'!$B$9,Paramètres!$A$1:$I$89,5,0)</f>
        <v>182.15079999999998</v>
      </c>
      <c r="P50" s="13">
        <f t="shared" si="33"/>
        <v>45.800368240506849</v>
      </c>
      <c r="Q50" s="20">
        <f t="shared" si="53"/>
        <v>397.01495135221603</v>
      </c>
      <c r="R50" s="59">
        <f t="shared" si="0"/>
        <v>690.34828468554929</v>
      </c>
      <c r="S50" s="59">
        <f ca="1">AVERAGE(OFFSET($R$3,0,0,'Données projet'!$E$9+1,1))-AVERAGE(OFFSET($H$3,0,0,'Données projet'!$E$9+1,1))</f>
        <v>246.59447135626942</v>
      </c>
      <c r="T50" s="59">
        <f t="shared" si="34"/>
        <v>262.00382544285367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8.0200641113313473</v>
      </c>
      <c r="AB50" s="21">
        <f>EXP(-LN(2)/2)*AB49+(1-EXP(-LN(2)/2))/(LN(2)/2)*V50*Y50*VLOOKUP('Données projet'!$B$9,Paramètres!$A$1:$I$89,3,0)*0.475*44/12</f>
        <v>6.5543715937474031E-2</v>
      </c>
      <c r="AC50" s="22">
        <f t="shared" si="3"/>
        <v>8.0856078272688219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5.875</v>
      </c>
      <c r="AI50" s="13">
        <f>IF('Données projet'!$A$62&gt;35,AI49+AH50-AQ49,IF(A50&lt;'Données projet'!$A$62,$AF$205^A50,IF(A50='Données projet'!$A$62,'Données projet'!$B$62,AI49+AH50-AQ49)))</f>
        <v>269.875</v>
      </c>
      <c r="AJ50" s="13">
        <f>AI50*VLOOKUP('Données projet'!$B$10,Paramètres!$A$1:$I$89,3,0)*VLOOKUP('Données projet'!$B$10,Paramètres!$A$1:$I$89,5,0)</f>
        <v>161.38525000000001</v>
      </c>
      <c r="AK50" s="13">
        <f t="shared" si="35"/>
        <v>41.154805478559268</v>
      </c>
      <c r="AL50" s="20">
        <f t="shared" si="4"/>
        <v>352.75726329182407</v>
      </c>
      <c r="AM50" s="59">
        <f t="shared" si="5"/>
        <v>646.09059662515733</v>
      </c>
      <c r="AN50" s="59">
        <f ca="1">AVERAGE(OFFSET($AM$3,0,0,'Données projet'!$E$10+1,1))-AVERAGE(OFFSET($H$3,0,0,'Données projet'!$E$10+1,1))</f>
        <v>195.73441209602686</v>
      </c>
      <c r="AO50" s="59">
        <f t="shared" si="36"/>
        <v>219.19129224309006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4.4364475215943475</v>
      </c>
      <c r="AV50" s="21">
        <f>EXP(-LN(2)/25)*AV49+(1-EXP(-LN(2)/25))/(LN(2)/25)*Calculateur!AQ50*Calculateur!AS50*VLOOKUP('Données projet'!$B$10,Paramètres!$A$1:$I$89,3,0)*0.475*44/12</f>
        <v>7.6965085050125657</v>
      </c>
      <c r="AW50" s="21">
        <f>EXP(-LN(2)/2)*AW49+(1-EXP(-LN(2)/2))/(LN(2)/2)*AQ50*AT50*VLOOKUP('Données projet'!$B$10,Paramètres!$A$1:$I$89,3,0)*0.475*44/12</f>
        <v>1.5041742210795725E-2</v>
      </c>
      <c r="AX50" s="21">
        <f t="shared" si="6"/>
        <v>12.147997768817708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157.52568000000002</v>
      </c>
      <c r="BF50" s="13">
        <f t="shared" si="37"/>
        <v>40.283920409774808</v>
      </c>
      <c r="BG50" s="20">
        <f t="shared" si="7"/>
        <v>344.51838738035781</v>
      </c>
      <c r="BH50" s="59">
        <f t="shared" si="8"/>
        <v>637.85172071369107</v>
      </c>
      <c r="BI50" s="59">
        <f ca="1">AVERAGE(OFFSET($BH$3,0,0,'Données projet'!$E$11+1,1))-AVERAGE(OFFSET($H$3,0,0,'Données projet'!$E$11+1,1))</f>
        <v>269.19146943657933</v>
      </c>
      <c r="BJ50" s="59">
        <f t="shared" si="38"/>
        <v>185.94138814570965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1.9386187518593989</v>
      </c>
      <c r="BR50" s="21">
        <f>EXP(-LN(2)/2)*BR49+(1-EXP(-LN(2)/2))/(LN(2)/2)*BL50*BO50*VLOOKUP('Données projet'!$B$11,Paramètres!$A$1:$I$89,3,0)*0.475*44/12</f>
        <v>1.7095819683549802E-2</v>
      </c>
      <c r="BS50" s="22">
        <f t="shared" si="9"/>
        <v>1.9557145715429487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187.40124</v>
      </c>
      <c r="CA50" s="13">
        <f t="shared" si="39"/>
        <v>46.964944203397764</v>
      </c>
      <c r="CB50" s="20">
        <f t="shared" si="10"/>
        <v>408.18777082091782</v>
      </c>
      <c r="CC50" s="59">
        <f t="shared" si="11"/>
        <v>701.52110415425113</v>
      </c>
      <c r="CD50" s="59">
        <f ca="1">AVERAGE(OFFSET($CC$3,0,0,'Données projet'!$E$12+1,1))-AVERAGE(OFFSET($H$3,0,0,'Données projet'!$E$12+1,1))</f>
        <v>335.12015893291874</v>
      </c>
      <c r="CE50" s="59">
        <f t="shared" si="40"/>
        <v>224.76596283033166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2.3062878254879053</v>
      </c>
      <c r="CM50" s="21">
        <f>EXP(-LN(2)/2)*CM49+(1-EXP(-LN(2)/2))/(LN(2)/2)*CG50*CJ50*VLOOKUP('Données projet'!$B$12,Paramètres!$A$1:$I$89,3,0)*0.475*44/12</f>
        <v>2.0338130313188582E-2</v>
      </c>
      <c r="CN50" s="22">
        <f t="shared" si="12"/>
        <v>2.3266259558010938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8.3000000000000007</v>
      </c>
      <c r="CT50" s="12">
        <f>IF('Données projet'!$A$140&gt;35,CT49+CS50-DB49,IF(A50&lt;'Données projet'!$A$140,$CQ$205^A50,IF(A50='Données projet'!$A$140,'Données projet'!$B$140,CT49+CS50-DB49)))</f>
        <v>174.10000000000002</v>
      </c>
      <c r="CU50" s="17">
        <f>CT50*VLOOKUP('Données projet'!$B$13,Paramètres!$A$1:$I$89,3,0)*VLOOKUP('Données projet'!$B$13,Paramètres!$A$1:$I$89,5,0)</f>
        <v>168.38952</v>
      </c>
      <c r="CV50" s="13">
        <f t="shared" si="41"/>
        <v>42.729130064815024</v>
      </c>
      <c r="CW50" s="20">
        <f t="shared" si="13"/>
        <v>367.69831552955276</v>
      </c>
      <c r="CX50" s="59">
        <f t="shared" si="14"/>
        <v>661.03164886288607</v>
      </c>
      <c r="CY50" s="59">
        <f ca="1">AVERAGE(OFFSET($CX$3,0,0,'Données projet'!$E$13+1,1))-AVERAGE(OFFSET($H$3,0,0,'Données projet'!$E$13+1,1))</f>
        <v>293.19327646293601</v>
      </c>
      <c r="CZ50" s="59">
        <f t="shared" si="42"/>
        <v>200.0769581869605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2.0723165968152197</v>
      </c>
      <c r="DH50" s="21">
        <f>EXP(-LN(2)/2)*DH49+(1-EXP(-LN(2)/2))/(LN(2)/2)*DB50*DE50*VLOOKUP('Données projet'!$B$13,Paramètres!$A$1:$I$89,3,0)*0.475*44/12</f>
        <v>1.8274841730691164E-2</v>
      </c>
      <c r="DI50" s="22">
        <f t="shared" si="15"/>
        <v>2.090591438545911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12.8</v>
      </c>
      <c r="N51" s="13">
        <f>IF('Données projet'!$A$36&gt;35,N50+M51-V50,IF(A51&lt;'Données projet'!$A$36,$K$205^A51,IF(A51='Données projet'!$A$36,'Données projet'!$B$36,N50+M51-V50)))</f>
        <v>317.39999999999998</v>
      </c>
      <c r="O51" s="13">
        <f>N51*VLOOKUP('Données projet'!$B$9,Paramètres!$A$1:$I$89,3,0)*VLOOKUP('Données projet'!$B$9,Paramètres!$A$1:$I$89,5,0)</f>
        <v>189.80519999999999</v>
      </c>
      <c r="P51" s="13">
        <f t="shared" si="33"/>
        <v>47.496882766206909</v>
      </c>
      <c r="Q51" s="20">
        <f t="shared" si="53"/>
        <v>413.30112748447704</v>
      </c>
      <c r="R51" s="59">
        <f t="shared" si="0"/>
        <v>706.63446081781035</v>
      </c>
      <c r="S51" s="59">
        <f ca="1">AVERAGE(OFFSET($R$3,0,0,'Données projet'!$E$9+1,1))-AVERAGE(OFFSET($H$3,0,0,'Données projet'!$E$9+1,1))</f>
        <v>246.59447135626942</v>
      </c>
      <c r="T51" s="59">
        <f t="shared" si="34"/>
        <v>262.00382544285367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7.8007550364501501</v>
      </c>
      <c r="AB51" s="21">
        <f>EXP(-LN(2)/2)*AB50+(1-EXP(-LN(2)/2))/(LN(2)/2)*V51*Y51*VLOOKUP('Données projet'!$B$9,Paramètres!$A$1:$I$89,3,0)*0.475*44/12</f>
        <v>4.6346406003552679E-2</v>
      </c>
      <c r="AC51" s="22">
        <f t="shared" si="3"/>
        <v>7.8471014424537024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5.875</v>
      </c>
      <c r="AI51" s="13">
        <f>IF('Données projet'!$A$62&gt;35,AI50+AH51-AQ50,IF(A51&lt;'Données projet'!$A$62,$AF$205^A51,IF(A51='Données projet'!$A$62,'Données projet'!$B$62,AI50+AH51-AQ50)))</f>
        <v>275.75</v>
      </c>
      <c r="AJ51" s="13">
        <f>AI51*VLOOKUP('Données projet'!$B$10,Paramètres!$A$1:$I$89,3,0)*VLOOKUP('Données projet'!$B$10,Paramètres!$A$1:$I$89,5,0)</f>
        <v>164.89850000000001</v>
      </c>
      <c r="AK51" s="13">
        <f t="shared" si="35"/>
        <v>41.94543913753872</v>
      </c>
      <c r="AL51" s="20">
        <f t="shared" si="4"/>
        <v>360.25319399788003</v>
      </c>
      <c r="AM51" s="59">
        <f t="shared" si="5"/>
        <v>653.58652733121335</v>
      </c>
      <c r="AN51" s="59">
        <f ca="1">AVERAGE(OFFSET($AM$3,0,0,'Données projet'!$E$10+1,1))-AVERAGE(OFFSET($H$3,0,0,'Données projet'!$E$10+1,1))</f>
        <v>195.73441209602686</v>
      </c>
      <c r="AO51" s="59">
        <f t="shared" si="36"/>
        <v>219.19129224309006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4.3494514916616787</v>
      </c>
      <c r="AV51" s="21">
        <f>EXP(-LN(2)/25)*AV50+(1-EXP(-LN(2)/25))/(LN(2)/25)*Calculateur!AQ51*Calculateur!AS51*VLOOKUP('Données projet'!$B$10,Paramètres!$A$1:$I$89,3,0)*0.475*44/12</f>
        <v>7.4860470752012054</v>
      </c>
      <c r="AW51" s="21">
        <f>EXP(-LN(2)/2)*AW50+(1-EXP(-LN(2)/2))/(LN(2)/2)*AQ51*AT51*VLOOKUP('Données projet'!$B$10,Paramètres!$A$1:$I$89,3,0)*0.475*44/12</f>
        <v>1.0636117918113589E-2</v>
      </c>
      <c r="AX51" s="21">
        <f t="shared" si="6"/>
        <v>11.846134684780999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165.03552000000002</v>
      </c>
      <c r="BF51" s="13">
        <f t="shared" si="37"/>
        <v>41.976234598846517</v>
      </c>
      <c r="BG51" s="20">
        <f t="shared" si="7"/>
        <v>360.54547259299108</v>
      </c>
      <c r="BH51" s="59">
        <f t="shared" si="8"/>
        <v>653.87880592632439</v>
      </c>
      <c r="BI51" s="59">
        <f ca="1">AVERAGE(OFFSET($BH$3,0,0,'Données projet'!$E$11+1,1))-AVERAGE(OFFSET($H$3,0,0,'Données projet'!$E$11+1,1))</f>
        <v>269.19146943657933</v>
      </c>
      <c r="BJ51" s="59">
        <f t="shared" si="38"/>
        <v>185.94138814570965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1.8856071201422742</v>
      </c>
      <c r="BR51" s="21">
        <f>EXP(-LN(2)/2)*BR50+(1-EXP(-LN(2)/2))/(LN(2)/2)*BL51*BO51*VLOOKUP('Données projet'!$B$11,Paramètres!$A$1:$I$89,3,0)*0.475*44/12</f>
        <v>1.2088570028180522E-2</v>
      </c>
      <c r="BS51" s="22">
        <f t="shared" si="9"/>
        <v>1.8976956901704547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196.33536000000001</v>
      </c>
      <c r="CA51" s="13">
        <f t="shared" si="39"/>
        <v>48.937925995037986</v>
      </c>
      <c r="CB51" s="20">
        <f t="shared" si="10"/>
        <v>427.18430644135782</v>
      </c>
      <c r="CC51" s="59">
        <f t="shared" si="11"/>
        <v>720.51763977469113</v>
      </c>
      <c r="CD51" s="59">
        <f ca="1">AVERAGE(OFFSET($CC$3,0,0,'Données projet'!$E$12+1,1))-AVERAGE(OFFSET($H$3,0,0,'Données projet'!$E$12+1,1))</f>
        <v>335.12015893291874</v>
      </c>
      <c r="CE51" s="59">
        <f t="shared" si="40"/>
        <v>224.76596283033166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2.243222263617533</v>
      </c>
      <c r="CM51" s="21">
        <f>EXP(-LN(2)/2)*CM50+(1-EXP(-LN(2)/2))/(LN(2)/2)*CG51*CJ51*VLOOKUP('Données projet'!$B$12,Paramètres!$A$1:$I$89,3,0)*0.475*44/12</f>
        <v>1.4381229861111329E-2</v>
      </c>
      <c r="CN51" s="22">
        <f t="shared" si="12"/>
        <v>2.2576034934786442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8.3000000000000007</v>
      </c>
      <c r="CT51" s="12">
        <f>IF('Données projet'!$A$140&gt;35,CT50+CS51-DB50,IF(A51&lt;'Données projet'!$A$140,$CQ$205^A51,IF(A51='Données projet'!$A$140,'Données projet'!$B$140,CT50+CS51-DB50)))</f>
        <v>182.40000000000003</v>
      </c>
      <c r="CU51" s="17">
        <f>CT51*VLOOKUP('Données projet'!$B$13,Paramètres!$A$1:$I$89,3,0)*VLOOKUP('Données projet'!$B$13,Paramètres!$A$1:$I$89,5,0)</f>
        <v>176.41728000000003</v>
      </c>
      <c r="CV51" s="13">
        <f t="shared" si="41"/>
        <v>44.524166703747291</v>
      </c>
      <c r="CW51" s="20">
        <f t="shared" si="13"/>
        <v>384.80635300902651</v>
      </c>
      <c r="CX51" s="59">
        <f t="shared" si="14"/>
        <v>678.13968634235982</v>
      </c>
      <c r="CY51" s="59">
        <f ca="1">AVERAGE(OFFSET($CX$3,0,0,'Données projet'!$E$13+1,1))-AVERAGE(OFFSET($H$3,0,0,'Données projet'!$E$13+1,1))</f>
        <v>293.19327646293601</v>
      </c>
      <c r="CZ51" s="59">
        <f t="shared" si="42"/>
        <v>200.0769581869605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2.0156489904969139</v>
      </c>
      <c r="DH51" s="21">
        <f>EXP(-LN(2)/2)*DH50+(1-EXP(-LN(2)/2))/(LN(2)/2)*DB51*DE51*VLOOKUP('Données projet'!$B$13,Paramètres!$A$1:$I$89,3,0)*0.475*44/12</f>
        <v>1.2922264512882625E-2</v>
      </c>
      <c r="DI51" s="22">
        <f t="shared" si="15"/>
        <v>2.0285712550097967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</v>
      </c>
      <c r="N52" s="13">
        <f>IF('Données projet'!$A$36&gt;35,N51+M52-V51,IF(A52&lt;'Données projet'!$A$36,$K$205^A52,IF(A52='Données projet'!$A$36,'Données projet'!$B$36,N51+M52-V51)))</f>
        <v>330.2</v>
      </c>
      <c r="O52" s="13">
        <f>N52*VLOOKUP('Données projet'!$B$9,Paramètres!$A$1:$I$89,3,0)*VLOOKUP('Données projet'!$B$9,Paramètres!$A$1:$I$89,5,0)</f>
        <v>197.45959999999999</v>
      </c>
      <c r="P52" s="13">
        <f t="shared" si="33"/>
        <v>49.185450002435452</v>
      </c>
      <c r="Q52" s="20">
        <f t="shared" si="53"/>
        <v>429.57346208757502</v>
      </c>
      <c r="R52" s="59">
        <f t="shared" si="0"/>
        <v>722.90679542090834</v>
      </c>
      <c r="S52" s="59">
        <f ca="1">AVERAGE(OFFSET($R$3,0,0,'Données projet'!$E$9+1,1))-AVERAGE(OFFSET($H$3,0,0,'Données projet'!$E$9+1,1))</f>
        <v>246.59447135626942</v>
      </c>
      <c r="T52" s="59">
        <f t="shared" si="34"/>
        <v>262.00382544285367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7.5874429797545426</v>
      </c>
      <c r="AB52" s="21">
        <f>EXP(-LN(2)/2)*AB51+(1-EXP(-LN(2)/2))/(LN(2)/2)*V52*Y52*VLOOKUP('Données projet'!$B$9,Paramètres!$A$1:$I$89,3,0)*0.475*44/12</f>
        <v>3.2771857968737016E-2</v>
      </c>
      <c r="AC52" s="22">
        <f t="shared" si="3"/>
        <v>7.6202148377232799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5.875</v>
      </c>
      <c r="AI52" s="13">
        <f>IF('Données projet'!$A$62&gt;35,AI51+AH52-AQ51,IF(A52&lt;'Données projet'!$A$62,$AF$205^A52,IF(A52='Données projet'!$A$62,'Données projet'!$B$62,AI51+AH52-AQ51)))</f>
        <v>281.625</v>
      </c>
      <c r="AJ52" s="13">
        <f>AI52*VLOOKUP('Données projet'!$B$10,Paramètres!$A$1:$I$89,3,0)*VLOOKUP('Données projet'!$B$10,Paramètres!$A$1:$I$89,5,0)</f>
        <v>168.41175000000001</v>
      </c>
      <c r="AK52" s="13">
        <f t="shared" si="35"/>
        <v>42.73411432638013</v>
      </c>
      <c r="AL52" s="20">
        <f t="shared" si="4"/>
        <v>367.74571370177881</v>
      </c>
      <c r="AM52" s="59">
        <f t="shared" si="5"/>
        <v>661.07904703511213</v>
      </c>
      <c r="AN52" s="59">
        <f ca="1">AVERAGE(OFFSET($AM$3,0,0,'Données projet'!$E$10+1,1))-AVERAGE(OFFSET($H$3,0,0,'Données projet'!$E$10+1,1))</f>
        <v>195.73441209602686</v>
      </c>
      <c r="AO52" s="59">
        <f t="shared" si="36"/>
        <v>219.19129224309006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4.2641614008136504</v>
      </c>
      <c r="AV52" s="21">
        <f>EXP(-LN(2)/25)*AV51+(1-EXP(-LN(2)/25))/(LN(2)/25)*Calculateur!AQ52*Calculateur!AS52*VLOOKUP('Données projet'!$B$10,Paramètres!$A$1:$I$89,3,0)*0.475*44/12</f>
        <v>7.2813407242557222</v>
      </c>
      <c r="AW52" s="21">
        <f>EXP(-LN(2)/2)*AW51+(1-EXP(-LN(2)/2))/(LN(2)/2)*AQ52*AT52*VLOOKUP('Données projet'!$B$10,Paramètres!$A$1:$I$89,3,0)*0.475*44/12</f>
        <v>7.5208711053978633E-3</v>
      </c>
      <c r="AX52" s="21">
        <f t="shared" si="6"/>
        <v>11.55302299617477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172.54536000000004</v>
      </c>
      <c r="BF52" s="13">
        <f t="shared" si="37"/>
        <v>43.65960552772448</v>
      </c>
      <c r="BG52" s="20">
        <f t="shared" si="7"/>
        <v>376.55698162745358</v>
      </c>
      <c r="BH52" s="59">
        <f t="shared" si="8"/>
        <v>669.8903149607869</v>
      </c>
      <c r="BI52" s="59">
        <f ca="1">AVERAGE(OFFSET($BH$3,0,0,'Données projet'!$E$11+1,1))-AVERAGE(OFFSET($H$3,0,0,'Données projet'!$E$11+1,1))</f>
        <v>269.19146943657933</v>
      </c>
      <c r="BJ52" s="59">
        <f t="shared" si="38"/>
        <v>185.94138814570965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1.8340450942822148</v>
      </c>
      <c r="BR52" s="21">
        <f>EXP(-LN(2)/2)*BR51+(1-EXP(-LN(2)/2))/(LN(2)/2)*BL52*BO52*VLOOKUP('Données projet'!$B$11,Paramètres!$A$1:$I$89,3,0)*0.475*44/12</f>
        <v>8.5479098417749009E-3</v>
      </c>
      <c r="BS52" s="22">
        <f t="shared" si="9"/>
        <v>1.8425930041239897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205.26948000000004</v>
      </c>
      <c r="CA52" s="13">
        <f t="shared" si="39"/>
        <v>50.900481301079985</v>
      </c>
      <c r="CB52" s="20">
        <f t="shared" si="10"/>
        <v>446.16268259938101</v>
      </c>
      <c r="CC52" s="59">
        <f t="shared" si="11"/>
        <v>739.49601593271427</v>
      </c>
      <c r="CD52" s="59">
        <f ca="1">AVERAGE(OFFSET($CC$3,0,0,'Données projet'!$E$12+1,1))-AVERAGE(OFFSET($H$3,0,0,'Données projet'!$E$12+1,1))</f>
        <v>335.12015893291874</v>
      </c>
      <c r="CE52" s="59">
        <f t="shared" si="40"/>
        <v>224.76596283033166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2.1818812328529797</v>
      </c>
      <c r="CM52" s="21">
        <f>EXP(-LN(2)/2)*CM51+(1-EXP(-LN(2)/2))/(LN(2)/2)*CG52*CJ52*VLOOKUP('Données projet'!$B$12,Paramètres!$A$1:$I$89,3,0)*0.475*44/12</f>
        <v>1.0169065156594293E-2</v>
      </c>
      <c r="CN52" s="22">
        <f t="shared" si="12"/>
        <v>2.192050298009574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8.3000000000000007</v>
      </c>
      <c r="CT52" s="12">
        <f>IF('Données projet'!$A$140&gt;35,CT51+CS52-DB51,IF(A52&lt;'Données projet'!$A$140,$CQ$205^A52,IF(A52='Données projet'!$A$140,'Données projet'!$B$140,CT51+CS52-DB51)))</f>
        <v>190.70000000000005</v>
      </c>
      <c r="CU52" s="17">
        <f>CT52*VLOOKUP('Données projet'!$B$13,Paramètres!$A$1:$I$89,3,0)*VLOOKUP('Données projet'!$B$13,Paramètres!$A$1:$I$89,5,0)</f>
        <v>184.44504000000003</v>
      </c>
      <c r="CV52" s="13">
        <f t="shared" si="41"/>
        <v>46.309717231989865</v>
      </c>
      <c r="CW52" s="20">
        <f t="shared" si="13"/>
        <v>401.89786884571572</v>
      </c>
      <c r="CX52" s="59">
        <f t="shared" si="14"/>
        <v>695.23120217904898</v>
      </c>
      <c r="CY52" s="59">
        <f ca="1">AVERAGE(OFFSET($CX$3,0,0,'Données projet'!$E$13+1,1))-AVERAGE(OFFSET($H$3,0,0,'Données projet'!$E$13+1,1))</f>
        <v>293.19327646293601</v>
      </c>
      <c r="CZ52" s="59">
        <f t="shared" si="42"/>
        <v>200.0769581869605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1.9605309628534022</v>
      </c>
      <c r="DH52" s="21">
        <f>EXP(-LN(2)/2)*DH51+(1-EXP(-LN(2)/2))/(LN(2)/2)*DB52*DE52*VLOOKUP('Données projet'!$B$13,Paramètres!$A$1:$I$89,3,0)*0.475*44/12</f>
        <v>9.1374208653455819E-3</v>
      </c>
      <c r="DI52" s="22">
        <f t="shared" si="15"/>
        <v>1.9696683837187479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343</v>
      </c>
      <c r="L53" s="12">
        <f>VLOOKUP(A53,'Données projet'!$A$35:$I$55,9,0)</f>
        <v>12.8</v>
      </c>
      <c r="M53" s="12">
        <f t="array" ref="M53">INDEX(L:L,MIN(IF(ISNUMBER(L53:L249),ROW(L53:L249),"")))</f>
        <v>12.8</v>
      </c>
      <c r="N53" s="13">
        <f>IF('Données projet'!$A$36&gt;35,N52+M53-V52,IF(A53&lt;'Données projet'!$A$36,$K$205^A53,IF(A53='Données projet'!$A$36,'Données projet'!$B$36,N52+M53-V52)))</f>
        <v>343</v>
      </c>
      <c r="O53" s="13">
        <f>N53*VLOOKUP('Données projet'!$B$9,Paramètres!$A$1:$I$89,3,0)*VLOOKUP('Données projet'!$B$9,Paramètres!$A$1:$I$89,5,0)</f>
        <v>205.114</v>
      </c>
      <c r="P53" s="13">
        <f t="shared" si="33"/>
        <v>50.86641328088507</v>
      </c>
      <c r="Q53" s="20">
        <f t="shared" si="53"/>
        <v>445.83255313087483</v>
      </c>
      <c r="R53" s="59">
        <f t="shared" si="0"/>
        <v>739.16588646420814</v>
      </c>
      <c r="S53" s="59">
        <f ca="1">AVERAGE(OFFSET($R$3,0,0,'Données projet'!$E$9+1,1))-AVERAGE(OFFSET($H$3,0,0,'Données projet'!$E$9+1,1))</f>
        <v>246.59447135626942</v>
      </c>
      <c r="T53" s="59">
        <f t="shared" si="34"/>
        <v>262.00382544285367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7.3799639524668699</v>
      </c>
      <c r="AB53" s="21">
        <f>EXP(-LN(2)/2)*AB52+(1-EXP(-LN(2)/2))/(LN(2)/2)*V53*Y53*VLOOKUP('Données projet'!$B$9,Paramètres!$A$1:$I$89,3,0)*0.475*44/12</f>
        <v>2.3173203001776339E-2</v>
      </c>
      <c r="AC53" s="22">
        <f t="shared" si="3"/>
        <v>7.403137155468646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5.875</v>
      </c>
      <c r="AI53" s="13">
        <f>IF('Données projet'!$A$62&gt;35,AI52+AH53-AQ52,IF(A53&lt;'Données projet'!$A$62,$AF$205^A53,IF(A53='Données projet'!$A$62,'Données projet'!$B$62,AI52+AH53-AQ52)))</f>
        <v>287.5</v>
      </c>
      <c r="AJ53" s="13">
        <f>AI53*VLOOKUP('Données projet'!$B$10,Paramètres!$A$1:$I$89,3,0)*VLOOKUP('Données projet'!$B$10,Paramètres!$A$1:$I$89,5,0)</f>
        <v>171.92500000000001</v>
      </c>
      <c r="AK53" s="13">
        <f t="shared" si="35"/>
        <v>43.520876607827979</v>
      </c>
      <c r="AL53" s="20">
        <f t="shared" si="4"/>
        <v>375.23490175863367</v>
      </c>
      <c r="AM53" s="59">
        <f t="shared" si="5"/>
        <v>668.56823509196693</v>
      </c>
      <c r="AN53" s="59">
        <f ca="1">AVERAGE(OFFSET($AM$3,0,0,'Données projet'!$E$10+1,1))-AVERAGE(OFFSET($H$3,0,0,'Données projet'!$E$10+1,1))</f>
        <v>195.73441209602686</v>
      </c>
      <c r="AO53" s="59">
        <f t="shared" si="36"/>
        <v>219.19129224309006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4.1805437966253338</v>
      </c>
      <c r="AV53" s="21">
        <f>EXP(-LN(2)/25)*AV52+(1-EXP(-LN(2)/25))/(LN(2)/25)*Calculateur!AQ53*Calculateur!AS53*VLOOKUP('Données projet'!$B$10,Paramètres!$A$1:$I$89,3,0)*0.475*44/12</f>
        <v>7.0822320792418827</v>
      </c>
      <c r="AW53" s="21">
        <f>EXP(-LN(2)/2)*AW52+(1-EXP(-LN(2)/2))/(LN(2)/2)*AQ53*AT53*VLOOKUP('Données projet'!$B$10,Paramètres!$A$1:$I$89,3,0)*0.475*44/12</f>
        <v>5.3180589590567954E-3</v>
      </c>
      <c r="AX53" s="21">
        <f t="shared" si="6"/>
        <v>11.268093934826274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180.05520000000004</v>
      </c>
      <c r="BF53" s="13">
        <f t="shared" si="37"/>
        <v>45.334466930398399</v>
      </c>
      <c r="BG53" s="20">
        <f t="shared" si="7"/>
        <v>392.55366990377729</v>
      </c>
      <c r="BH53" s="59">
        <f t="shared" si="8"/>
        <v>685.88700323711055</v>
      </c>
      <c r="BI53" s="59">
        <f ca="1">AVERAGE(OFFSET($BH$3,0,0,'Données projet'!$E$11+1,1))-AVERAGE(OFFSET($H$3,0,0,'Données projet'!$E$11+1,1))</f>
        <v>269.19146943657933</v>
      </c>
      <c r="BJ53" s="59">
        <f t="shared" si="38"/>
        <v>185.94138814570965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1.7838930347308279</v>
      </c>
      <c r="BR53" s="21">
        <f>EXP(-LN(2)/2)*BR52+(1-EXP(-LN(2)/2))/(LN(2)/2)*BL53*BO53*VLOOKUP('Données projet'!$B$11,Paramètres!$A$1:$I$89,3,0)*0.475*44/12</f>
        <v>6.044285014090261E-3</v>
      </c>
      <c r="BS53" s="22">
        <f t="shared" si="9"/>
        <v>1.7899373197449182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214.20360000000005</v>
      </c>
      <c r="CA53" s="13">
        <f t="shared" si="39"/>
        <v>52.853115789602029</v>
      </c>
      <c r="CB53" s="20">
        <f t="shared" si="10"/>
        <v>465.12378000022363</v>
      </c>
      <c r="CC53" s="59">
        <f t="shared" si="11"/>
        <v>758.45711333355689</v>
      </c>
      <c r="CD53" s="59">
        <f ca="1">AVERAGE(OFFSET($CC$3,0,0,'Données projet'!$E$12+1,1))-AVERAGE(OFFSET($H$3,0,0,'Données projet'!$E$12+1,1))</f>
        <v>335.12015893291874</v>
      </c>
      <c r="CE53" s="59">
        <f t="shared" si="40"/>
        <v>224.76596283033166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2.1222175758004678</v>
      </c>
      <c r="CM53" s="21">
        <f>EXP(-LN(2)/2)*CM52+(1-EXP(-LN(2)/2))/(LN(2)/2)*CG53*CJ53*VLOOKUP('Données projet'!$B$12,Paramètres!$A$1:$I$89,3,0)*0.475*44/12</f>
        <v>7.1906149305556661E-3</v>
      </c>
      <c r="CN53" s="22">
        <f t="shared" si="12"/>
        <v>2.1294081907310236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199</v>
      </c>
      <c r="CR53" s="12">
        <f>VLOOKUP(A53,'Données projet'!$A$139:$I$159,9,0)</f>
        <v>8.3000000000000007</v>
      </c>
      <c r="CS53" s="12">
        <f t="array" ref="CS53">INDEX(CR:CR,MIN(IF(ISNUMBER(CR53:CR249),ROW(CR53:CR249),"")))</f>
        <v>8.3000000000000007</v>
      </c>
      <c r="CT53" s="12">
        <f>IF('Données projet'!$A$140&gt;35,CT52+CS53-DB52,IF(A53&lt;'Données projet'!$A$140,$CQ$205^A53,IF(A53='Données projet'!$A$140,'Données projet'!$B$140,CT52+CS53-DB52)))</f>
        <v>199.00000000000006</v>
      </c>
      <c r="CU53" s="17">
        <f>CT53*VLOOKUP('Données projet'!$B$13,Paramètres!$A$1:$I$89,3,0)*VLOOKUP('Données projet'!$B$13,Paramètres!$A$1:$I$89,5,0)</f>
        <v>192.47280000000006</v>
      </c>
      <c r="CV53" s="13">
        <f t="shared" si="41"/>
        <v>48.086241710923829</v>
      </c>
      <c r="CW53" s="20">
        <f t="shared" si="13"/>
        <v>418.97366431319239</v>
      </c>
      <c r="CX53" s="59">
        <f t="shared" si="14"/>
        <v>712.3069976465257</v>
      </c>
      <c r="CY53" s="59">
        <f ca="1">AVERAGE(OFFSET($CX$3,0,0,'Données projet'!$E$13+1,1))-AVERAGE(OFFSET($H$3,0,0,'Données projet'!$E$13+1,1))</f>
        <v>293.19327646293601</v>
      </c>
      <c r="CZ53" s="59">
        <f t="shared" si="42"/>
        <v>200.0769581869605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42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1.9069201405743335</v>
      </c>
      <c r="DH53" s="21">
        <f>EXP(-LN(2)/2)*DH52+(1-EXP(-LN(2)/2))/(LN(2)/2)*DB53*DE53*VLOOKUP('Données projet'!$B$13,Paramètres!$A$1:$I$89,3,0)*0.475*44/12</f>
        <v>6.4611322564413123E-3</v>
      </c>
      <c r="DI53" s="22">
        <f t="shared" si="15"/>
        <v>1.9133812728307749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11.4</v>
      </c>
      <c r="N54" s="13">
        <f>IF('Données projet'!$A$36&gt;35,N53+M54-V53,IF(A54&lt;'Données projet'!$A$36,$K$205^A54,IF(A54='Données projet'!$A$36,'Données projet'!$B$36,N53+M54-V53)))</f>
        <v>284.39999999999998</v>
      </c>
      <c r="O54" s="13">
        <f>N54*VLOOKUP('Données projet'!$B$9,Paramètres!$A$1:$I$89,3,0)*VLOOKUP('Données projet'!$B$9,Paramètres!$A$1:$I$89,5,0)</f>
        <v>170.07119999999998</v>
      </c>
      <c r="P54" s="13">
        <f t="shared" si="33"/>
        <v>43.105969628155904</v>
      </c>
      <c r="Q54" s="20">
        <f t="shared" si="53"/>
        <v>371.2835704357048</v>
      </c>
      <c r="R54" s="59">
        <f t="shared" si="0"/>
        <v>664.61690376903812</v>
      </c>
      <c r="S54" s="59">
        <f ca="1">AVERAGE(OFFSET($R$3,0,0,'Données projet'!$E$9+1,1))-AVERAGE(OFFSET($H$3,0,0,'Données projet'!$E$9+1,1))</f>
        <v>246.59447135626942</v>
      </c>
      <c r="T54" s="59">
        <f t="shared" si="34"/>
        <v>262.00382544285367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7.1781584500912263</v>
      </c>
      <c r="AB54" s="21">
        <f>EXP(-LN(2)/2)*AB53+(1-EXP(-LN(2)/2))/(LN(2)/2)*V54*Y54*VLOOKUP('Données projet'!$B$9,Paramètres!$A$1:$I$89,3,0)*0.475*44/12</f>
        <v>1.6385928984368508E-2</v>
      </c>
      <c r="AC54" s="22">
        <f t="shared" si="3"/>
        <v>7.1945443790755945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5.875</v>
      </c>
      <c r="AI54" s="13">
        <f>IF('Données projet'!$A$62&gt;35,AI53+AH54-AQ53,IF(A54&lt;'Données projet'!$A$62,$AF$205^A54,IF(A54='Données projet'!$A$62,'Données projet'!$B$62,AI53+AH54-AQ53)))</f>
        <v>293.375</v>
      </c>
      <c r="AJ54" s="13">
        <f>AI54*VLOOKUP('Données projet'!$B$10,Paramètres!$A$1:$I$89,3,0)*VLOOKUP('Données projet'!$B$10,Paramètres!$A$1:$I$89,5,0)</f>
        <v>175.43825000000004</v>
      </c>
      <c r="AK54" s="13">
        <f t="shared" si="35"/>
        <v>44.305769576051844</v>
      </c>
      <c r="AL54" s="20">
        <f t="shared" si="4"/>
        <v>382.72083409495696</v>
      </c>
      <c r="AM54" s="59">
        <f t="shared" si="5"/>
        <v>676.05416742829027</v>
      </c>
      <c r="AN54" s="59">
        <f ca="1">AVERAGE(OFFSET($AM$3,0,0,'Données projet'!$E$10+1,1))-AVERAGE(OFFSET($H$3,0,0,'Données projet'!$E$10+1,1))</f>
        <v>195.73441209602686</v>
      </c>
      <c r="AO54" s="59">
        <f t="shared" si="36"/>
        <v>219.19129224309006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4.098565882653447</v>
      </c>
      <c r="AV54" s="21">
        <f>EXP(-LN(2)/25)*AV53+(1-EXP(-LN(2)/25))/(LN(2)/25)*Calculateur!AQ54*Calculateur!AS54*VLOOKUP('Données projet'!$B$10,Paramètres!$A$1:$I$89,3,0)*0.475*44/12</f>
        <v>6.888568070596615</v>
      </c>
      <c r="AW54" s="21">
        <f>EXP(-LN(2)/2)*AW53+(1-EXP(-LN(2)/2))/(LN(2)/2)*AQ54*AT54*VLOOKUP('Données projet'!$B$10,Paramètres!$A$1:$I$89,3,0)*0.475*44/12</f>
        <v>3.7604355526989325E-3</v>
      </c>
      <c r="AX54" s="21">
        <f t="shared" si="6"/>
        <v>10.990894388802761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149.11104000000006</v>
      </c>
      <c r="BF54" s="13">
        <f t="shared" si="37"/>
        <v>38.376496436982386</v>
      </c>
      <c r="BG54" s="20">
        <f t="shared" si="7"/>
        <v>326.54079262774445</v>
      </c>
      <c r="BH54" s="59">
        <f t="shared" si="8"/>
        <v>619.87412596107777</v>
      </c>
      <c r="BI54" s="59">
        <f ca="1">AVERAGE(OFFSET($BH$3,0,0,'Données projet'!$E$11+1,1))-AVERAGE(OFFSET($H$3,0,0,'Données projet'!$E$11+1,1))</f>
        <v>269.19146943657933</v>
      </c>
      <c r="BJ54" s="59">
        <f t="shared" si="38"/>
        <v>185.94138814570965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1.735112385885256</v>
      </c>
      <c r="BR54" s="21">
        <f>EXP(-LN(2)/2)*BR53+(1-EXP(-LN(2)/2))/(LN(2)/2)*BL54*BO54*VLOOKUP('Données projet'!$B$11,Paramètres!$A$1:$I$89,3,0)*0.475*44/12</f>
        <v>4.2739549208874504E-3</v>
      </c>
      <c r="BS54" s="22">
        <f t="shared" si="9"/>
        <v>1.7393863408061434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177.39072000000004</v>
      </c>
      <c r="CA54" s="13">
        <f t="shared" si="39"/>
        <v>44.741177014326411</v>
      </c>
      <c r="CB54" s="20">
        <f t="shared" si="10"/>
        <v>386.87972063328522</v>
      </c>
      <c r="CC54" s="59">
        <f t="shared" si="11"/>
        <v>680.21305396661853</v>
      </c>
      <c r="CD54" s="59">
        <f ca="1">AVERAGE(OFFSET($CC$3,0,0,'Données projet'!$E$12+1,1))-AVERAGE(OFFSET($H$3,0,0,'Données projet'!$E$12+1,1))</f>
        <v>335.12015893291874</v>
      </c>
      <c r="CE54" s="59">
        <f t="shared" si="40"/>
        <v>224.76596283033166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2.0641854245876319</v>
      </c>
      <c r="CM54" s="21">
        <f>EXP(-LN(2)/2)*CM53+(1-EXP(-LN(2)/2))/(LN(2)/2)*CG54*CJ54*VLOOKUP('Données projet'!$B$12,Paramètres!$A$1:$I$89,3,0)*0.475*44/12</f>
        <v>5.0845325782971473E-3</v>
      </c>
      <c r="CN54" s="22">
        <f t="shared" si="12"/>
        <v>2.069269957165929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7.8</v>
      </c>
      <c r="CT54" s="12">
        <f>IF('Données projet'!$A$140&gt;35,CT53+CS54-DB53,IF(A54&lt;'Données projet'!$A$140,$CQ$205^A54,IF(A54='Données projet'!$A$140,'Données projet'!$B$140,CT53+CS54-DB53)))</f>
        <v>164.80000000000007</v>
      </c>
      <c r="CU54" s="17">
        <f>CT54*VLOOKUP('Données projet'!$B$13,Paramètres!$A$1:$I$89,3,0)*VLOOKUP('Données projet'!$B$13,Paramètres!$A$1:$I$89,5,0)</f>
        <v>159.39456000000007</v>
      </c>
      <c r="CV54" s="13">
        <f t="shared" si="41"/>
        <v>40.70592660812224</v>
      </c>
      <c r="CW54" s="20">
        <f t="shared" si="13"/>
        <v>348.5083475091464</v>
      </c>
      <c r="CX54" s="59">
        <f t="shared" si="14"/>
        <v>641.84168084247972</v>
      </c>
      <c r="CY54" s="59">
        <f ca="1">AVERAGE(OFFSET($CX$3,0,0,'Données projet'!$E$13+1,1))-AVERAGE(OFFSET($H$3,0,0,'Données projet'!$E$13+1,1))</f>
        <v>293.19327646293601</v>
      </c>
      <c r="CZ54" s="59">
        <f t="shared" si="42"/>
        <v>200.0769581869605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1.8547753090497565</v>
      </c>
      <c r="DH54" s="21">
        <f>EXP(-LN(2)/2)*DH53+(1-EXP(-LN(2)/2))/(LN(2)/2)*DB54*DE54*VLOOKUP('Données projet'!$B$13,Paramètres!$A$1:$I$89,3,0)*0.475*44/12</f>
        <v>4.568710432672791E-3</v>
      </c>
      <c r="DI54" s="22">
        <f t="shared" si="15"/>
        <v>1.8593440194824293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11.4</v>
      </c>
      <c r="N55" s="13">
        <f>IF('Données projet'!$A$36&gt;35,N54+M55-V54,IF(A55&lt;'Données projet'!$A$36,$K$205^A55,IF(A55='Données projet'!$A$36,'Données projet'!$B$36,N54+M55-V54)))</f>
        <v>295.79999999999995</v>
      </c>
      <c r="O55" s="13">
        <f>N55*VLOOKUP('Données projet'!$B$9,Paramètres!$A$1:$I$89,3,0)*VLOOKUP('Données projet'!$B$9,Paramètres!$A$1:$I$89,5,0)</f>
        <v>176.88839999999999</v>
      </c>
      <c r="P55" s="13">
        <f t="shared" si="33"/>
        <v>44.629211487047861</v>
      </c>
      <c r="Q55" s="20">
        <f t="shared" si="53"/>
        <v>385.80984000660828</v>
      </c>
      <c r="R55" s="59">
        <f t="shared" si="0"/>
        <v>679.14317333994154</v>
      </c>
      <c r="S55" s="59">
        <f ca="1">AVERAGE(OFFSET($R$3,0,0,'Données projet'!$E$9+1,1))-AVERAGE(OFFSET($H$3,0,0,'Données projet'!$E$9+1,1))</f>
        <v>246.59447135626942</v>
      </c>
      <c r="T55" s="59">
        <f t="shared" si="34"/>
        <v>262.00382544285367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6.9818713297905344</v>
      </c>
      <c r="AB55" s="21">
        <f>EXP(-LN(2)/2)*AB54+(1-EXP(-LN(2)/2))/(LN(2)/2)*V55*Y55*VLOOKUP('Données projet'!$B$9,Paramètres!$A$1:$I$89,3,0)*0.475*44/12</f>
        <v>1.158660150088817E-2</v>
      </c>
      <c r="AC55" s="22">
        <f t="shared" si="3"/>
        <v>6.9934579312914229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5.875</v>
      </c>
      <c r="AI55" s="13">
        <f>IF('Données projet'!$A$62&gt;35,AI54+AH55-AQ54,IF(A55&lt;'Données projet'!$A$62,$AF$205^A55,IF(A55='Données projet'!$A$62,'Données projet'!$B$62,AI54+AH55-AQ54)))</f>
        <v>299.25</v>
      </c>
      <c r="AJ55" s="13">
        <f>AI55*VLOOKUP('Données projet'!$B$10,Paramètres!$A$1:$I$89,3,0)*VLOOKUP('Données projet'!$B$10,Paramètres!$A$1:$I$89,5,0)</f>
        <v>178.95150000000001</v>
      </c>
      <c r="AK55" s="13">
        <f t="shared" si="35"/>
        <v>45.088834979390157</v>
      </c>
      <c r="AL55" s="20">
        <f t="shared" si="4"/>
        <v>390.20358342243782</v>
      </c>
      <c r="AM55" s="59">
        <f t="shared" si="5"/>
        <v>683.53691675577113</v>
      </c>
      <c r="AN55" s="59">
        <f ca="1">AVERAGE(OFFSET($AM$3,0,0,'Données projet'!$E$10+1,1))-AVERAGE(OFFSET($H$3,0,0,'Données projet'!$E$10+1,1))</f>
        <v>195.73441209602686</v>
      </c>
      <c r="AO55" s="59">
        <f t="shared" si="36"/>
        <v>219.19129224309006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4.018195505572959</v>
      </c>
      <c r="AV55" s="21">
        <f>EXP(-LN(2)/25)*AV54+(1-EXP(-LN(2)/25))/(LN(2)/25)*Calculateur!AQ55*Calculateur!AS55*VLOOKUP('Données projet'!$B$10,Paramètres!$A$1:$I$89,3,0)*0.475*44/12</f>
        <v>6.7001998144521</v>
      </c>
      <c r="AW55" s="21">
        <f>EXP(-LN(2)/2)*AW54+(1-EXP(-LN(2)/2))/(LN(2)/2)*AQ55*AT55*VLOOKUP('Données projet'!$B$10,Paramètres!$A$1:$I$89,3,0)*0.475*44/12</f>
        <v>2.6590294795283981E-3</v>
      </c>
      <c r="AX55" s="21">
        <f t="shared" si="6"/>
        <v>10.721054349504588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156.16848000000005</v>
      </c>
      <c r="BF55" s="13">
        <f t="shared" si="37"/>
        <v>39.977090041212335</v>
      </c>
      <c r="BG55" s="20">
        <f t="shared" si="7"/>
        <v>341.62020115511154</v>
      </c>
      <c r="BH55" s="59">
        <f t="shared" si="8"/>
        <v>634.9535344884448</v>
      </c>
      <c r="BI55" s="59">
        <f ca="1">AVERAGE(OFFSET($BH$3,0,0,'Données projet'!$E$11+1,1))-AVERAGE(OFFSET($H$3,0,0,'Données projet'!$E$11+1,1))</f>
        <v>269.19146943657933</v>
      </c>
      <c r="BJ55" s="59">
        <f t="shared" si="38"/>
        <v>185.94138814570965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1.687665646447629</v>
      </c>
      <c r="BR55" s="21">
        <f>EXP(-LN(2)/2)*BR54+(1-EXP(-LN(2)/2))/(LN(2)/2)*BL55*BO55*VLOOKUP('Données projet'!$B$11,Paramètres!$A$1:$I$89,3,0)*0.475*44/12</f>
        <v>3.0221425070451305E-3</v>
      </c>
      <c r="BS55" s="22">
        <f t="shared" si="9"/>
        <v>1.6906877889546741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185.78664000000009</v>
      </c>
      <c r="CA55" s="13">
        <f t="shared" si="39"/>
        <v>46.607226508772698</v>
      </c>
      <c r="CB55" s="20">
        <f t="shared" si="10"/>
        <v>404.75265083611265</v>
      </c>
      <c r="CC55" s="59">
        <f t="shared" si="11"/>
        <v>698.08598416944596</v>
      </c>
      <c r="CD55" s="59">
        <f ca="1">AVERAGE(OFFSET($CC$3,0,0,'Données projet'!$E$12+1,1))-AVERAGE(OFFSET($H$3,0,0,'Données projet'!$E$12+1,1))</f>
        <v>335.12015893291874</v>
      </c>
      <c r="CE55" s="59">
        <f t="shared" si="40"/>
        <v>224.76596283033166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2.0077401656014895</v>
      </c>
      <c r="CM55" s="21">
        <f>EXP(-LN(2)/2)*CM54+(1-EXP(-LN(2)/2))/(LN(2)/2)*CG55*CJ55*VLOOKUP('Données projet'!$B$12,Paramètres!$A$1:$I$89,3,0)*0.475*44/12</f>
        <v>3.5953074652778335E-3</v>
      </c>
      <c r="CN55" s="22">
        <f t="shared" si="12"/>
        <v>2.0113354730667674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7.8</v>
      </c>
      <c r="CT55" s="12">
        <f>IF('Données projet'!$A$140&gt;35,CT54+CS55-DB54,IF(A55&lt;'Données projet'!$A$140,$CQ$205^A55,IF(A55='Données projet'!$A$140,'Données projet'!$B$140,CT54+CS55-DB54)))</f>
        <v>172.60000000000008</v>
      </c>
      <c r="CU55" s="17">
        <f>CT55*VLOOKUP('Données projet'!$B$13,Paramètres!$A$1:$I$89,3,0)*VLOOKUP('Données projet'!$B$13,Paramètres!$A$1:$I$89,5,0)</f>
        <v>166.93872000000007</v>
      </c>
      <c r="CV55" s="13">
        <f t="shared" si="41"/>
        <v>42.403675278071923</v>
      </c>
      <c r="CW55" s="20">
        <f t="shared" si="13"/>
        <v>364.60467177597531</v>
      </c>
      <c r="CX55" s="59">
        <f t="shared" si="14"/>
        <v>657.93800510930862</v>
      </c>
      <c r="CY55" s="59">
        <f ca="1">AVERAGE(OFFSET($CX$3,0,0,'Données projet'!$E$13+1,1))-AVERAGE(OFFSET($H$3,0,0,'Données projet'!$E$13+1,1))</f>
        <v>293.19327646293601</v>
      </c>
      <c r="CZ55" s="59">
        <f t="shared" si="42"/>
        <v>200.0769581869605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1.8040563806853966</v>
      </c>
      <c r="DH55" s="21">
        <f>EXP(-LN(2)/2)*DH54+(1-EXP(-LN(2)/2))/(LN(2)/2)*DB55*DE55*VLOOKUP('Données projet'!$B$13,Paramètres!$A$1:$I$89,3,0)*0.475*44/12</f>
        <v>3.2305661282206561E-3</v>
      </c>
      <c r="DI55" s="22">
        <f t="shared" si="15"/>
        <v>1.8072869468136172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11.4</v>
      </c>
      <c r="N56" s="13">
        <f>IF('Données projet'!$A$36&gt;35,N55+M56-V55,IF(A56&lt;'Données projet'!$A$36,$K$205^A56,IF(A56='Données projet'!$A$36,'Données projet'!$B$36,N55+M56-V55)))</f>
        <v>307.19999999999993</v>
      </c>
      <c r="O56" s="13">
        <f>N56*VLOOKUP('Données projet'!$B$9,Paramètres!$A$1:$I$89,3,0)*VLOOKUP('Données projet'!$B$9,Paramètres!$A$1:$I$89,5,0)</f>
        <v>183.70559999999998</v>
      </c>
      <c r="P56" s="13">
        <f t="shared" si="33"/>
        <v>46.145633597806309</v>
      </c>
      <c r="Q56" s="20">
        <f t="shared" si="53"/>
        <v>400.32423184951267</v>
      </c>
      <c r="R56" s="59">
        <f t="shared" si="0"/>
        <v>693.65756518284593</v>
      </c>
      <c r="S56" s="59">
        <f ca="1">AVERAGE(OFFSET($R$3,0,0,'Données projet'!$E$9+1,1))-AVERAGE(OFFSET($H$3,0,0,'Données projet'!$E$9+1,1))</f>
        <v>246.59447135626942</v>
      </c>
      <c r="T56" s="59">
        <f t="shared" si="34"/>
        <v>262.00382544285367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6.7909516911167565</v>
      </c>
      <c r="AB56" s="21">
        <f>EXP(-LN(2)/2)*AB55+(1-EXP(-LN(2)/2))/(LN(2)/2)*V56*Y56*VLOOKUP('Données projet'!$B$9,Paramètres!$A$1:$I$89,3,0)*0.475*44/12</f>
        <v>8.1929644921842539E-3</v>
      </c>
      <c r="AC56" s="22">
        <f t="shared" si="3"/>
        <v>6.7991446556089405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5.875</v>
      </c>
      <c r="AI56" s="13">
        <f>IF('Données projet'!$A$62&gt;35,AI55+AH56-AQ55,IF(A56&lt;'Données projet'!$A$62,$AF$205^A56,IF(A56='Données projet'!$A$62,'Données projet'!$B$62,AI55+AH56-AQ55)))</f>
        <v>305.125</v>
      </c>
      <c r="AJ56" s="13">
        <f>AI56*VLOOKUP('Données projet'!$B$10,Paramètres!$A$1:$I$89,3,0)*VLOOKUP('Données projet'!$B$10,Paramètres!$A$1:$I$89,5,0)</f>
        <v>182.46475000000004</v>
      </c>
      <c r="AK56" s="13">
        <f t="shared" si="35"/>
        <v>45.870112833182944</v>
      </c>
      <c r="AL56" s="20">
        <f t="shared" si="4"/>
        <v>397.68321943446034</v>
      </c>
      <c r="AM56" s="59">
        <f t="shared" si="5"/>
        <v>691.01655276779366</v>
      </c>
      <c r="AN56" s="59">
        <f ca="1">AVERAGE(OFFSET($AM$3,0,0,'Données projet'!$E$10+1,1))-AVERAGE(OFFSET($H$3,0,0,'Données projet'!$E$10+1,1))</f>
        <v>195.73441209602686</v>
      </c>
      <c r="AO56" s="59">
        <f t="shared" si="36"/>
        <v>219.19129224309006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3.9394011425659294</v>
      </c>
      <c r="AV56" s="21">
        <f>EXP(-LN(2)/25)*AV55+(1-EXP(-LN(2)/25))/(LN(2)/25)*Calculateur!AQ56*Calculateur!AS56*VLOOKUP('Données projet'!$B$10,Paramètres!$A$1:$I$89,3,0)*0.475*44/12</f>
        <v>6.5169824981777129</v>
      </c>
      <c r="AW56" s="21">
        <f>EXP(-LN(2)/2)*AW55+(1-EXP(-LN(2)/2))/(LN(2)/2)*AQ56*AT56*VLOOKUP('Données projet'!$B$10,Paramètres!$A$1:$I$89,3,0)*0.475*44/12</f>
        <v>1.8802177763494665E-3</v>
      </c>
      <c r="AX56" s="21">
        <f t="shared" si="6"/>
        <v>10.458263858519992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163.22592000000009</v>
      </c>
      <c r="BF56" s="13">
        <f t="shared" si="37"/>
        <v>41.569283201466128</v>
      </c>
      <c r="BG56" s="20">
        <f t="shared" si="7"/>
        <v>356.68497890922026</v>
      </c>
      <c r="BH56" s="59">
        <f t="shared" si="8"/>
        <v>650.01831224255352</v>
      </c>
      <c r="BI56" s="59">
        <f ca="1">AVERAGE(OFFSET($BH$3,0,0,'Données projet'!$E$11+1,1))-AVERAGE(OFFSET($H$3,0,0,'Données projet'!$E$11+1,1))</f>
        <v>269.19146943657933</v>
      </c>
      <c r="BJ56" s="59">
        <f t="shared" si="38"/>
        <v>185.94138814570965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1.6415163405950395</v>
      </c>
      <c r="BR56" s="21">
        <f>EXP(-LN(2)/2)*BR55+(1-EXP(-LN(2)/2))/(LN(2)/2)*BL56*BO56*VLOOKUP('Données projet'!$B$11,Paramètres!$A$1:$I$89,3,0)*0.475*44/12</f>
        <v>2.1369774604437252E-3</v>
      </c>
      <c r="BS56" s="22">
        <f t="shared" si="9"/>
        <v>1.6436533180554833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194.18256000000008</v>
      </c>
      <c r="CA56" s="13">
        <f t="shared" si="39"/>
        <v>48.463482359040057</v>
      </c>
      <c r="CB56" s="20">
        <f t="shared" si="10"/>
        <v>422.60852377532825</v>
      </c>
      <c r="CC56" s="59">
        <f t="shared" si="11"/>
        <v>715.94185710866157</v>
      </c>
      <c r="CD56" s="59">
        <f ca="1">AVERAGE(OFFSET($CC$3,0,0,'Données projet'!$E$12+1,1))-AVERAGE(OFFSET($H$3,0,0,'Données projet'!$E$12+1,1))</f>
        <v>335.12015893291874</v>
      </c>
      <c r="CE56" s="59">
        <f t="shared" si="40"/>
        <v>224.76596283033166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1.9528384051906502</v>
      </c>
      <c r="CM56" s="21">
        <f>EXP(-LN(2)/2)*CM55+(1-EXP(-LN(2)/2))/(LN(2)/2)*CG56*CJ56*VLOOKUP('Données projet'!$B$12,Paramètres!$A$1:$I$89,3,0)*0.475*44/12</f>
        <v>2.5422662891485741E-3</v>
      </c>
      <c r="CN56" s="22">
        <f t="shared" si="12"/>
        <v>1.9553806714797988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7.8</v>
      </c>
      <c r="CT56" s="12">
        <f>IF('Données projet'!$A$140&gt;35,CT55+CS56-DB55,IF(A56&lt;'Données projet'!$A$140,$CQ$205^A56,IF(A56='Données projet'!$A$140,'Données projet'!$B$140,CT55+CS56-DB55)))</f>
        <v>180.40000000000009</v>
      </c>
      <c r="CU56" s="17">
        <f>CT56*VLOOKUP('Données projet'!$B$13,Paramètres!$A$1:$I$89,3,0)*VLOOKUP('Données projet'!$B$13,Paramètres!$A$1:$I$89,5,0)</f>
        <v>174.48288000000008</v>
      </c>
      <c r="CV56" s="13">
        <f t="shared" si="41"/>
        <v>44.092513602166207</v>
      </c>
      <c r="CW56" s="20">
        <f t="shared" si="13"/>
        <v>380.6854771904396</v>
      </c>
      <c r="CX56" s="59">
        <f t="shared" si="14"/>
        <v>674.01881052377291</v>
      </c>
      <c r="CY56" s="59">
        <f ca="1">AVERAGE(OFFSET($CX$3,0,0,'Données projet'!$E$13+1,1))-AVERAGE(OFFSET($H$3,0,0,'Données projet'!$E$13+1,1))</f>
        <v>293.19327646293601</v>
      </c>
      <c r="CZ56" s="59">
        <f t="shared" si="42"/>
        <v>200.0769581869605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1.7547243640843526</v>
      </c>
      <c r="DH56" s="21">
        <f>EXP(-LN(2)/2)*DH55+(1-EXP(-LN(2)/2))/(LN(2)/2)*DB56*DE56*VLOOKUP('Données projet'!$B$13,Paramètres!$A$1:$I$89,3,0)*0.475*44/12</f>
        <v>2.2843552163363955E-3</v>
      </c>
      <c r="DI56" s="22">
        <f t="shared" si="15"/>
        <v>1.7570087193006889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11.4</v>
      </c>
      <c r="N57" s="13">
        <f>IF('Données projet'!$A$36&gt;35,N56+M57-V56,IF(A57&lt;'Données projet'!$A$36,$K$205^A57,IF(A57='Données projet'!$A$36,'Données projet'!$B$36,N56+M57-V56)))</f>
        <v>318.59999999999991</v>
      </c>
      <c r="O57" s="13">
        <f>N57*VLOOKUP('Données projet'!$B$9,Paramètres!$A$1:$I$89,3,0)*VLOOKUP('Données projet'!$B$9,Paramètres!$A$1:$I$89,5,0)</f>
        <v>190.52279999999996</v>
      </c>
      <c r="P57" s="13">
        <f t="shared" si="33"/>
        <v>47.655518017541539</v>
      </c>
      <c r="Q57" s="20">
        <f t="shared" si="53"/>
        <v>414.82723721388476</v>
      </c>
      <c r="R57" s="59">
        <f t="shared" si="0"/>
        <v>708.16057054721807</v>
      </c>
      <c r="S57" s="59">
        <f ca="1">AVERAGE(OFFSET($R$3,0,0,'Données projet'!$E$9+1,1))-AVERAGE(OFFSET($H$3,0,0,'Données projet'!$E$9+1,1))</f>
        <v>246.59447135626942</v>
      </c>
      <c r="T57" s="59">
        <f t="shared" si="34"/>
        <v>262.00382544285367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6.6052527600025401</v>
      </c>
      <c r="AB57" s="21">
        <f>EXP(-LN(2)/2)*AB56+(1-EXP(-LN(2)/2))/(LN(2)/2)*V57*Y57*VLOOKUP('Données projet'!$B$9,Paramètres!$A$1:$I$89,3,0)*0.475*44/12</f>
        <v>5.7933007504440848E-3</v>
      </c>
      <c r="AC57" s="22">
        <f t="shared" si="3"/>
        <v>6.611046060752984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311</v>
      </c>
      <c r="AG57" s="12">
        <f>VLOOKUP(A57,'Données projet'!$A$61:$I$81,9,0)</f>
        <v>5.875</v>
      </c>
      <c r="AH57" s="12">
        <f t="array" ref="AH57">INDEX(AG:AG,MIN(IF(ISNUMBER(AG57:AG253),ROW(AG57:AG253),"")))</f>
        <v>5.875</v>
      </c>
      <c r="AI57" s="13">
        <f>IF('Données projet'!$A$62&gt;35,AI56+AH57-AQ56,IF(A57&lt;'Données projet'!$A$62,$AF$205^A57,IF(A57='Données projet'!$A$62,'Données projet'!$B$62,AI56+AH57-AQ56)))</f>
        <v>311</v>
      </c>
      <c r="AJ57" s="13">
        <f>AI57*VLOOKUP('Données projet'!$B$10,Paramètres!$A$1:$I$89,3,0)*VLOOKUP('Données projet'!$B$10,Paramètres!$A$1:$I$89,5,0)</f>
        <v>185.97800000000001</v>
      </c>
      <c r="AK57" s="13">
        <f t="shared" si="35"/>
        <v>46.649641523668571</v>
      </c>
      <c r="AL57" s="20">
        <f t="shared" si="4"/>
        <v>405.15980898705612</v>
      </c>
      <c r="AM57" s="59">
        <f t="shared" si="5"/>
        <v>698.49314232038944</v>
      </c>
      <c r="AN57" s="59">
        <f ca="1">AVERAGE(OFFSET($AM$3,0,0,'Données projet'!$E$10+1,1))-AVERAGE(OFFSET($H$3,0,0,'Données projet'!$E$10+1,1))</f>
        <v>195.73441209602686</v>
      </c>
      <c r="AO57" s="59">
        <f t="shared" si="36"/>
        <v>219.19129224309006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16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3.8621518889576518</v>
      </c>
      <c r="AV57" s="21">
        <f>EXP(-LN(2)/25)*AV56+(1-EXP(-LN(2)/25))/(LN(2)/25)*Calculateur!AQ57*Calculateur!AS57*VLOOKUP('Données projet'!$B$10,Paramètres!$A$1:$I$89,3,0)*0.475*44/12</f>
        <v>6.3387752690518289</v>
      </c>
      <c r="AW57" s="21">
        <f>EXP(-LN(2)/2)*AW56+(1-EXP(-LN(2)/2))/(LN(2)/2)*AQ57*AT57*VLOOKUP('Données projet'!$B$10,Paramètres!$A$1:$I$89,3,0)*0.475*44/12</f>
        <v>1.3295147397641993E-3</v>
      </c>
      <c r="AX57" s="21">
        <f t="shared" si="6"/>
        <v>10.202256672749245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170.28336000000007</v>
      </c>
      <c r="BF57" s="13">
        <f t="shared" si="37"/>
        <v>43.153480646462619</v>
      </c>
      <c r="BG57" s="20">
        <f t="shared" si="7"/>
        <v>371.73583079258918</v>
      </c>
      <c r="BH57" s="59">
        <f t="shared" si="8"/>
        <v>665.0691641259225</v>
      </c>
      <c r="BI57" s="59">
        <f ca="1">AVERAGE(OFFSET($BH$3,0,0,'Données projet'!$E$11+1,1))-AVERAGE(OFFSET($H$3,0,0,'Données projet'!$E$11+1,1))</f>
        <v>269.19146943657933</v>
      </c>
      <c r="BJ57" s="59">
        <f t="shared" si="38"/>
        <v>185.94138814570965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1.5966289899378756</v>
      </c>
      <c r="BR57" s="21">
        <f>EXP(-LN(2)/2)*BR56+(1-EXP(-LN(2)/2))/(LN(2)/2)*BL57*BO57*VLOOKUP('Données projet'!$B$11,Paramètres!$A$1:$I$89,3,0)*0.475*44/12</f>
        <v>1.5110712535225653E-3</v>
      </c>
      <c r="BS57" s="22">
        <f t="shared" si="9"/>
        <v>1.5981400611913981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202.5784800000001</v>
      </c>
      <c r="CA57" s="13">
        <f t="shared" si="39"/>
        <v>50.310416417458406</v>
      </c>
      <c r="CB57" s="20">
        <f t="shared" si="10"/>
        <v>440.44816126040695</v>
      </c>
      <c r="CC57" s="59">
        <f t="shared" si="11"/>
        <v>733.78149459374026</v>
      </c>
      <c r="CD57" s="59">
        <f ca="1">AVERAGE(OFFSET($CC$3,0,0,'Données projet'!$E$12+1,1))-AVERAGE(OFFSET($H$3,0,0,'Données projet'!$E$12+1,1))</f>
        <v>335.12015893291874</v>
      </c>
      <c r="CE57" s="59">
        <f t="shared" si="40"/>
        <v>224.76596283033166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1.8994379363054035</v>
      </c>
      <c r="CM57" s="21">
        <f>EXP(-LN(2)/2)*CM56+(1-EXP(-LN(2)/2))/(LN(2)/2)*CG57*CJ57*VLOOKUP('Données projet'!$B$12,Paramètres!$A$1:$I$89,3,0)*0.475*44/12</f>
        <v>1.7976537326389169E-3</v>
      </c>
      <c r="CN57" s="22">
        <f t="shared" si="12"/>
        <v>1.9012355900380424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7.8</v>
      </c>
      <c r="CT57" s="12">
        <f>IF('Données projet'!$A$140&gt;35,CT56+CS57-DB56,IF(A57&lt;'Données projet'!$A$140,$CQ$205^A57,IF(A57='Données projet'!$A$140,'Données projet'!$B$140,CT56+CS57-DB56)))</f>
        <v>188.2000000000001</v>
      </c>
      <c r="CU57" s="17">
        <f>CT57*VLOOKUP('Données projet'!$B$13,Paramètres!$A$1:$I$89,3,0)*VLOOKUP('Données projet'!$B$13,Paramètres!$A$1:$I$89,5,0)</f>
        <v>182.02704000000011</v>
      </c>
      <c r="CV57" s="13">
        <f t="shared" si="41"/>
        <v>45.772870875913057</v>
      </c>
      <c r="CW57" s="20">
        <f t="shared" si="13"/>
        <v>396.75151144221542</v>
      </c>
      <c r="CX57" s="59">
        <f t="shared" si="14"/>
        <v>690.08484477554873</v>
      </c>
      <c r="CY57" s="59">
        <f ca="1">AVERAGE(OFFSET($CX$3,0,0,'Données projet'!$E$13+1,1))-AVERAGE(OFFSET($H$3,0,0,'Données projet'!$E$13+1,1))</f>
        <v>293.19327646293601</v>
      </c>
      <c r="CZ57" s="59">
        <f t="shared" si="42"/>
        <v>200.0769581869605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1.7067413340715221</v>
      </c>
      <c r="DH57" s="21">
        <f>EXP(-LN(2)/2)*DH56+(1-EXP(-LN(2)/2))/(LN(2)/2)*DB57*DE57*VLOOKUP('Données projet'!$B$13,Paramètres!$A$1:$I$89,3,0)*0.475*44/12</f>
        <v>1.6152830641103281E-3</v>
      </c>
      <c r="DI57" s="22">
        <f t="shared" si="15"/>
        <v>1.7083566171356324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11.4</v>
      </c>
      <c r="N58" s="13">
        <f>IF('Données projet'!$A$36&gt;35,N57+M58-V57,IF(A58&lt;'Données projet'!$A$36,$K$205^A58,IF(A58='Données projet'!$A$36,'Données projet'!$B$36,N57+M58-V57)))</f>
        <v>329.99999999999989</v>
      </c>
      <c r="O58" s="13">
        <f>N58*VLOOKUP('Données projet'!$B$9,Paramètres!$A$1:$I$89,3,0)*VLOOKUP('Données projet'!$B$9,Paramètres!$A$1:$I$89,5,0)</f>
        <v>197.33999999999995</v>
      </c>
      <c r="P58" s="13">
        <f t="shared" si="33"/>
        <v>49.159125474269977</v>
      </c>
      <c r="Q58" s="20">
        <f t="shared" si="53"/>
        <v>429.31931020102019</v>
      </c>
      <c r="R58" s="59">
        <f t="shared" si="0"/>
        <v>722.6526435343535</v>
      </c>
      <c r="S58" s="59">
        <f ca="1">AVERAGE(OFFSET($R$3,0,0,'Données projet'!$E$9+1,1))-AVERAGE(OFFSET($H$3,0,0,'Données projet'!$E$9+1,1))</f>
        <v>246.59447135626942</v>
      </c>
      <c r="T58" s="59">
        <f t="shared" si="34"/>
        <v>262.00382544285367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6.4246317759251248</v>
      </c>
      <c r="AB58" s="21">
        <f>EXP(-LN(2)/2)*AB57+(1-EXP(-LN(2)/2))/(LN(2)/2)*V58*Y58*VLOOKUP('Données projet'!$B$9,Paramètres!$A$1:$I$89,3,0)*0.475*44/12</f>
        <v>4.096482246092127E-3</v>
      </c>
      <c r="AC58" s="22">
        <f t="shared" si="3"/>
        <v>6.4287282581712173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2.625</v>
      </c>
      <c r="AI58" s="13">
        <f>IF('Données projet'!$A$62&gt;35,AI57+AH58-AQ57,IF(A58&lt;'Données projet'!$A$62,$AF$205^A58,IF(A58='Données projet'!$A$62,'Données projet'!$B$62,AI57+AH58-AQ57)))</f>
        <v>297.625</v>
      </c>
      <c r="AJ58" s="13">
        <f>AI58*VLOOKUP('Données projet'!$B$10,Paramètres!$A$1:$I$89,3,0)*VLOOKUP('Données projet'!$B$10,Paramètres!$A$1:$I$89,5,0)</f>
        <v>177.97975</v>
      </c>
      <c r="AK58" s="13">
        <f t="shared" si="35"/>
        <v>44.87242292972973</v>
      </c>
      <c r="AL58" s="20">
        <f t="shared" si="4"/>
        <v>388.13420118594587</v>
      </c>
      <c r="AM58" s="59">
        <f t="shared" si="5"/>
        <v>681.46753451927918</v>
      </c>
      <c r="AN58" s="59">
        <f ca="1">AVERAGE(OFFSET($AM$3,0,0,'Données projet'!$E$10+1,1))-AVERAGE(OFFSET($H$3,0,0,'Données projet'!$E$10+1,1))</f>
        <v>195.73441209602686</v>
      </c>
      <c r="AO58" s="59">
        <f t="shared" si="36"/>
        <v>219.19129224309006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3.7864174460952404</v>
      </c>
      <c r="AV58" s="21">
        <f>EXP(-LN(2)/25)*AV57+(1-EXP(-LN(2)/25))/(LN(2)/25)*Calculateur!AQ58*Calculateur!AS58*VLOOKUP('Données projet'!$B$10,Paramètres!$A$1:$I$89,3,0)*0.475*44/12</f>
        <v>6.1654411259779023</v>
      </c>
      <c r="AW58" s="21">
        <f>EXP(-LN(2)/2)*AW57+(1-EXP(-LN(2)/2))/(LN(2)/2)*AQ58*AT58*VLOOKUP('Données projet'!$B$10,Paramètres!$A$1:$I$89,3,0)*0.475*44/12</f>
        <v>9.4010888817473346E-4</v>
      </c>
      <c r="AX58" s="21">
        <f t="shared" si="6"/>
        <v>9.9527986809613171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177.34080000000012</v>
      </c>
      <c r="BF58" s="13">
        <f t="shared" si="37"/>
        <v>44.730051658603102</v>
      </c>
      <c r="BG58" s="20">
        <f t="shared" si="7"/>
        <v>386.77339997206718</v>
      </c>
      <c r="BH58" s="59">
        <f t="shared" si="8"/>
        <v>680.10673330540044</v>
      </c>
      <c r="BI58" s="59">
        <f ca="1">AVERAGE(OFFSET($BH$3,0,0,'Données projet'!$E$11+1,1))-AVERAGE(OFFSET($H$3,0,0,'Données projet'!$E$11+1,1))</f>
        <v>269.19146943657933</v>
      </c>
      <c r="BJ58" s="59">
        <f t="shared" si="38"/>
        <v>185.94138814570965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1.552969086244955</v>
      </c>
      <c r="BR58" s="21">
        <f>EXP(-LN(2)/2)*BR57+(1-EXP(-LN(2)/2))/(LN(2)/2)*BL58*BO58*VLOOKUP('Données projet'!$B$11,Paramètres!$A$1:$I$89,3,0)*0.475*44/12</f>
        <v>1.0684887302218626E-3</v>
      </c>
      <c r="BS58" s="22">
        <f t="shared" si="9"/>
        <v>1.5540375749751769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210.97440000000012</v>
      </c>
      <c r="CA58" s="13">
        <f t="shared" si="39"/>
        <v>52.148459211324756</v>
      </c>
      <c r="CB58" s="20">
        <f t="shared" si="10"/>
        <v>458.27231312639077</v>
      </c>
      <c r="CC58" s="59">
        <f t="shared" si="11"/>
        <v>751.60564645972408</v>
      </c>
      <c r="CD58" s="59">
        <f ca="1">AVERAGE(OFFSET($CC$3,0,0,'Données projet'!$E$12+1,1))-AVERAGE(OFFSET($H$3,0,0,'Données projet'!$E$12+1,1))</f>
        <v>335.12015893291874</v>
      </c>
      <c r="CE58" s="59">
        <f t="shared" si="40"/>
        <v>224.76596283033166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1.8474977060500324</v>
      </c>
      <c r="CM58" s="21">
        <f>EXP(-LN(2)/2)*CM57+(1-EXP(-LN(2)/2))/(LN(2)/2)*CG58*CJ58*VLOOKUP('Données projet'!$B$12,Paramètres!$A$1:$I$89,3,0)*0.475*44/12</f>
        <v>1.271133144574287E-3</v>
      </c>
      <c r="CN58" s="22">
        <f t="shared" si="12"/>
        <v>1.8487688391946067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7.8</v>
      </c>
      <c r="CT58" s="12">
        <f>IF('Données projet'!$A$140&gt;35,CT57+CS58-DB57,IF(A58&lt;'Données projet'!$A$140,$CQ$205^A58,IF(A58='Données projet'!$A$140,'Données projet'!$B$140,CT57+CS58-DB57)))</f>
        <v>196.00000000000011</v>
      </c>
      <c r="CU58" s="17">
        <f>CT58*VLOOKUP('Données projet'!$B$13,Paramètres!$A$1:$I$89,3,0)*VLOOKUP('Données projet'!$B$13,Paramètres!$A$1:$I$89,5,0)</f>
        <v>189.57120000000012</v>
      </c>
      <c r="CV58" s="13">
        <f t="shared" si="41"/>
        <v>47.445138796932483</v>
      </c>
      <c r="CW58" s="20">
        <f t="shared" si="13"/>
        <v>412.80345673799087</v>
      </c>
      <c r="CX58" s="59">
        <f t="shared" si="14"/>
        <v>706.13679007132419</v>
      </c>
      <c r="CY58" s="59">
        <f ca="1">AVERAGE(OFFSET($CX$3,0,0,'Données projet'!$E$13+1,1))-AVERAGE(OFFSET($H$3,0,0,'Données projet'!$E$13+1,1))</f>
        <v>293.19327646293601</v>
      </c>
      <c r="CZ58" s="59">
        <f t="shared" si="42"/>
        <v>200.0769581869605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1.6600704025377104</v>
      </c>
      <c r="DH58" s="21">
        <f>EXP(-LN(2)/2)*DH57+(1-EXP(-LN(2)/2))/(LN(2)/2)*DB58*DE58*VLOOKUP('Données projet'!$B$13,Paramètres!$A$1:$I$89,3,0)*0.475*44/12</f>
        <v>1.1421776081681977E-3</v>
      </c>
      <c r="DI58" s="22">
        <f t="shared" si="15"/>
        <v>1.6612125801458786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11.4</v>
      </c>
      <c r="N59" s="13">
        <f>IF('Données projet'!$A$36&gt;35,N58+M59-V58,IF(A59&lt;'Données projet'!$A$36,$K$205^A59,IF(A59='Données projet'!$A$36,'Données projet'!$B$36,N58+M59-V58)))</f>
        <v>341.39999999999986</v>
      </c>
      <c r="O59" s="13">
        <f>N59*VLOOKUP('Données projet'!$B$9,Paramètres!$A$1:$I$89,3,0)*VLOOKUP('Données projet'!$B$9,Paramètres!$A$1:$I$89,5,0)</f>
        <v>204.15719999999996</v>
      </c>
      <c r="P59" s="13">
        <f t="shared" si="33"/>
        <v>50.656697660408256</v>
      </c>
      <c r="Q59" s="20">
        <f t="shared" si="53"/>
        <v>443.80087175854425</v>
      </c>
      <c r="R59" s="59">
        <f t="shared" si="0"/>
        <v>737.13420509187756</v>
      </c>
      <c r="S59" s="59">
        <f ca="1">AVERAGE(OFFSET($R$3,0,0,'Données projet'!$E$9+1,1))-AVERAGE(OFFSET($H$3,0,0,'Données projet'!$E$9+1,1))</f>
        <v>246.59447135626942</v>
      </c>
      <c r="T59" s="59">
        <f t="shared" si="34"/>
        <v>262.00382544285367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6.2489498821557508</v>
      </c>
      <c r="AB59" s="21">
        <f>EXP(-LN(2)/2)*AB58+(1-EXP(-LN(2)/2))/(LN(2)/2)*V59*Y59*VLOOKUP('Données projet'!$B$9,Paramètres!$A$1:$I$89,3,0)*0.475*44/12</f>
        <v>2.8966503752220424E-3</v>
      </c>
      <c r="AC59" s="22">
        <f t="shared" si="3"/>
        <v>6.2518465325309727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2.625</v>
      </c>
      <c r="AI59" s="13">
        <f>IF('Données projet'!$A$62&gt;35,AI58+AH59-AQ58,IF(A59&lt;'Données projet'!$A$62,$AF$205^A59,IF(A59='Données projet'!$A$62,'Données projet'!$B$62,AI58+AH59-AQ58)))</f>
        <v>300.25</v>
      </c>
      <c r="AJ59" s="13">
        <f>AI59*VLOOKUP('Données projet'!$B$10,Paramètres!$A$1:$I$89,3,0)*VLOOKUP('Données projet'!$B$10,Paramètres!$A$1:$I$89,5,0)</f>
        <v>179.54950000000002</v>
      </c>
      <c r="AK59" s="13">
        <f t="shared" si="35"/>
        <v>45.221943603548368</v>
      </c>
      <c r="AL59" s="20">
        <f t="shared" si="4"/>
        <v>391.47693094284676</v>
      </c>
      <c r="AM59" s="59">
        <f t="shared" si="5"/>
        <v>684.81026427618008</v>
      </c>
      <c r="AN59" s="59">
        <f ca="1">AVERAGE(OFFSET($AM$3,0,0,'Données projet'!$E$10+1,1))-AVERAGE(OFFSET($H$3,0,0,'Données projet'!$E$10+1,1))</f>
        <v>195.73441209602686</v>
      </c>
      <c r="AO59" s="59">
        <f t="shared" si="36"/>
        <v>219.19129224309006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3.7121681094639118</v>
      </c>
      <c r="AV59" s="21">
        <f>EXP(-LN(2)/25)*AV58+(1-EXP(-LN(2)/25))/(LN(2)/25)*Calculateur!AQ59*Calculateur!AS59*VLOOKUP('Données projet'!$B$10,Paramètres!$A$1:$I$89,3,0)*0.475*44/12</f>
        <v>5.9968468141615787</v>
      </c>
      <c r="AW59" s="21">
        <f>EXP(-LN(2)/2)*AW58+(1-EXP(-LN(2)/2))/(LN(2)/2)*AQ59*AT59*VLOOKUP('Données projet'!$B$10,Paramètres!$A$1:$I$89,3,0)*0.475*44/12</f>
        <v>6.6475736988209975E-4</v>
      </c>
      <c r="AX59" s="21">
        <f t="shared" si="6"/>
        <v>9.7096796809953734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184.3982400000001</v>
      </c>
      <c r="BF59" s="13">
        <f t="shared" si="37"/>
        <v>46.299334464645959</v>
      </c>
      <c r="BG59" s="20">
        <f t="shared" si="7"/>
        <v>401.79827552592519</v>
      </c>
      <c r="BH59" s="59">
        <f t="shared" si="8"/>
        <v>695.13160885925845</v>
      </c>
      <c r="BI59" s="59">
        <f ca="1">AVERAGE(OFFSET($BH$3,0,0,'Données projet'!$E$11+1,1))-AVERAGE(OFFSET($H$3,0,0,'Données projet'!$E$11+1,1))</f>
        <v>269.19146943657933</v>
      </c>
      <c r="BJ59" s="59">
        <f t="shared" si="38"/>
        <v>185.94138814570965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1.5105030649144917</v>
      </c>
      <c r="BR59" s="21">
        <f>EXP(-LN(2)/2)*BR58+(1-EXP(-LN(2)/2))/(LN(2)/2)*BL59*BO59*VLOOKUP('Données projet'!$B$11,Paramètres!$A$1:$I$89,3,0)*0.475*44/12</f>
        <v>7.5553562676128263E-4</v>
      </c>
      <c r="BS59" s="22">
        <f t="shared" si="9"/>
        <v>1.5112586005412529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219.37032000000011</v>
      </c>
      <c r="CA59" s="13">
        <f t="shared" si="39"/>
        <v>53.978005061764598</v>
      </c>
      <c r="CB59" s="20">
        <f t="shared" si="10"/>
        <v>476.08166614924016</v>
      </c>
      <c r="CC59" s="59">
        <f t="shared" si="11"/>
        <v>769.41499948257342</v>
      </c>
      <c r="CD59" s="59">
        <f ca="1">AVERAGE(OFFSET($CC$3,0,0,'Données projet'!$E$12+1,1))-AVERAGE(OFFSET($H$3,0,0,'Données projet'!$E$12+1,1))</f>
        <v>335.12015893291874</v>
      </c>
      <c r="CE59" s="59">
        <f t="shared" si="40"/>
        <v>224.76596283033166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1.7969777841224124</v>
      </c>
      <c r="CM59" s="21">
        <f>EXP(-LN(2)/2)*CM58+(1-EXP(-LN(2)/2))/(LN(2)/2)*CG59*CJ59*VLOOKUP('Données projet'!$B$12,Paramètres!$A$1:$I$89,3,0)*0.475*44/12</f>
        <v>8.9882686631945847E-4</v>
      </c>
      <c r="CN59" s="22">
        <f t="shared" si="12"/>
        <v>1.7978766109887319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7.8</v>
      </c>
      <c r="CT59" s="12">
        <f>IF('Données projet'!$A$140&gt;35,CT58+CS59-DB58,IF(A59&lt;'Données projet'!$A$140,$CQ$205^A59,IF(A59='Données projet'!$A$140,'Données projet'!$B$140,CT58+CS59-DB58)))</f>
        <v>203.80000000000013</v>
      </c>
      <c r="CU59" s="17">
        <f>CT59*VLOOKUP('Données projet'!$B$13,Paramètres!$A$1:$I$89,3,0)*VLOOKUP('Données projet'!$B$13,Paramètres!$A$1:$I$89,5,0)</f>
        <v>197.11536000000012</v>
      </c>
      <c r="CV59" s="13">
        <f t="shared" si="41"/>
        <v>49.109676122143078</v>
      </c>
      <c r="CW59" s="20">
        <f t="shared" si="13"/>
        <v>428.8419379127327</v>
      </c>
      <c r="CX59" s="59">
        <f t="shared" si="14"/>
        <v>722.17527124606602</v>
      </c>
      <c r="CY59" s="59">
        <f ca="1">AVERAGE(OFFSET($CX$3,0,0,'Données projet'!$E$13+1,1))-AVERAGE(OFFSET($H$3,0,0,'Données projet'!$E$13+1,1))</f>
        <v>293.19327646293601</v>
      </c>
      <c r="CZ59" s="59">
        <f t="shared" si="42"/>
        <v>200.0769581869605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1.6146756900810084</v>
      </c>
      <c r="DH59" s="21">
        <f>EXP(-LN(2)/2)*DH58+(1-EXP(-LN(2)/2))/(LN(2)/2)*DB59*DE59*VLOOKUP('Données projet'!$B$13,Paramètres!$A$1:$I$89,3,0)*0.475*44/12</f>
        <v>8.0764153205516403E-4</v>
      </c>
      <c r="DI59" s="22">
        <f t="shared" si="15"/>
        <v>1.6154833316130637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11.4</v>
      </c>
      <c r="N60" s="13">
        <f>IF('Données projet'!$A$36&gt;35,N59+M60-V59,IF(A60&lt;'Données projet'!$A$36,$K$205^A60,IF(A60='Données projet'!$A$36,'Données projet'!$B$36,N59+M60-V59)))</f>
        <v>352.79999999999984</v>
      </c>
      <c r="O60" s="13">
        <f>N60*VLOOKUP('Données projet'!$B$9,Paramètres!$A$1:$I$89,3,0)*VLOOKUP('Données projet'!$B$9,Paramètres!$A$1:$I$89,5,0)</f>
        <v>210.97439999999992</v>
      </c>
      <c r="P60" s="13">
        <f t="shared" si="33"/>
        <v>52.148459211324706</v>
      </c>
      <c r="Q60" s="20">
        <f t="shared" si="53"/>
        <v>458.27231312639037</v>
      </c>
      <c r="R60" s="59">
        <f t="shared" si="0"/>
        <v>751.60564645972363</v>
      </c>
      <c r="S60" s="59">
        <f ca="1">AVERAGE(OFFSET($R$3,0,0,'Données projet'!$E$9+1,1))-AVERAGE(OFFSET($H$3,0,0,'Données projet'!$E$9+1,1))</f>
        <v>246.59447135626942</v>
      </c>
      <c r="T60" s="59">
        <f t="shared" si="34"/>
        <v>262.00382544285367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6.07807201901021</v>
      </c>
      <c r="AB60" s="21">
        <f>EXP(-LN(2)/2)*AB59+(1-EXP(-LN(2)/2))/(LN(2)/2)*V60*Y60*VLOOKUP('Données projet'!$B$9,Paramètres!$A$1:$I$89,3,0)*0.475*44/12</f>
        <v>2.0482411230460635E-3</v>
      </c>
      <c r="AC60" s="22">
        <f t="shared" si="3"/>
        <v>6.0801202601332562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2.625</v>
      </c>
      <c r="AI60" s="13">
        <f>IF('Données projet'!$A$62&gt;35,AI59+AH60-AQ59,IF(A60&lt;'Données projet'!$A$62,$AF$205^A60,IF(A60='Données projet'!$A$62,'Données projet'!$B$62,AI59+AH60-AQ59)))</f>
        <v>302.875</v>
      </c>
      <c r="AJ60" s="13">
        <f>AI60*VLOOKUP('Données projet'!$B$10,Paramètres!$A$1:$I$89,3,0)*VLOOKUP('Données projet'!$B$10,Paramètres!$A$1:$I$89,5,0)</f>
        <v>181.11925000000002</v>
      </c>
      <c r="AK60" s="13">
        <f t="shared" si="35"/>
        <v>45.571108763102352</v>
      </c>
      <c r="AL60" s="20">
        <f t="shared" si="4"/>
        <v>394.81904151240332</v>
      </c>
      <c r="AM60" s="59">
        <f t="shared" si="5"/>
        <v>688.15237484573663</v>
      </c>
      <c r="AN60" s="59">
        <f ca="1">AVERAGE(OFFSET($AM$3,0,0,'Données projet'!$E$10+1,1))-AVERAGE(OFFSET($H$3,0,0,'Données projet'!$E$10+1,1))</f>
        <v>195.73441209602686</v>
      </c>
      <c r="AO60" s="59">
        <f t="shared" si="36"/>
        <v>219.19129224309006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3.6393747570363004</v>
      </c>
      <c r="AV60" s="21">
        <f>EXP(-LN(2)/25)*AV59+(1-EXP(-LN(2)/25))/(LN(2)/25)*Calculateur!AQ60*Calculateur!AS60*VLOOKUP('Données projet'!$B$10,Paramètres!$A$1:$I$89,3,0)*0.475*44/12</f>
        <v>5.832862722667862</v>
      </c>
      <c r="AW60" s="21">
        <f>EXP(-LN(2)/2)*AW59+(1-EXP(-LN(2)/2))/(LN(2)/2)*AQ60*AT60*VLOOKUP('Données projet'!$B$10,Paramètres!$A$1:$I$89,3,0)*0.475*44/12</f>
        <v>4.7005444408736678E-4</v>
      </c>
      <c r="AX60" s="21">
        <f t="shared" si="6"/>
        <v>9.472707534148249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191.45568000000011</v>
      </c>
      <c r="BF60" s="13">
        <f t="shared" si="37"/>
        <v>47.861639935303188</v>
      </c>
      <c r="BG60" s="20">
        <f t="shared" si="7"/>
        <v>416.81099888731995</v>
      </c>
      <c r="BH60" s="59">
        <f t="shared" si="8"/>
        <v>710.14433222065327</v>
      </c>
      <c r="BI60" s="59">
        <f ca="1">AVERAGE(OFFSET($BH$3,0,0,'Données projet'!$E$11+1,1))-AVERAGE(OFFSET($H$3,0,0,'Données projet'!$E$11+1,1))</f>
        <v>269.19146943657933</v>
      </c>
      <c r="BJ60" s="59">
        <f t="shared" si="38"/>
        <v>185.94138814570965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1.4691982791705009</v>
      </c>
      <c r="BR60" s="21">
        <f>EXP(-LN(2)/2)*BR59+(1-EXP(-LN(2)/2))/(LN(2)/2)*BL60*BO60*VLOOKUP('Données projet'!$B$11,Paramètres!$A$1:$I$89,3,0)*0.475*44/12</f>
        <v>5.3424436511093131E-4</v>
      </c>
      <c r="BS60" s="22">
        <f t="shared" si="9"/>
        <v>1.4697325235356118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227.76624000000012</v>
      </c>
      <c r="CA60" s="13">
        <f t="shared" si="39"/>
        <v>55.799416396900632</v>
      </c>
      <c r="CB60" s="20">
        <f t="shared" si="10"/>
        <v>493.87685155793548</v>
      </c>
      <c r="CC60" s="59">
        <f t="shared" si="11"/>
        <v>787.2101848912688</v>
      </c>
      <c r="CD60" s="59">
        <f ca="1">AVERAGE(OFFSET($CC$3,0,0,'Données projet'!$E$12+1,1))-AVERAGE(OFFSET($H$3,0,0,'Données projet'!$E$12+1,1))</f>
        <v>335.12015893291874</v>
      </c>
      <c r="CE60" s="59">
        <f t="shared" si="40"/>
        <v>224.76596283033166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1.7478393321166303</v>
      </c>
      <c r="CM60" s="21">
        <f>EXP(-LN(2)/2)*CM59+(1-EXP(-LN(2)/2))/(LN(2)/2)*CG60*CJ60*VLOOKUP('Données projet'!$B$12,Paramètres!$A$1:$I$89,3,0)*0.475*44/12</f>
        <v>6.3556657228714352E-4</v>
      </c>
      <c r="CN60" s="22">
        <f t="shared" si="12"/>
        <v>1.7484748986889176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7.8</v>
      </c>
      <c r="CT60" s="12">
        <f>IF('Données projet'!$A$140&gt;35,CT59+CS60-DB59,IF(A60&lt;'Données projet'!$A$140,$CQ$205^A60,IF(A60='Données projet'!$A$140,'Données projet'!$B$140,CT59+CS60-DB59)))</f>
        <v>211.60000000000014</v>
      </c>
      <c r="CU60" s="17">
        <f>CT60*VLOOKUP('Données projet'!$B$13,Paramètres!$A$1:$I$89,3,0)*VLOOKUP('Données projet'!$B$13,Paramètres!$A$1:$I$89,5,0)</f>
        <v>204.65952000000016</v>
      </c>
      <c r="CV60" s="13">
        <f t="shared" si="41"/>
        <v>50.766812591921436</v>
      </c>
      <c r="CW60" s="20">
        <f t="shared" si="13"/>
        <v>444.8675292642634</v>
      </c>
      <c r="CX60" s="59">
        <f t="shared" si="14"/>
        <v>738.20086259759671</v>
      </c>
      <c r="CY60" s="59">
        <f ca="1">AVERAGE(OFFSET($CX$3,0,0,'Données projet'!$E$13+1,1))-AVERAGE(OFFSET($H$3,0,0,'Données projet'!$E$13+1,1))</f>
        <v>293.19327646293601</v>
      </c>
      <c r="CZ60" s="59">
        <f t="shared" si="42"/>
        <v>200.0769581869605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1.5705222984236391</v>
      </c>
      <c r="DH60" s="21">
        <f>EXP(-LN(2)/2)*DH59+(1-EXP(-LN(2)/2))/(LN(2)/2)*DB60*DE60*VLOOKUP('Données projet'!$B$13,Paramètres!$A$1:$I$89,3,0)*0.475*44/12</f>
        <v>5.7108880408409887E-4</v>
      </c>
      <c r="DI60" s="22">
        <f t="shared" si="15"/>
        <v>1.5710933872277233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11.4</v>
      </c>
      <c r="N61" s="13">
        <f>IF('Données projet'!$A$36&gt;35,N60+M61-V60,IF(A61&lt;'Données projet'!$A$36,$K$205^A61,IF(A61='Données projet'!$A$36,'Données projet'!$B$36,N60+M61-V60)))</f>
        <v>364.19999999999982</v>
      </c>
      <c r="O61" s="13">
        <f>N61*VLOOKUP('Données projet'!$B$9,Paramètres!$A$1:$I$89,3,0)*VLOOKUP('Données projet'!$B$9,Paramètres!$A$1:$I$89,5,0)</f>
        <v>217.7915999999999</v>
      </c>
      <c r="P61" s="13">
        <f t="shared" si="33"/>
        <v>53.634619420976641</v>
      </c>
      <c r="Q61" s="20">
        <f t="shared" si="53"/>
        <v>472.73399882486751</v>
      </c>
      <c r="R61" s="59">
        <f t="shared" si="0"/>
        <v>766.06733215820077</v>
      </c>
      <c r="S61" s="59">
        <f ca="1">AVERAGE(OFFSET($R$3,0,0,'Données projet'!$E$9+1,1))-AVERAGE(OFFSET($H$3,0,0,'Données projet'!$E$9+1,1))</f>
        <v>246.59447135626942</v>
      </c>
      <c r="T61" s="59">
        <f t="shared" si="34"/>
        <v>262.00382544285367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5.9118668200184601</v>
      </c>
      <c r="AB61" s="21">
        <f>EXP(-LN(2)/2)*AB60+(1-EXP(-LN(2)/2))/(LN(2)/2)*V61*Y61*VLOOKUP('Données projet'!$B$9,Paramètres!$A$1:$I$89,3,0)*0.475*44/12</f>
        <v>1.4483251876110212E-3</v>
      </c>
      <c r="AC61" s="22">
        <f t="shared" si="3"/>
        <v>5.913315145206071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2.625</v>
      </c>
      <c r="AI61" s="13">
        <f>IF('Données projet'!$A$62&gt;35,AI60+AH61-AQ60,IF(A61&lt;'Données projet'!$A$62,$AF$205^A61,IF(A61='Données projet'!$A$62,'Données projet'!$B$62,AI60+AH61-AQ60)))</f>
        <v>305.5</v>
      </c>
      <c r="AJ61" s="13">
        <f>AI61*VLOOKUP('Données projet'!$B$10,Paramètres!$A$1:$I$89,3,0)*VLOOKUP('Données projet'!$B$10,Paramètres!$A$1:$I$89,5,0)</f>
        <v>182.68900000000002</v>
      </c>
      <c r="AK61" s="13">
        <f t="shared" si="35"/>
        <v>45.919921846619154</v>
      </c>
      <c r="AL61" s="20">
        <f t="shared" si="4"/>
        <v>398.16053888286166</v>
      </c>
      <c r="AM61" s="59">
        <f t="shared" si="5"/>
        <v>691.49387221619497</v>
      </c>
      <c r="AN61" s="59">
        <f ca="1">AVERAGE(OFFSET($AM$3,0,0,'Données projet'!$E$10+1,1))-AVERAGE(OFFSET($H$3,0,0,'Données projet'!$E$10+1,1))</f>
        <v>195.73441209602686</v>
      </c>
      <c r="AO61" s="59">
        <f t="shared" si="36"/>
        <v>219.19129224309006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3.5680088378502335</v>
      </c>
      <c r="AV61" s="21">
        <f>EXP(-LN(2)/25)*AV60+(1-EXP(-LN(2)/25))/(LN(2)/25)*Calculateur!AQ61*Calculateur!AS61*VLOOKUP('Données projet'!$B$10,Paramètres!$A$1:$I$89,3,0)*0.475*44/12</f>
        <v>5.6733627847795898</v>
      </c>
      <c r="AW61" s="21">
        <f>EXP(-LN(2)/2)*AW60+(1-EXP(-LN(2)/2))/(LN(2)/2)*AQ61*AT61*VLOOKUP('Données projet'!$B$10,Paramètres!$A$1:$I$89,3,0)*0.475*44/12</f>
        <v>3.3237868494104993E-4</v>
      </c>
      <c r="AX61" s="21">
        <f t="shared" si="6"/>
        <v>9.2417040013147655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198.51312000000013</v>
      </c>
      <c r="BF61" s="13">
        <f t="shared" si="37"/>
        <v>49.417254724004458</v>
      </c>
      <c r="BG61" s="20">
        <f t="shared" si="7"/>
        <v>431.81206931097466</v>
      </c>
      <c r="BH61" s="59">
        <f t="shared" si="8"/>
        <v>725.14540264430798</v>
      </c>
      <c r="BI61" s="59">
        <f ca="1">AVERAGE(OFFSET($BH$3,0,0,'Données projet'!$E$11+1,1))-AVERAGE(OFFSET($H$3,0,0,'Données projet'!$E$11+1,1))</f>
        <v>269.19146943657933</v>
      </c>
      <c r="BJ61" s="59">
        <f t="shared" si="38"/>
        <v>185.94138814570965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1.429022974964804</v>
      </c>
      <c r="BR61" s="21">
        <f>EXP(-LN(2)/2)*BR60+(1-EXP(-LN(2)/2))/(LN(2)/2)*BL61*BO61*VLOOKUP('Données projet'!$B$11,Paramètres!$A$1:$I$89,3,0)*0.475*44/12</f>
        <v>3.7776781338064131E-4</v>
      </c>
      <c r="BS61" s="22">
        <f t="shared" si="9"/>
        <v>1.4294007427781847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236.16216000000014</v>
      </c>
      <c r="CA61" s="13">
        <f t="shared" si="39"/>
        <v>57.613027411175402</v>
      </c>
      <c r="CB61" s="20">
        <f t="shared" si="10"/>
        <v>511.65845140779737</v>
      </c>
      <c r="CC61" s="59">
        <f t="shared" si="11"/>
        <v>804.99178474113069</v>
      </c>
      <c r="CD61" s="59">
        <f ca="1">AVERAGE(OFFSET($CC$3,0,0,'Données projet'!$E$12+1,1))-AVERAGE(OFFSET($H$3,0,0,'Données projet'!$E$12+1,1))</f>
        <v>335.12015893291874</v>
      </c>
      <c r="CE61" s="59">
        <f t="shared" si="40"/>
        <v>224.76596283033166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1.7000445736650254</v>
      </c>
      <c r="CM61" s="21">
        <f>EXP(-LN(2)/2)*CM60+(1-EXP(-LN(2)/2))/(LN(2)/2)*CG61*CJ61*VLOOKUP('Données projet'!$B$12,Paramètres!$A$1:$I$89,3,0)*0.475*44/12</f>
        <v>4.4941343315972924E-4</v>
      </c>
      <c r="CN61" s="22">
        <f t="shared" si="12"/>
        <v>1.700493987098185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7.8</v>
      </c>
      <c r="CT61" s="12">
        <f>IF('Données projet'!$A$140&gt;35,CT60+CS61-DB60,IF(A61&lt;'Données projet'!$A$140,$CQ$205^A61,IF(A61='Données projet'!$A$140,'Données projet'!$B$140,CT60+CS61-DB60)))</f>
        <v>219.40000000000015</v>
      </c>
      <c r="CU61" s="17">
        <f>CT61*VLOOKUP('Données projet'!$B$13,Paramètres!$A$1:$I$89,3,0)*VLOOKUP('Données projet'!$B$13,Paramètres!$A$1:$I$89,5,0)</f>
        <v>212.20368000000013</v>
      </c>
      <c r="CV61" s="13">
        <f t="shared" si="41"/>
        <v>52.416852259387269</v>
      </c>
      <c r="CW61" s="20">
        <f t="shared" si="13"/>
        <v>460.88076035176641</v>
      </c>
      <c r="CX61" s="59">
        <f t="shared" si="14"/>
        <v>754.21409368509967</v>
      </c>
      <c r="CY61" s="59">
        <f ca="1">AVERAGE(OFFSET($CX$3,0,0,'Données projet'!$E$13+1,1))-AVERAGE(OFFSET($H$3,0,0,'Données projet'!$E$13+1,1))</f>
        <v>293.19327646293601</v>
      </c>
      <c r="CZ61" s="59">
        <f t="shared" si="42"/>
        <v>200.0769581869605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1.5275762835830664</v>
      </c>
      <c r="DH61" s="21">
        <f>EXP(-LN(2)/2)*DH60+(1-EXP(-LN(2)/2))/(LN(2)/2)*DB61*DE61*VLOOKUP('Données projet'!$B$13,Paramètres!$A$1:$I$89,3,0)*0.475*44/12</f>
        <v>4.0382076602758202E-4</v>
      </c>
      <c r="DI61" s="22">
        <f t="shared" si="15"/>
        <v>1.5279801043490939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11.4</v>
      </c>
      <c r="N62" s="13">
        <f>IF('Données projet'!$A$36&gt;35,N61+M62-V61,IF(A62&lt;'Données projet'!$A$36,$K$205^A62,IF(A62='Données projet'!$A$36,'Données projet'!$B$36,N61+M62-V61)))</f>
        <v>375.5999999999998</v>
      </c>
      <c r="O62" s="13">
        <f>N62*VLOOKUP('Données projet'!$B$9,Paramètres!$A$1:$I$89,3,0)*VLOOKUP('Données projet'!$B$9,Paramètres!$A$1:$I$89,5,0)</f>
        <v>224.60879999999992</v>
      </c>
      <c r="P62" s="13">
        <f t="shared" si="33"/>
        <v>55.11537373670501</v>
      </c>
      <c r="Q62" s="20">
        <f t="shared" si="53"/>
        <v>487.1862692580944</v>
      </c>
      <c r="R62" s="59">
        <f t="shared" si="0"/>
        <v>780.51960259142766</v>
      </c>
      <c r="S62" s="59">
        <f ca="1">AVERAGE(OFFSET($R$3,0,0,'Données projet'!$E$9+1,1))-AVERAGE(OFFSET($H$3,0,0,'Données projet'!$E$9+1,1))</f>
        <v>246.59447135626942</v>
      </c>
      <c r="T62" s="59">
        <f t="shared" si="34"/>
        <v>262.00382544285367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5.7502065109334906</v>
      </c>
      <c r="AB62" s="21">
        <f>EXP(-LN(2)/2)*AB61+(1-EXP(-LN(2)/2))/(LN(2)/2)*V62*Y62*VLOOKUP('Données projet'!$B$9,Paramètres!$A$1:$I$89,3,0)*0.475*44/12</f>
        <v>1.0241205615230317E-3</v>
      </c>
      <c r="AC62" s="22">
        <f t="shared" si="3"/>
        <v>5.7512306314950132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2.625</v>
      </c>
      <c r="AI62" s="13">
        <f>IF('Données projet'!$A$62&gt;35,AI61+AH62-AQ61,IF(A62&lt;'Données projet'!$A$62,$AF$205^A62,IF(A62='Données projet'!$A$62,'Données projet'!$B$62,AI61+AH62-AQ61)))</f>
        <v>308.125</v>
      </c>
      <c r="AJ62" s="13">
        <f>AI62*VLOOKUP('Données projet'!$B$10,Paramètres!$A$1:$I$89,3,0)*VLOOKUP('Données projet'!$B$10,Paramètres!$A$1:$I$89,5,0)</f>
        <v>184.25875000000002</v>
      </c>
      <c r="AK62" s="13">
        <f t="shared" si="35"/>
        <v>46.26838622983076</v>
      </c>
      <c r="AL62" s="20">
        <f t="shared" si="4"/>
        <v>401.50142893362187</v>
      </c>
      <c r="AM62" s="59">
        <f t="shared" si="5"/>
        <v>694.83476226695518</v>
      </c>
      <c r="AN62" s="59">
        <f ca="1">AVERAGE(OFFSET($AM$3,0,0,'Données projet'!$E$10+1,1))-AVERAGE(OFFSET($H$3,0,0,'Données projet'!$E$10+1,1))</f>
        <v>195.73441209602686</v>
      </c>
      <c r="AO62" s="59">
        <f t="shared" si="36"/>
        <v>219.19129224309006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3.4980423608104925</v>
      </c>
      <c r="AV62" s="21">
        <f>EXP(-LN(2)/25)*AV61+(1-EXP(-LN(2)/25))/(LN(2)/25)*Calculateur!AQ62*Calculateur!AS62*VLOOKUP('Données projet'!$B$10,Paramètres!$A$1:$I$89,3,0)*0.475*44/12</f>
        <v>5.5182243810806098</v>
      </c>
      <c r="AW62" s="21">
        <f>EXP(-LN(2)/2)*AW61+(1-EXP(-LN(2)/2))/(LN(2)/2)*AQ62*AT62*VLOOKUP('Données projet'!$B$10,Paramètres!$A$1:$I$89,3,0)*0.475*44/12</f>
        <v>2.3502722204368342E-4</v>
      </c>
      <c r="AX62" s="21">
        <f t="shared" si="6"/>
        <v>9.0165017691131446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205.57056000000014</v>
      </c>
      <c r="BF62" s="13">
        <f t="shared" si="37"/>
        <v>50.966443946767434</v>
      </c>
      <c r="BG62" s="20">
        <f t="shared" si="7"/>
        <v>446.80194854062023</v>
      </c>
      <c r="BH62" s="59">
        <f t="shared" si="8"/>
        <v>740.13528187395355</v>
      </c>
      <c r="BI62" s="59">
        <f ca="1">AVERAGE(OFFSET($BH$3,0,0,'Données projet'!$E$11+1,1))-AVERAGE(OFFSET($H$3,0,0,'Données projet'!$E$11+1,1))</f>
        <v>269.19146943657933</v>
      </c>
      <c r="BJ62" s="59">
        <f t="shared" si="38"/>
        <v>185.94138814570965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1.3899462665653393</v>
      </c>
      <c r="BR62" s="21">
        <f>EXP(-LN(2)/2)*BR61+(1-EXP(-LN(2)/2))/(LN(2)/2)*BL62*BO62*VLOOKUP('Données projet'!$B$11,Paramètres!$A$1:$I$89,3,0)*0.475*44/12</f>
        <v>2.6712218255546565E-4</v>
      </c>
      <c r="BS62" s="22">
        <f t="shared" si="9"/>
        <v>1.3902133887478947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244.55808000000013</v>
      </c>
      <c r="CA62" s="13">
        <f t="shared" si="39"/>
        <v>59.419147189674213</v>
      </c>
      <c r="CB62" s="20">
        <f t="shared" si="10"/>
        <v>529.42700402201615</v>
      </c>
      <c r="CC62" s="59">
        <f t="shared" si="11"/>
        <v>822.76033735534952</v>
      </c>
      <c r="CD62" s="59">
        <f ca="1">AVERAGE(OFFSET($CC$3,0,0,'Données projet'!$E$12+1,1))-AVERAGE(OFFSET($H$3,0,0,'Données projet'!$E$12+1,1))</f>
        <v>335.12015893291874</v>
      </c>
      <c r="CE62" s="59">
        <f t="shared" si="40"/>
        <v>224.76596283033166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1.6535567653966967</v>
      </c>
      <c r="CM62" s="21">
        <f>EXP(-LN(2)/2)*CM61+(1-EXP(-LN(2)/2))/(LN(2)/2)*CG62*CJ62*VLOOKUP('Données projet'!$B$12,Paramètres!$A$1:$I$89,3,0)*0.475*44/12</f>
        <v>3.1778328614357176E-4</v>
      </c>
      <c r="CN62" s="22">
        <f t="shared" si="12"/>
        <v>1.6538745486828403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7.8</v>
      </c>
      <c r="CT62" s="12">
        <f>IF('Données projet'!$A$140&gt;35,CT61+CS62-DB61,IF(A62&lt;'Données projet'!$A$140,$CQ$205^A62,IF(A62='Données projet'!$A$140,'Données projet'!$B$140,CT61+CS62-DB61)))</f>
        <v>227.20000000000016</v>
      </c>
      <c r="CU62" s="17">
        <f>CT62*VLOOKUP('Données projet'!$B$13,Paramètres!$A$1:$I$89,3,0)*VLOOKUP('Données projet'!$B$13,Paramètres!$A$1:$I$89,5,0)</f>
        <v>219.74784000000014</v>
      </c>
      <c r="CV62" s="13">
        <f t="shared" si="41"/>
        <v>54.060076332940611</v>
      </c>
      <c r="CW62" s="20">
        <f t="shared" si="13"/>
        <v>476.88212094653846</v>
      </c>
      <c r="CX62" s="59">
        <f t="shared" si="14"/>
        <v>770.21545427987178</v>
      </c>
      <c r="CY62" s="59">
        <f ca="1">AVERAGE(OFFSET($CX$3,0,0,'Données projet'!$E$13+1,1))-AVERAGE(OFFSET($H$3,0,0,'Données projet'!$E$13+1,1))</f>
        <v>293.19327646293601</v>
      </c>
      <c r="CZ62" s="59">
        <f t="shared" si="42"/>
        <v>200.0769581869605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1.485804629776742</v>
      </c>
      <c r="DH62" s="21">
        <f>EXP(-LN(2)/2)*DH61+(1-EXP(-LN(2)/2))/(LN(2)/2)*DB62*DE62*VLOOKUP('Données projet'!$B$13,Paramètres!$A$1:$I$89,3,0)*0.475*44/12</f>
        <v>2.8554440204204943E-4</v>
      </c>
      <c r="DI62" s="22">
        <f t="shared" si="15"/>
        <v>1.486090174178784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387</v>
      </c>
      <c r="L63" s="12">
        <f>VLOOKUP(A63,'Données projet'!$A$35:$I$55,9,0)</f>
        <v>11.4</v>
      </c>
      <c r="M63" s="12">
        <f t="array" ref="M63">INDEX(L:L,MIN(IF(ISNUMBER(L63:L259),ROW(L63:L259),"")))</f>
        <v>11.4</v>
      </c>
      <c r="N63" s="13">
        <f>IF('Données projet'!$A$36&gt;35,N62+M63-V62,IF(A63&lt;'Données projet'!$A$36,$K$205^A63,IF(A63='Données projet'!$A$36,'Données projet'!$B$36,N62+M63-V62)))</f>
        <v>386.99999999999977</v>
      </c>
      <c r="O63" s="13">
        <f>N63*VLOOKUP('Données projet'!$B$9,Paramètres!$A$1:$I$89,3,0)*VLOOKUP('Données projet'!$B$9,Paramètres!$A$1:$I$89,5,0)</f>
        <v>231.42599999999987</v>
      </c>
      <c r="P63" s="13">
        <f t="shared" si="33"/>
        <v>56.590905067453171</v>
      </c>
      <c r="Q63" s="20">
        <f t="shared" si="53"/>
        <v>501.62944299248062</v>
      </c>
      <c r="R63" s="59">
        <f t="shared" si="0"/>
        <v>794.96277632581393</v>
      </c>
      <c r="S63" s="59">
        <f ca="1">AVERAGE(OFFSET($R$3,0,0,'Données projet'!$E$9+1,1))-AVERAGE(OFFSET($H$3,0,0,'Données projet'!$E$9+1,1))</f>
        <v>246.59447135626942</v>
      </c>
      <c r="T63" s="59">
        <f t="shared" si="34"/>
        <v>262.00382544285367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5.5929668115017961</v>
      </c>
      <c r="AB63" s="21">
        <f>EXP(-LN(2)/2)*AB62+(1-EXP(-LN(2)/2))/(LN(2)/2)*V63*Y63*VLOOKUP('Données projet'!$B$9,Paramètres!$A$1:$I$89,3,0)*0.475*44/12</f>
        <v>7.241625938055106E-4</v>
      </c>
      <c r="AC63" s="22">
        <f t="shared" si="3"/>
        <v>5.593690974095602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2.625</v>
      </c>
      <c r="AI63" s="13">
        <f>IF('Données projet'!$A$62&gt;35,AI62+AH63-AQ62,IF(A63&lt;'Données projet'!$A$62,$AF$205^A63,IF(A63='Données projet'!$A$62,'Données projet'!$B$62,AI62+AH63-AQ62)))</f>
        <v>310.75</v>
      </c>
      <c r="AJ63" s="13">
        <f>AI63*VLOOKUP('Données projet'!$B$10,Paramètres!$A$1:$I$89,3,0)*VLOOKUP('Données projet'!$B$10,Paramètres!$A$1:$I$89,5,0)</f>
        <v>185.82849999999999</v>
      </c>
      <c r="AK63" s="13">
        <f t="shared" si="35"/>
        <v>46.616505227631926</v>
      </c>
      <c r="AL63" s="20">
        <f t="shared" si="4"/>
        <v>404.84171743812561</v>
      </c>
      <c r="AM63" s="59">
        <f t="shared" si="5"/>
        <v>698.17505077145893</v>
      </c>
      <c r="AN63" s="59">
        <f ca="1">AVERAGE(OFFSET($AM$3,0,0,'Données projet'!$E$10+1,1))-AVERAGE(OFFSET($H$3,0,0,'Données projet'!$E$10+1,1))</f>
        <v>195.73441209602686</v>
      </c>
      <c r="AO63" s="59">
        <f t="shared" si="36"/>
        <v>219.19129224309006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3.4294478837101638</v>
      </c>
      <c r="AV63" s="21">
        <f>EXP(-LN(2)/25)*AV62+(1-EXP(-LN(2)/25))/(LN(2)/25)*Calculateur!AQ63*Calculateur!AS63*VLOOKUP('Données projet'!$B$10,Paramètres!$A$1:$I$89,3,0)*0.475*44/12</f>
        <v>5.3673282451891522</v>
      </c>
      <c r="AW63" s="21">
        <f>EXP(-LN(2)/2)*AW62+(1-EXP(-LN(2)/2))/(LN(2)/2)*AQ63*AT63*VLOOKUP('Données projet'!$B$10,Paramètres!$A$1:$I$89,3,0)*0.475*44/12</f>
        <v>1.6618934247052499E-4</v>
      </c>
      <c r="AX63" s="21">
        <f t="shared" si="6"/>
        <v>8.7969423182417863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212.62800000000016</v>
      </c>
      <c r="BF63" s="13">
        <f t="shared" si="37"/>
        <v>52.509453483719085</v>
      </c>
      <c r="BG63" s="20">
        <f t="shared" si="7"/>
        <v>461.78106481747767</v>
      </c>
      <c r="BH63" s="59">
        <f t="shared" si="8"/>
        <v>755.11439815081098</v>
      </c>
      <c r="BI63" s="59">
        <f ca="1">AVERAGE(OFFSET($BH$3,0,0,'Données projet'!$E$11+1,1))-AVERAGE(OFFSET($H$3,0,0,'Données projet'!$E$11+1,1))</f>
        <v>269.19146943657933</v>
      </c>
      <c r="BJ63" s="59">
        <f t="shared" si="38"/>
        <v>185.94138814570965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1.3519381128120127</v>
      </c>
      <c r="BR63" s="21">
        <f>EXP(-LN(2)/2)*BR62+(1-EXP(-LN(2)/2))/(LN(2)/2)*BL63*BO63*VLOOKUP('Données projet'!$B$11,Paramètres!$A$1:$I$89,3,0)*0.475*44/12</f>
        <v>1.8888390669032066E-4</v>
      </c>
      <c r="BS63" s="22">
        <f t="shared" si="9"/>
        <v>1.3521269967187031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252.95400000000015</v>
      </c>
      <c r="CA63" s="13">
        <f t="shared" si="39"/>
        <v>61.218062391350081</v>
      </c>
      <c r="CB63" s="20">
        <f t="shared" si="10"/>
        <v>547.18300866493496</v>
      </c>
      <c r="CC63" s="59">
        <f t="shared" si="11"/>
        <v>840.51634199826822</v>
      </c>
      <c r="CD63" s="59">
        <f ca="1">AVERAGE(OFFSET($CC$3,0,0,'Données projet'!$E$12+1,1))-AVERAGE(OFFSET($H$3,0,0,'Données projet'!$E$12+1,1))</f>
        <v>335.12015893291874</v>
      </c>
      <c r="CE63" s="59">
        <f t="shared" si="40"/>
        <v>224.76596283033166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1.6083401686901531</v>
      </c>
      <c r="CM63" s="21">
        <f>EXP(-LN(2)/2)*CM62+(1-EXP(-LN(2)/2))/(LN(2)/2)*CG63*CJ63*VLOOKUP('Données projet'!$B$12,Paramètres!$A$1:$I$89,3,0)*0.475*44/12</f>
        <v>2.2470671657986462E-4</v>
      </c>
      <c r="CN63" s="22">
        <f t="shared" si="12"/>
        <v>1.608564875406733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235</v>
      </c>
      <c r="CR63" s="12">
        <f>VLOOKUP(A63,'Données projet'!$A$139:$I$159,9,0)</f>
        <v>7.8</v>
      </c>
      <c r="CS63" s="12">
        <f t="array" ref="CS63">INDEX(CR:CR,MIN(IF(ISNUMBER(CR63:CR259),ROW(CR63:CR259),"")))</f>
        <v>7.8</v>
      </c>
      <c r="CT63" s="12">
        <f>IF('Données projet'!$A$140&gt;35,CT62+CS63-DB62,IF(A63&lt;'Données projet'!$A$140,$CQ$205^A63,IF(A63='Données projet'!$A$140,'Données projet'!$B$140,CT62+CS63-DB62)))</f>
        <v>235.00000000000017</v>
      </c>
      <c r="CU63" s="17">
        <f>CT63*VLOOKUP('Données projet'!$B$13,Paramètres!$A$1:$I$89,3,0)*VLOOKUP('Données projet'!$B$13,Paramètres!$A$1:$I$89,5,0)</f>
        <v>227.29200000000017</v>
      </c>
      <c r="CV63" s="13">
        <f t="shared" si="41"/>
        <v>55.696745617483749</v>
      </c>
      <c r="CW63" s="20">
        <f t="shared" si="13"/>
        <v>492.87206528378442</v>
      </c>
      <c r="CX63" s="59">
        <f t="shared" si="14"/>
        <v>786.20539861711768</v>
      </c>
      <c r="CY63" s="59">
        <f ca="1">AVERAGE(OFFSET($CX$3,0,0,'Données projet'!$E$13+1,1))-AVERAGE(OFFSET($H$3,0,0,'Données projet'!$E$13+1,1))</f>
        <v>293.19327646293601</v>
      </c>
      <c r="CZ63" s="59">
        <f t="shared" si="42"/>
        <v>200.0769581869605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42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1.4451752240404274</v>
      </c>
      <c r="DH63" s="21">
        <f>EXP(-LN(2)/2)*DH62+(1-EXP(-LN(2)/2))/(LN(2)/2)*DB63*DE63*VLOOKUP('Données projet'!$B$13,Paramètres!$A$1:$I$89,3,0)*0.475*44/12</f>
        <v>2.0191038301379101E-4</v>
      </c>
      <c r="DI63" s="22">
        <f t="shared" si="15"/>
        <v>1.4453771344234412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9.1999999999999993</v>
      </c>
      <c r="N64" s="13">
        <f>IF('Données projet'!$A$36&gt;35,N63+M64-V63,IF(A64&lt;'Données projet'!$A$36,$K$205^A64,IF(A64='Données projet'!$A$36,'Données projet'!$B$36,N63+M64-V63)))</f>
        <v>339.19999999999976</v>
      </c>
      <c r="O64" s="13">
        <f>N64*VLOOKUP('Données projet'!$B$9,Paramètres!$A$1:$I$89,3,0)*VLOOKUP('Données projet'!$B$9,Paramètres!$A$1:$I$89,5,0)</f>
        <v>202.84159999999989</v>
      </c>
      <c r="P64" s="13">
        <f t="shared" si="33"/>
        <v>50.368151708087709</v>
      </c>
      <c r="Q64" s="20">
        <f t="shared" si="53"/>
        <v>441.00698422491922</v>
      </c>
      <c r="R64" s="59">
        <f t="shared" si="0"/>
        <v>734.34031755825254</v>
      </c>
      <c r="S64" s="59">
        <f ca="1">AVERAGE(OFFSET($R$3,0,0,'Données projet'!$E$9+1,1))-AVERAGE(OFFSET($H$3,0,0,'Données projet'!$E$9+1,1))</f>
        <v>246.59447135626942</v>
      </c>
      <c r="T64" s="59">
        <f t="shared" si="34"/>
        <v>262.00382544285367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5.4400268399199376</v>
      </c>
      <c r="AB64" s="21">
        <f>EXP(-LN(2)/2)*AB63+(1-EXP(-LN(2)/2))/(LN(2)/2)*V64*Y64*VLOOKUP('Données projet'!$B$9,Paramètres!$A$1:$I$89,3,0)*0.475*44/12</f>
        <v>5.1206028076151587E-4</v>
      </c>
      <c r="AC64" s="22">
        <f t="shared" si="3"/>
        <v>5.440538900200699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2.625</v>
      </c>
      <c r="AI64" s="13">
        <f>IF('Données projet'!$A$62&gt;35,AI63+AH64-AQ63,IF(A64&lt;'Données projet'!$A$62,$AF$205^A64,IF(A64='Données projet'!$A$62,'Données projet'!$B$62,AI63+AH64-AQ63)))</f>
        <v>313.375</v>
      </c>
      <c r="AJ64" s="13">
        <f>AI64*VLOOKUP('Données projet'!$B$10,Paramètres!$A$1:$I$89,3,0)*VLOOKUP('Données projet'!$B$10,Paramètres!$A$1:$I$89,5,0)</f>
        <v>187.39825000000002</v>
      </c>
      <c r="AK64" s="13">
        <f t="shared" si="35"/>
        <v>46.964282095681376</v>
      </c>
      <c r="AL64" s="20">
        <f t="shared" si="4"/>
        <v>408.18141006664501</v>
      </c>
      <c r="AM64" s="59">
        <f t="shared" si="5"/>
        <v>701.51474339997833</v>
      </c>
      <c r="AN64" s="59">
        <f ca="1">AVERAGE(OFFSET($AM$3,0,0,'Données projet'!$E$10+1,1))-AVERAGE(OFFSET($H$3,0,0,'Données projet'!$E$10+1,1))</f>
        <v>195.73441209602686</v>
      </c>
      <c r="AO64" s="59">
        <f t="shared" si="36"/>
        <v>219.19129224309006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3.3621985024672729</v>
      </c>
      <c r="AV64" s="21">
        <f>EXP(-LN(2)/25)*AV63+(1-EXP(-LN(2)/25))/(LN(2)/25)*Calculateur!AQ64*Calculateur!AS64*VLOOKUP('Données projet'!$B$10,Paramètres!$A$1:$I$89,3,0)*0.475*44/12</f>
        <v>5.2205583720689299</v>
      </c>
      <c r="AW64" s="21">
        <f>EXP(-LN(2)/2)*AW63+(1-EXP(-LN(2)/2))/(LN(2)/2)*AQ64*AT64*VLOOKUP('Données projet'!$B$10,Paramètres!$A$1:$I$89,3,0)*0.475*44/12</f>
        <v>1.1751361102184174E-4</v>
      </c>
      <c r="AX64" s="21">
        <f t="shared" si="6"/>
        <v>8.5828743881472249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180.96000000000015</v>
      </c>
      <c r="BF64" s="13">
        <f t="shared" si="37"/>
        <v>45.535702314871806</v>
      </c>
      <c r="BG64" s="20">
        <f t="shared" si="7"/>
        <v>394.48001486506865</v>
      </c>
      <c r="BH64" s="59">
        <f t="shared" si="8"/>
        <v>687.81334819840197</v>
      </c>
      <c r="BI64" s="59">
        <f ca="1">AVERAGE(OFFSET($BH$3,0,0,'Données projet'!$E$11+1,1))-AVERAGE(OFFSET($H$3,0,0,'Données projet'!$E$11+1,1))</f>
        <v>269.19146943657933</v>
      </c>
      <c r="BJ64" s="59">
        <f t="shared" si="38"/>
        <v>185.94138814570965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1.3149692940218327</v>
      </c>
      <c r="BR64" s="21">
        <f>EXP(-LN(2)/2)*BR63+(1-EXP(-LN(2)/2))/(LN(2)/2)*BL64*BO64*VLOOKUP('Données projet'!$B$11,Paramètres!$A$1:$I$89,3,0)*0.475*44/12</f>
        <v>1.3356109127773283E-4</v>
      </c>
      <c r="BS64" s="22">
        <f t="shared" si="9"/>
        <v>1.3151028551131105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215.28000000000017</v>
      </c>
      <c r="CA64" s="13">
        <f t="shared" si="39"/>
        <v>53.08772574085318</v>
      </c>
      <c r="CB64" s="20">
        <f t="shared" si="10"/>
        <v>467.40712233198627</v>
      </c>
      <c r="CC64" s="59">
        <f t="shared" si="11"/>
        <v>760.74045566531959</v>
      </c>
      <c r="CD64" s="59">
        <f ca="1">AVERAGE(OFFSET($CC$3,0,0,'Données projet'!$E$12+1,1))-AVERAGE(OFFSET($H$3,0,0,'Données projet'!$E$12+1,1))</f>
        <v>335.12015893291874</v>
      </c>
      <c r="CE64" s="59">
        <f t="shared" si="40"/>
        <v>224.76596283033166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1.5643600221983873</v>
      </c>
      <c r="CM64" s="21">
        <f>EXP(-LN(2)/2)*CM63+(1-EXP(-LN(2)/2))/(LN(2)/2)*CG64*CJ64*VLOOKUP('Données projet'!$B$12,Paramètres!$A$1:$I$89,3,0)*0.475*44/12</f>
        <v>1.5889164307178588E-4</v>
      </c>
      <c r="CN64" s="22">
        <f t="shared" si="12"/>
        <v>1.564518913841459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</v>
      </c>
      <c r="CT64" s="12">
        <f>IF('Données projet'!$A$140&gt;35,CT63+CS64-DB63,IF(A64&lt;'Données projet'!$A$140,$CQ$205^A64,IF(A64='Données projet'!$A$140,'Données projet'!$B$140,CT63+CS64-DB63)))</f>
        <v>200.00000000000017</v>
      </c>
      <c r="CU64" s="17">
        <f>CT64*VLOOKUP('Données projet'!$B$13,Paramètres!$A$1:$I$89,3,0)*VLOOKUP('Données projet'!$B$13,Paramètres!$A$1:$I$89,5,0)</f>
        <v>193.44000000000017</v>
      </c>
      <c r="CV64" s="13">
        <f t="shared" si="41"/>
        <v>48.299691961776787</v>
      </c>
      <c r="CW64" s="20">
        <f t="shared" si="13"/>
        <v>421.02996350009477</v>
      </c>
      <c r="CX64" s="59">
        <f t="shared" si="14"/>
        <v>714.36329683342808</v>
      </c>
      <c r="CY64" s="59">
        <f ca="1">AVERAGE(OFFSET($CX$3,0,0,'Données projet'!$E$13+1,1))-AVERAGE(OFFSET($H$3,0,0,'Données projet'!$E$13+1,1))</f>
        <v>293.19327646293601</v>
      </c>
      <c r="CZ64" s="59">
        <f t="shared" si="42"/>
        <v>200.0769581869605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1.40565683154058</v>
      </c>
      <c r="DH64" s="21">
        <f>EXP(-LN(2)/2)*DH63+(1-EXP(-LN(2)/2))/(LN(2)/2)*DB64*DE64*VLOOKUP('Données projet'!$B$13,Paramètres!$A$1:$I$89,3,0)*0.475*44/12</f>
        <v>1.4277220102102472E-4</v>
      </c>
      <c r="DI64" s="22">
        <f t="shared" si="15"/>
        <v>1.405799603741601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9.1999999999999993</v>
      </c>
      <c r="N65" s="13">
        <f>IF('Données projet'!$A$36&gt;35,N64+M65-V64,IF(A65&lt;'Données projet'!$A$36,$K$205^A65,IF(A65='Données projet'!$A$36,'Données projet'!$B$36,N64+M65-V64)))</f>
        <v>348.39999999999975</v>
      </c>
      <c r="O65" s="13">
        <f>N65*VLOOKUP('Données projet'!$B$9,Paramètres!$A$1:$I$89,3,0)*VLOOKUP('Données projet'!$B$9,Paramètres!$A$1:$I$89,5,0)</f>
        <v>208.34319999999988</v>
      </c>
      <c r="P65" s="13">
        <f t="shared" si="33"/>
        <v>51.573366479945882</v>
      </c>
      <c r="Q65" s="20">
        <f t="shared" si="53"/>
        <v>452.68801995257218</v>
      </c>
      <c r="R65" s="59">
        <f t="shared" si="0"/>
        <v>746.02135328590543</v>
      </c>
      <c r="S65" s="59">
        <f ca="1">AVERAGE(OFFSET($R$3,0,0,'Données projet'!$E$9+1,1))-AVERAGE(OFFSET($H$3,0,0,'Données projet'!$E$9+1,1))</f>
        <v>246.59447135626942</v>
      </c>
      <c r="T65" s="59">
        <f t="shared" si="34"/>
        <v>262.00382544285367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5.2912690199037486</v>
      </c>
      <c r="AB65" s="21">
        <f>EXP(-LN(2)/2)*AB64+(1-EXP(-LN(2)/2))/(LN(2)/2)*V65*Y65*VLOOKUP('Données projet'!$B$9,Paramètres!$A$1:$I$89,3,0)*0.475*44/12</f>
        <v>3.620812969027553E-4</v>
      </c>
      <c r="AC65" s="22">
        <f t="shared" si="3"/>
        <v>5.2916311012006512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316</v>
      </c>
      <c r="AG65" s="12">
        <f>VLOOKUP(A65,'Données projet'!$A$61:$I$81,9,0)</f>
        <v>2.625</v>
      </c>
      <c r="AH65" s="12">
        <f t="array" ref="AH65">INDEX(AG:AG,MIN(IF(ISNUMBER(AG65:AG261),ROW(AG65:AG261),"")))</f>
        <v>2.625</v>
      </c>
      <c r="AI65" s="13">
        <f>IF('Données projet'!$A$62&gt;35,AI64+AH65-AQ64,IF(A65&lt;'Données projet'!$A$62,$AF$205^A65,IF(A65='Données projet'!$A$62,'Données projet'!$B$62,AI64+AH65-AQ64)))</f>
        <v>316</v>
      </c>
      <c r="AJ65" s="13">
        <f>AI65*VLOOKUP('Données projet'!$B$10,Paramètres!$A$1:$I$89,3,0)*VLOOKUP('Données projet'!$B$10,Paramètres!$A$1:$I$89,5,0)</f>
        <v>188.96800000000002</v>
      </c>
      <c r="AK65" s="13">
        <f t="shared" si="35"/>
        <v>47.311720031947068</v>
      </c>
      <c r="AL65" s="20">
        <f t="shared" si="4"/>
        <v>411.52051238897451</v>
      </c>
      <c r="AM65" s="59">
        <f t="shared" si="5"/>
        <v>704.85384572230782</v>
      </c>
      <c r="AN65" s="59">
        <f ca="1">AVERAGE(OFFSET($AM$3,0,0,'Données projet'!$E$10+1,1))-AVERAGE(OFFSET($H$3,0,0,'Données projet'!$E$10+1,1))</f>
        <v>195.73441209602686</v>
      </c>
      <c r="AO65" s="59">
        <f t="shared" si="36"/>
        <v>219.19129224309006</v>
      </c>
      <c r="AP65" s="15">
        <f>IF(ISNA(VLOOKUP(A65,'Données projet'!$A$61:$I$81,3,0)),0,VLOOKUP(A65,'Données projet'!$A$61:$I$81,3,0))</f>
        <v>9</v>
      </c>
      <c r="AQ65" s="15">
        <f>IF(ISNA(VLOOKUP(A65,'Données projet'!$A$61:$I$81,4,0)),0,VLOOKUP(A65,'Données projet'!$A$61:$I$81,4,0))</f>
        <v>316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3.2962678405724826</v>
      </c>
      <c r="AV65" s="21">
        <f>EXP(-LN(2)/25)*AV64+(1-EXP(-LN(2)/25))/(LN(2)/25)*Calculateur!AQ65*Calculateur!AS65*VLOOKUP('Données projet'!$B$10,Paramètres!$A$1:$I$89,3,0)*0.475*44/12</f>
        <v>5.0778019288474718</v>
      </c>
      <c r="AW65" s="21">
        <f>EXP(-LN(2)/2)*AW64+(1-EXP(-LN(2)/2))/(LN(2)/2)*AQ65*AT65*VLOOKUP('Données projet'!$B$10,Paramètres!$A$1:$I$89,3,0)*0.475*44/12</f>
        <v>8.309467123526251E-5</v>
      </c>
      <c r="AX65" s="21">
        <f t="shared" si="6"/>
        <v>8.3741528640911884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187.29360000000014</v>
      </c>
      <c r="BF65" s="13">
        <f t="shared" si="37"/>
        <v>46.941107550760456</v>
      </c>
      <c r="BG65" s="20">
        <f t="shared" si="7"/>
        <v>407.95878231757462</v>
      </c>
      <c r="BH65" s="59">
        <f t="shared" si="8"/>
        <v>701.29211565090793</v>
      </c>
      <c r="BI65" s="59">
        <f ca="1">AVERAGE(OFFSET($BH$3,0,0,'Données projet'!$E$11+1,1))-AVERAGE(OFFSET($H$3,0,0,'Données projet'!$E$11+1,1))</f>
        <v>269.19146943657933</v>
      </c>
      <c r="BJ65" s="59">
        <f t="shared" si="38"/>
        <v>185.94138814570965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1.2790113895255759</v>
      </c>
      <c r="BR65" s="21">
        <f>EXP(-LN(2)/2)*BR64+(1-EXP(-LN(2)/2))/(LN(2)/2)*BL65*BO65*VLOOKUP('Données projet'!$B$11,Paramètres!$A$1:$I$89,3,0)*0.475*44/12</f>
        <v>9.4441953345160328E-5</v>
      </c>
      <c r="BS65" s="22">
        <f t="shared" si="9"/>
        <v>1.279105831478921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222.81480000000016</v>
      </c>
      <c r="CA65" s="13">
        <f t="shared" si="39"/>
        <v>54.726215188137957</v>
      </c>
      <c r="CB65" s="20">
        <f t="shared" si="10"/>
        <v>483.3839347860071</v>
      </c>
      <c r="CC65" s="59">
        <f t="shared" si="11"/>
        <v>776.71726811934036</v>
      </c>
      <c r="CD65" s="59">
        <f ca="1">AVERAGE(OFFSET($CC$3,0,0,'Données projet'!$E$12+1,1))-AVERAGE(OFFSET($H$3,0,0,'Données projet'!$E$12+1,1))</f>
        <v>335.12015893291874</v>
      </c>
      <c r="CE65" s="59">
        <f t="shared" si="40"/>
        <v>224.76596283033166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1.5215825151252542</v>
      </c>
      <c r="CM65" s="21">
        <f>EXP(-LN(2)/2)*CM64+(1-EXP(-LN(2)/2))/(LN(2)/2)*CG65*CJ65*VLOOKUP('Données projet'!$B$12,Paramètres!$A$1:$I$89,3,0)*0.475*44/12</f>
        <v>1.1235335828993231E-4</v>
      </c>
      <c r="CN65" s="22">
        <f t="shared" si="12"/>
        <v>1.5216948684835441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</v>
      </c>
      <c r="CT65" s="12">
        <f>IF('Données projet'!$A$140&gt;35,CT64+CS65-DB64,IF(A65&lt;'Données projet'!$A$140,$CQ$205^A65,IF(A65='Données projet'!$A$140,'Données projet'!$B$140,CT64+CS65-DB64)))</f>
        <v>207.00000000000017</v>
      </c>
      <c r="CU65" s="17">
        <f>CT65*VLOOKUP('Données projet'!$B$13,Paramètres!$A$1:$I$89,3,0)*VLOOKUP('Données projet'!$B$13,Paramètres!$A$1:$I$89,5,0)</f>
        <v>200.21040000000019</v>
      </c>
      <c r="CV65" s="13">
        <f t="shared" si="41"/>
        <v>49.790404447235098</v>
      </c>
      <c r="CW65" s="20">
        <f t="shared" si="13"/>
        <v>435.41806774560138</v>
      </c>
      <c r="CX65" s="59">
        <f t="shared" si="14"/>
        <v>728.75140107893469</v>
      </c>
      <c r="CY65" s="59">
        <f ca="1">AVERAGE(OFFSET($CX$3,0,0,'Données projet'!$E$13+1,1))-AVERAGE(OFFSET($H$3,0,0,'Données projet'!$E$13+1,1))</f>
        <v>293.19327646293601</v>
      </c>
      <c r="CZ65" s="59">
        <f t="shared" si="42"/>
        <v>200.0769581869605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1.3672190715618227</v>
      </c>
      <c r="DH65" s="21">
        <f>EXP(-LN(2)/2)*DH64+(1-EXP(-LN(2)/2))/(LN(2)/2)*DB65*DE65*VLOOKUP('Données projet'!$B$13,Paramètres!$A$1:$I$89,3,0)*0.475*44/12</f>
        <v>1.009551915068955E-4</v>
      </c>
      <c r="DI65" s="22">
        <f t="shared" si="15"/>
        <v>1.3673200267533296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9.1999999999999993</v>
      </c>
      <c r="N66" s="13">
        <f>IF('Données projet'!$A$36&gt;35,N65+M66-V65,IF(A66&lt;'Données projet'!$A$36,$K$205^A66,IF(A66='Données projet'!$A$36,'Données projet'!$B$36,N65+M66-V65)))</f>
        <v>357.59999999999974</v>
      </c>
      <c r="O66" s="13">
        <f>N66*VLOOKUP('Données projet'!$B$9,Paramètres!$A$1:$I$89,3,0)*VLOOKUP('Données projet'!$B$9,Paramètres!$A$1:$I$89,5,0)</f>
        <v>213.84479999999988</v>
      </c>
      <c r="P66" s="13">
        <f t="shared" si="33"/>
        <v>52.774882006161135</v>
      </c>
      <c r="Q66" s="20">
        <f t="shared" si="53"/>
        <v>464.36261282739719</v>
      </c>
      <c r="R66" s="59">
        <f t="shared" si="0"/>
        <v>757.6959461607305</v>
      </c>
      <c r="S66" s="59">
        <f ca="1">AVERAGE(OFFSET($R$3,0,0,'Données projet'!$E$9+1,1))-AVERAGE(OFFSET($H$3,0,0,'Données projet'!$E$9+1,1))</f>
        <v>246.59447135626942</v>
      </c>
      <c r="T66" s="59">
        <f t="shared" si="34"/>
        <v>262.00382544285367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5.1465789902987362</v>
      </c>
      <c r="AB66" s="21">
        <f>EXP(-LN(2)/2)*AB65+(1-EXP(-LN(2)/2))/(LN(2)/2)*V66*Y66*VLOOKUP('Données projet'!$B$9,Paramètres!$A$1:$I$89,3,0)*0.475*44/12</f>
        <v>2.5603014038075793E-4</v>
      </c>
      <c r="AC66" s="22">
        <f t="shared" si="3"/>
        <v>5.1468350204391173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195.73441209602686</v>
      </c>
      <c r="AO66" s="59">
        <f t="shared" si="36"/>
        <v>219.19129224309006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3.2316300387437162</v>
      </c>
      <c r="AV66" s="21">
        <f>EXP(-LN(2)/25)*AV65+(1-EXP(-LN(2)/25))/(LN(2)/25)*Calculateur!AQ66*Calculateur!AS66*VLOOKUP('Données projet'!$B$10,Paramètres!$A$1:$I$89,3,0)*0.475*44/12</f>
        <v>4.9389491680731394</v>
      </c>
      <c r="AW66" s="21">
        <f>EXP(-LN(2)/2)*AW65+(1-EXP(-LN(2)/2))/(LN(2)/2)*AQ66*AT66*VLOOKUP('Données projet'!$B$10,Paramètres!$A$1:$I$89,3,0)*0.475*44/12</f>
        <v>5.8756805510920875E-5</v>
      </c>
      <c r="AX66" s="21">
        <f t="shared" si="6"/>
        <v>8.1706379636223669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193.62720000000016</v>
      </c>
      <c r="BF66" s="13">
        <f t="shared" si="37"/>
        <v>48.340990547231236</v>
      </c>
      <c r="BG66" s="20">
        <f t="shared" si="7"/>
        <v>421.42793186976132</v>
      </c>
      <c r="BH66" s="59">
        <f t="shared" si="8"/>
        <v>714.76126520309458</v>
      </c>
      <c r="BI66" s="59">
        <f ca="1">AVERAGE(OFFSET($BH$3,0,0,'Données projet'!$E$11+1,1))-AVERAGE(OFFSET($H$3,0,0,'Données projet'!$E$11+1,1))</f>
        <v>269.19146943657933</v>
      </c>
      <c r="BJ66" s="59">
        <f t="shared" si="38"/>
        <v>185.94138814570965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1.2440367558187133</v>
      </c>
      <c r="BR66" s="21">
        <f>EXP(-LN(2)/2)*BR65+(1-EXP(-LN(2)/2))/(LN(2)/2)*BL66*BO66*VLOOKUP('Données projet'!$B$11,Paramètres!$A$1:$I$89,3,0)*0.475*44/12</f>
        <v>6.6780545638866413E-5</v>
      </c>
      <c r="BS66" s="22">
        <f t="shared" si="9"/>
        <v>1.2441035363643522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230.34960000000018</v>
      </c>
      <c r="CA66" s="13">
        <f t="shared" si="39"/>
        <v>56.35826654142636</v>
      </c>
      <c r="CB66" s="20">
        <f t="shared" si="10"/>
        <v>499.34953422631787</v>
      </c>
      <c r="CC66" s="59">
        <f t="shared" si="11"/>
        <v>792.68286755965119</v>
      </c>
      <c r="CD66" s="59">
        <f ca="1">AVERAGE(OFFSET($CC$3,0,0,'Données projet'!$E$12+1,1))-AVERAGE(OFFSET($H$3,0,0,'Données projet'!$E$12+1,1))</f>
        <v>335.12015893291874</v>
      </c>
      <c r="CE66" s="59">
        <f t="shared" si="40"/>
        <v>224.76596283033166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1.4799747612326073</v>
      </c>
      <c r="CM66" s="21">
        <f>EXP(-LN(2)/2)*CM65+(1-EXP(-LN(2)/2))/(LN(2)/2)*CG66*CJ66*VLOOKUP('Données projet'!$B$12,Paramètres!$A$1:$I$89,3,0)*0.475*44/12</f>
        <v>7.944582153589294E-5</v>
      </c>
      <c r="CN66" s="22">
        <f t="shared" si="12"/>
        <v>1.4800542070541431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</v>
      </c>
      <c r="CT66" s="12">
        <f>IF('Données projet'!$A$140&gt;35,CT65+CS66-DB65,IF(A66&lt;'Données projet'!$A$140,$CQ$205^A66,IF(A66='Données projet'!$A$140,'Données projet'!$B$140,CT65+CS66-DB65)))</f>
        <v>214.00000000000017</v>
      </c>
      <c r="CU66" s="17">
        <f>CT66*VLOOKUP('Données projet'!$B$13,Paramètres!$A$1:$I$89,3,0)*VLOOKUP('Données projet'!$B$13,Paramètres!$A$1:$I$89,5,0)</f>
        <v>206.98080000000016</v>
      </c>
      <c r="CV66" s="13">
        <f t="shared" si="41"/>
        <v>51.275259496675787</v>
      </c>
      <c r="CW66" s="20">
        <f t="shared" si="13"/>
        <v>449.7959702900439</v>
      </c>
      <c r="CX66" s="59">
        <f t="shared" si="14"/>
        <v>743.12930362337715</v>
      </c>
      <c r="CY66" s="59">
        <f ca="1">AVERAGE(OFFSET($CX$3,0,0,'Données projet'!$E$13+1,1))-AVERAGE(OFFSET($H$3,0,0,'Données projet'!$E$13+1,1))</f>
        <v>293.19327646293601</v>
      </c>
      <c r="CZ66" s="59">
        <f t="shared" si="42"/>
        <v>200.0769581869605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1.3298323941510384</v>
      </c>
      <c r="DH66" s="21">
        <f>EXP(-LN(2)/2)*DH65+(1-EXP(-LN(2)/2))/(LN(2)/2)*DB66*DE66*VLOOKUP('Données projet'!$B$13,Paramètres!$A$1:$I$89,3,0)*0.475*44/12</f>
        <v>7.1386100510512359E-5</v>
      </c>
      <c r="DI66" s="22">
        <f t="shared" si="15"/>
        <v>1.329903780251549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9.1999999999999993</v>
      </c>
      <c r="N67" s="13">
        <f>IF('Données projet'!$A$36&gt;35,N66+M67-V66,IF(A67&lt;'Données projet'!$A$36,$K$205^A67,IF(A67='Données projet'!$A$36,'Données projet'!$B$36,N66+M67-V66)))</f>
        <v>366.79999999999973</v>
      </c>
      <c r="O67" s="13">
        <f>N67*VLOOKUP('Données projet'!$B$9,Paramètres!$A$1:$I$89,3,0)*VLOOKUP('Données projet'!$B$9,Paramètres!$A$1:$I$89,5,0)</f>
        <v>219.34639999999987</v>
      </c>
      <c r="P67" s="13">
        <f t="shared" si="33"/>
        <v>53.972804400117923</v>
      </c>
      <c r="Q67" s="20">
        <f t="shared" ref="Q67:Q98" si="54">(O67+P67)*0.475*44/12</f>
        <v>476.03094766353843</v>
      </c>
      <c r="R67" s="59">
        <f t="shared" ref="R67:R130" si="55">Q67+(I67+J67)*44/12</f>
        <v>769.36428099687168</v>
      </c>
      <c r="S67" s="59">
        <f ca="1">AVERAGE(OFFSET($R$3,0,0,'Données projet'!$E$9+1,1))-AVERAGE(OFFSET($H$3,0,0,'Données projet'!$E$9+1,1))</f>
        <v>246.59447135626942</v>
      </c>
      <c r="T67" s="59">
        <f t="shared" si="34"/>
        <v>262.00382544285367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5.0058455171621912</v>
      </c>
      <c r="AB67" s="21">
        <f>EXP(-LN(2)/2)*AB66+(1-EXP(-LN(2)/2))/(LN(2)/2)*V67*Y67*VLOOKUP('Données projet'!$B$9,Paramètres!$A$1:$I$89,3,0)*0.475*44/12</f>
        <v>1.8104064845137765E-4</v>
      </c>
      <c r="AC67" s="22">
        <f t="shared" si="3"/>
        <v>5.0060265578106424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195.73441209602686</v>
      </c>
      <c r="AO67" s="59">
        <f t="shared" si="36"/>
        <v>219.19129224309006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3.1682597447836458</v>
      </c>
      <c r="AV67" s="21">
        <f>EXP(-LN(2)/25)*AV66+(1-EXP(-LN(2)/25))/(LN(2)/25)*Calculateur!AQ67*Calculateur!AS67*VLOOKUP('Données projet'!$B$10,Paramètres!$A$1:$I$89,3,0)*0.475*44/12</f>
        <v>4.8038933433441304</v>
      </c>
      <c r="AW67" s="21">
        <f>EXP(-LN(2)/2)*AW66+(1-EXP(-LN(2)/2))/(LN(2)/2)*AQ67*AT67*VLOOKUP('Données projet'!$B$10,Paramètres!$A$1:$I$89,3,0)*0.475*44/12</f>
        <v>4.1547335617631262E-5</v>
      </c>
      <c r="AX67" s="21">
        <f t="shared" si="6"/>
        <v>7.972194635463393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199.96080000000015</v>
      </c>
      <c r="BF67" s="13">
        <f t="shared" si="37"/>
        <v>49.735552653569265</v>
      </c>
      <c r="BG67" s="20">
        <f t="shared" si="7"/>
        <v>434.88781420496679</v>
      </c>
      <c r="BH67" s="59">
        <f t="shared" si="8"/>
        <v>728.2211475383001</v>
      </c>
      <c r="BI67" s="59">
        <f ca="1">AVERAGE(OFFSET($BH$3,0,0,'Données projet'!$E$11+1,1))-AVERAGE(OFFSET($H$3,0,0,'Données projet'!$E$11+1,1))</f>
        <v>269.19146943657933</v>
      </c>
      <c r="BJ67" s="59">
        <f t="shared" si="38"/>
        <v>185.94138814570965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1.2100185053098009</v>
      </c>
      <c r="BR67" s="21">
        <f>EXP(-LN(2)/2)*BR66+(1-EXP(-LN(2)/2))/(LN(2)/2)*BL67*BO67*VLOOKUP('Données projet'!$B$11,Paramètres!$A$1:$I$89,3,0)*0.475*44/12</f>
        <v>4.7220976672580164E-5</v>
      </c>
      <c r="BS67" s="22">
        <f t="shared" si="9"/>
        <v>1.2100657262864736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237.88440000000014</v>
      </c>
      <c r="CA67" s="13">
        <f t="shared" si="39"/>
        <v>57.984114543460585</v>
      </c>
      <c r="CB67" s="20">
        <f t="shared" si="10"/>
        <v>515.30432949652743</v>
      </c>
      <c r="CC67" s="59">
        <f t="shared" si="11"/>
        <v>808.6376628298608</v>
      </c>
      <c r="CD67" s="59">
        <f ca="1">AVERAGE(OFFSET($CC$3,0,0,'Données projet'!$E$12+1,1))-AVERAGE(OFFSET($H$3,0,0,'Données projet'!$E$12+1,1))</f>
        <v>335.12015893291874</v>
      </c>
      <c r="CE67" s="59">
        <f t="shared" si="40"/>
        <v>224.76596283033166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1.4395047735582114</v>
      </c>
      <c r="CM67" s="21">
        <f>EXP(-LN(2)/2)*CM66+(1-EXP(-LN(2)/2))/(LN(2)/2)*CG67*CJ67*VLOOKUP('Données projet'!$B$12,Paramètres!$A$1:$I$89,3,0)*0.475*44/12</f>
        <v>5.6176679144966155E-5</v>
      </c>
      <c r="CN67" s="22">
        <f t="shared" si="12"/>
        <v>1.4395609502373563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</v>
      </c>
      <c r="CT67" s="12">
        <f>IF('Données projet'!$A$140&gt;35,CT66+CS67-DB66,IF(A67&lt;'Données projet'!$A$140,$CQ$205^A67,IF(A67='Données projet'!$A$140,'Données projet'!$B$140,CT66+CS67-DB66)))</f>
        <v>221.00000000000017</v>
      </c>
      <c r="CU67" s="17">
        <f>CT67*VLOOKUP('Données projet'!$B$13,Paramètres!$A$1:$I$89,3,0)*VLOOKUP('Données projet'!$B$13,Paramètres!$A$1:$I$89,5,0)</f>
        <v>213.75120000000015</v>
      </c>
      <c r="CV67" s="13">
        <f t="shared" si="41"/>
        <v>52.75447068116425</v>
      </c>
      <c r="CW67" s="20">
        <f t="shared" si="13"/>
        <v>464.16404310302801</v>
      </c>
      <c r="CX67" s="59">
        <f t="shared" si="14"/>
        <v>757.49737643636126</v>
      </c>
      <c r="CY67" s="59">
        <f ca="1">AVERAGE(OFFSET($CX$3,0,0,'Données projet'!$E$13+1,1))-AVERAGE(OFFSET($H$3,0,0,'Données projet'!$E$13+1,1))</f>
        <v>293.19327646293601</v>
      </c>
      <c r="CZ67" s="59">
        <f t="shared" si="42"/>
        <v>200.0769581869605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1.293468057400132</v>
      </c>
      <c r="DH67" s="21">
        <f>EXP(-LN(2)/2)*DH66+(1-EXP(-LN(2)/2))/(LN(2)/2)*DB67*DE67*VLOOKUP('Données projet'!$B$13,Paramètres!$A$1:$I$89,3,0)*0.475*44/12</f>
        <v>5.0477595753447752E-5</v>
      </c>
      <c r="DI67" s="22">
        <f t="shared" si="15"/>
        <v>1.2935185349958855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9.1999999999999993</v>
      </c>
      <c r="N68" s="13">
        <f>IF('Données projet'!$A$36&gt;35,N67+M68-V67,IF(A68&lt;'Données projet'!$A$36,$K$205^A68,IF(A68='Données projet'!$A$36,'Données projet'!$B$36,N67+M68-V67)))</f>
        <v>375.99999999999972</v>
      </c>
      <c r="O68" s="13">
        <f>N68*VLOOKUP('Données projet'!$B$9,Paramètres!$A$1:$I$89,3,0)*VLOOKUP('Données projet'!$B$9,Paramètres!$A$1:$I$89,5,0)</f>
        <v>224.84799999999984</v>
      </c>
      <c r="P68" s="13">
        <f t="shared" si="33"/>
        <v>55.167234148809698</v>
      </c>
      <c r="Q68" s="20">
        <f t="shared" si="54"/>
        <v>487.69319947584319</v>
      </c>
      <c r="R68" s="59">
        <f t="shared" si="55"/>
        <v>781.0265328091765</v>
      </c>
      <c r="S68" s="59">
        <f ca="1">AVERAGE(OFFSET($R$3,0,0,'Données projet'!$E$9+1,1))-AVERAGE(OFFSET($H$3,0,0,'Données projet'!$E$9+1,1))</f>
        <v>246.59447135626942</v>
      </c>
      <c r="T68" s="59">
        <f t="shared" si="34"/>
        <v>262.00382544285367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4.868960408249416</v>
      </c>
      <c r="AB68" s="21">
        <f>EXP(-LN(2)/2)*AB67+(1-EXP(-LN(2)/2))/(LN(2)/2)*V68*Y68*VLOOKUP('Données projet'!$B$9,Paramètres!$A$1:$I$89,3,0)*0.475*44/12</f>
        <v>1.2801507019037897E-4</v>
      </c>
      <c r="AC68" s="22">
        <f t="shared" ref="AC68:AC131" si="57">SUM(Z68:AB68)</f>
        <v>4.8690884233196066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195.73441209602686</v>
      </c>
      <c r="AO68" s="59">
        <f t="shared" si="36"/>
        <v>219.19129224309006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3.1061321036360696</v>
      </c>
      <c r="AV68" s="21">
        <f>EXP(-LN(2)/25)*AV67+(1-EXP(-LN(2)/25))/(LN(2)/25)*Calculateur!AQ68*Calculateur!AS68*VLOOKUP('Données projet'!$B$10,Paramètres!$A$1:$I$89,3,0)*0.475*44/12</f>
        <v>4.6725306272446137</v>
      </c>
      <c r="AW68" s="21">
        <f>EXP(-LN(2)/2)*AW67+(1-EXP(-LN(2)/2))/(LN(2)/2)*AQ68*AT68*VLOOKUP('Données projet'!$B$10,Paramètres!$A$1:$I$89,3,0)*0.475*44/12</f>
        <v>2.9378402755460444E-5</v>
      </c>
      <c r="AX68" s="21">
        <f t="shared" ref="AX68:AX131" si="60">SUM(AU68:AW68)</f>
        <v>7.7786921092834387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206.29440000000017</v>
      </c>
      <c r="BF68" s="13">
        <f t="shared" si="37"/>
        <v>51.124981739560774</v>
      </c>
      <c r="BG68" s="20">
        <f t="shared" ref="BG68:BG131" si="61">(BE68+BF68)*0.475*44/12</f>
        <v>448.33875652973529</v>
      </c>
      <c r="BH68" s="59">
        <f t="shared" ref="BH68:BH131" si="62">BG68+(AY68+AZ68)*44/12</f>
        <v>741.67208986306855</v>
      </c>
      <c r="BI68" s="59">
        <f ca="1">AVERAGE(OFFSET($BH$3,0,0,'Données projet'!$E$11+1,1))-AVERAGE(OFFSET($H$3,0,0,'Données projet'!$E$11+1,1))</f>
        <v>269.19146943657933</v>
      </c>
      <c r="BJ68" s="59">
        <f t="shared" si="38"/>
        <v>185.94138814570965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1.1769304856499967</v>
      </c>
      <c r="BR68" s="21">
        <f>EXP(-LN(2)/2)*BR67+(1-EXP(-LN(2)/2))/(LN(2)/2)*BL68*BO68*VLOOKUP('Données projet'!$B$11,Paramètres!$A$1:$I$89,3,0)*0.475*44/12</f>
        <v>3.3390272819433207E-5</v>
      </c>
      <c r="BS68" s="22">
        <f t="shared" ref="BS68:BS131" si="63">SUM(BP68:BR68)</f>
        <v>1.176963875922816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245.41920000000019</v>
      </c>
      <c r="CA68" s="13">
        <f t="shared" si="39"/>
        <v>59.603978221930504</v>
      </c>
      <c r="CB68" s="20">
        <f t="shared" ref="CB68:CB131" si="64">(BZ68+CA68)*0.475*44/12</f>
        <v>531.2487020698627</v>
      </c>
      <c r="CC68" s="59">
        <f t="shared" ref="CC68:CC131" si="65">CB68+(BT68+BU68)*44/12</f>
        <v>824.58203540319596</v>
      </c>
      <c r="CD68" s="59">
        <f ca="1">AVERAGE(OFFSET($CC$3,0,0,'Données projet'!$E$12+1,1))-AVERAGE(OFFSET($H$3,0,0,'Données projet'!$E$12+1,1))</f>
        <v>335.12015893291874</v>
      </c>
      <c r="CE68" s="59">
        <f t="shared" si="40"/>
        <v>224.76596283033166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1.4001414398249961</v>
      </c>
      <c r="CM68" s="21">
        <f>EXP(-LN(2)/2)*CM67+(1-EXP(-LN(2)/2))/(LN(2)/2)*CG68*CJ68*VLOOKUP('Données projet'!$B$12,Paramètres!$A$1:$I$89,3,0)*0.475*44/12</f>
        <v>3.972291076794647E-5</v>
      </c>
      <c r="CN68" s="22">
        <f t="shared" ref="CN68:CN131" si="66">SUM(CK68:CM68)</f>
        <v>1.4001811627357641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</v>
      </c>
      <c r="CT68" s="12">
        <f>IF('Données projet'!$A$140&gt;35,CT67+CS68-DB67,IF(A68&lt;'Données projet'!$A$140,$CQ$205^A68,IF(A68='Données projet'!$A$140,'Données projet'!$B$140,CT67+CS68-DB67)))</f>
        <v>228.00000000000017</v>
      </c>
      <c r="CU68" s="17">
        <f>CT68*VLOOKUP('Données projet'!$B$13,Paramètres!$A$1:$I$89,3,0)*VLOOKUP('Données projet'!$B$13,Paramètres!$A$1:$I$89,5,0)</f>
        <v>220.52160000000015</v>
      </c>
      <c r="CV68" s="13">
        <f t="shared" si="41"/>
        <v>54.228237274069159</v>
      </c>
      <c r="CW68" s="20">
        <f t="shared" ref="CW68:CW131" si="67">(CU68+CV68)*0.475*44/12</f>
        <v>478.5226332523373</v>
      </c>
      <c r="CX68" s="59">
        <f t="shared" ref="CX68:CX131" si="68">CW68+(CO68+CP68)*44/12</f>
        <v>771.85596658567056</v>
      </c>
      <c r="CY68" s="59">
        <f ca="1">AVERAGE(OFFSET($CX$3,0,0,'Données projet'!$E$13+1,1))-AVERAGE(OFFSET($H$3,0,0,'Données projet'!$E$13+1,1))</f>
        <v>293.19327646293601</v>
      </c>
      <c r="CZ68" s="59">
        <f t="shared" si="42"/>
        <v>200.0769581869605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1.2580981053499967</v>
      </c>
      <c r="DH68" s="21">
        <f>EXP(-LN(2)/2)*DH67+(1-EXP(-LN(2)/2))/(LN(2)/2)*DB68*DE68*VLOOKUP('Données projet'!$B$13,Paramètres!$A$1:$I$89,3,0)*0.475*44/12</f>
        <v>3.5693050255256179E-5</v>
      </c>
      <c r="DI68" s="22">
        <f t="shared" ref="DI68:DI131" si="69">SUM(DF68:DH68)</f>
        <v>1.2581337984002519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9.1999999999999993</v>
      </c>
      <c r="N69" s="13">
        <f>IF('Données projet'!$A$36&gt;35,N68+M69-V68,IF(A69&lt;'Données projet'!$A$36,$K$205^A69,IF(A69='Données projet'!$A$36,'Données projet'!$B$36,N68+M69-V68)))</f>
        <v>385.1999999999997</v>
      </c>
      <c r="O69" s="13">
        <f>N69*VLOOKUP('Données projet'!$B$9,Paramètres!$A$1:$I$89,3,0)*VLOOKUP('Données projet'!$B$9,Paramètres!$A$1:$I$89,5,0)</f>
        <v>230.34959999999984</v>
      </c>
      <c r="P69" s="13">
        <f t="shared" ref="P69:P132" si="87">EXP(-1.0587+0.8836*LN(O69)+0.284)</f>
        <v>56.358266541426261</v>
      </c>
      <c r="Q69" s="20">
        <f t="shared" si="54"/>
        <v>499.34953422631708</v>
      </c>
      <c r="R69" s="59">
        <f t="shared" si="55"/>
        <v>792.68286755965039</v>
      </c>
      <c r="S69" s="59">
        <f ca="1">AVERAGE(OFFSET($R$3,0,0,'Données projet'!$E$9+1,1))-AVERAGE(OFFSET($H$3,0,0,'Données projet'!$E$9+1,1))</f>
        <v>246.59447135626942</v>
      </c>
      <c r="T69" s="59">
        <f t="shared" ref="T69:T132" si="88">$T$3</f>
        <v>262.00382544285367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4.7358184298383357</v>
      </c>
      <c r="AB69" s="21">
        <f>EXP(-LN(2)/2)*AB68+(1-EXP(-LN(2)/2))/(LN(2)/2)*V69*Y69*VLOOKUP('Données projet'!$B$9,Paramètres!$A$1:$I$89,3,0)*0.475*44/12</f>
        <v>9.0520324225688826E-5</v>
      </c>
      <c r="AC69" s="22">
        <f t="shared" si="57"/>
        <v>4.7359089501625613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195.73441209602686</v>
      </c>
      <c r="AO69" s="59">
        <f t="shared" ref="AO69:AO132" si="90">$AO$3</f>
        <v>219.19129224309006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3.0452227476372777</v>
      </c>
      <c r="AV69" s="21">
        <f>EXP(-LN(2)/25)*AV68+(1-EXP(-LN(2)/25))/(LN(2)/25)*Calculateur!AQ69*Calculateur!AS69*VLOOKUP('Données projet'!$B$10,Paramètres!$A$1:$I$89,3,0)*0.475*44/12</f>
        <v>4.5447600315249028</v>
      </c>
      <c r="AW69" s="21">
        <f>EXP(-LN(2)/2)*AW68+(1-EXP(-LN(2)/2))/(LN(2)/2)*AQ69*AT69*VLOOKUP('Données projet'!$B$10,Paramètres!$A$1:$I$89,3,0)*0.475*44/12</f>
        <v>2.0773667808815634E-5</v>
      </c>
      <c r="AX69" s="21">
        <f t="shared" si="60"/>
        <v>7.5900035528299901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212.62800000000016</v>
      </c>
      <c r="BF69" s="13">
        <f t="shared" ref="BF69:BF132" si="91">EXP(-1.0587+0.8836*LN(BE69)+0.284)</f>
        <v>52.509453483719085</v>
      </c>
      <c r="BG69" s="20">
        <f t="shared" si="61"/>
        <v>461.78106481747767</v>
      </c>
      <c r="BH69" s="59">
        <f t="shared" si="62"/>
        <v>755.11439815081098</v>
      </c>
      <c r="BI69" s="59">
        <f ca="1">AVERAGE(OFFSET($BH$3,0,0,'Données projet'!$E$11+1,1))-AVERAGE(OFFSET($H$3,0,0,'Données projet'!$E$11+1,1))</f>
        <v>269.19146943657933</v>
      </c>
      <c r="BJ69" s="59">
        <f t="shared" ref="BJ69:BJ132" si="92">$BJ$3</f>
        <v>185.94138814570965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1.1447472596278132</v>
      </c>
      <c r="BR69" s="21">
        <f>EXP(-LN(2)/2)*BR68+(1-EXP(-LN(2)/2))/(LN(2)/2)*BL69*BO69*VLOOKUP('Données projet'!$B$11,Paramètres!$A$1:$I$89,3,0)*0.475*44/12</f>
        <v>2.3610488336290082E-5</v>
      </c>
      <c r="BS69" s="22">
        <f t="shared" si="63"/>
        <v>1.1447708701161494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252.95400000000015</v>
      </c>
      <c r="CA69" s="13">
        <f t="shared" ref="CA69:CA132" si="93">EXP(-1.0587+0.8836*LN(BZ69)+0.284)</f>
        <v>61.218062391350081</v>
      </c>
      <c r="CB69" s="20">
        <f t="shared" si="64"/>
        <v>547.18300866493496</v>
      </c>
      <c r="CC69" s="59">
        <f t="shared" si="65"/>
        <v>840.51634199826822</v>
      </c>
      <c r="CD69" s="59">
        <f ca="1">AVERAGE(OFFSET($CC$3,0,0,'Données projet'!$E$12+1,1))-AVERAGE(OFFSET($H$3,0,0,'Données projet'!$E$12+1,1))</f>
        <v>335.12015893291874</v>
      </c>
      <c r="CE69" s="59">
        <f t="shared" ref="CE69:CE132" si="94">$CE$3</f>
        <v>224.76596283033166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1.3618544985227432</v>
      </c>
      <c r="CM69" s="21">
        <f>EXP(-LN(2)/2)*CM68+(1-EXP(-LN(2)/2))/(LN(2)/2)*CG69*CJ69*VLOOKUP('Données projet'!$B$12,Paramètres!$A$1:$I$89,3,0)*0.475*44/12</f>
        <v>2.8088339572483077E-5</v>
      </c>
      <c r="CN69" s="22">
        <f t="shared" si="66"/>
        <v>1.3618825868623157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</v>
      </c>
      <c r="CT69" s="12">
        <f>IF('Données projet'!$A$140&gt;35,CT68+CS69-DB68,IF(A69&lt;'Données projet'!$A$140,$CQ$205^A69,IF(A69='Données projet'!$A$140,'Données projet'!$B$140,CT68+CS69-DB68)))</f>
        <v>235.00000000000017</v>
      </c>
      <c r="CU69" s="17">
        <f>CT69*VLOOKUP('Données projet'!$B$13,Paramètres!$A$1:$I$89,3,0)*VLOOKUP('Données projet'!$B$13,Paramètres!$A$1:$I$89,5,0)</f>
        <v>227.29200000000017</v>
      </c>
      <c r="CV69" s="13">
        <f t="shared" ref="CV69:CV132" si="95">EXP(-1.0587+0.8836*LN(CU69)+0.284)</f>
        <v>55.696745617483749</v>
      </c>
      <c r="CW69" s="20">
        <f t="shared" si="67"/>
        <v>492.87206528378442</v>
      </c>
      <c r="CX69" s="59">
        <f t="shared" si="68"/>
        <v>786.20539861711768</v>
      </c>
      <c r="CY69" s="59">
        <f ca="1">AVERAGE(OFFSET($CX$3,0,0,'Données projet'!$E$13+1,1))-AVERAGE(OFFSET($H$3,0,0,'Données projet'!$E$13+1,1))</f>
        <v>293.19327646293601</v>
      </c>
      <c r="CZ69" s="59">
        <f t="shared" ref="CZ69:CZ132" si="96">$CZ$3</f>
        <v>200.0769581869605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1.223695346498697</v>
      </c>
      <c r="DH69" s="21">
        <f>EXP(-LN(2)/2)*DH68+(1-EXP(-LN(2)/2))/(LN(2)/2)*DB69*DE69*VLOOKUP('Données projet'!$B$13,Paramètres!$A$1:$I$89,3,0)*0.475*44/12</f>
        <v>2.5238797876723876E-5</v>
      </c>
      <c r="DI69" s="22">
        <f t="shared" si="69"/>
        <v>1.2237205852965738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9.1999999999999993</v>
      </c>
      <c r="N70" s="13">
        <f>IF('Données projet'!$A$36&gt;35,N69+M70-V69,IF(A70&lt;'Données projet'!$A$36,$K$205^A70,IF(A70='Données projet'!$A$36,'Données projet'!$B$36,N69+M70-V69)))</f>
        <v>394.39999999999969</v>
      </c>
      <c r="O70" s="13">
        <f>N70*VLOOKUP('Données projet'!$B$9,Paramètres!$A$1:$I$89,3,0)*VLOOKUP('Données projet'!$B$9,Paramètres!$A$1:$I$89,5,0)</f>
        <v>235.85119999999984</v>
      </c>
      <c r="P70" s="13">
        <f t="shared" si="87"/>
        <v>57.545992055843016</v>
      </c>
      <c r="Q70" s="20">
        <f t="shared" si="54"/>
        <v>511.0001094972597</v>
      </c>
      <c r="R70" s="59">
        <f t="shared" si="55"/>
        <v>804.33344283059296</v>
      </c>
      <c r="S70" s="59">
        <f ca="1">AVERAGE(OFFSET($R$3,0,0,'Données projet'!$E$9+1,1))-AVERAGE(OFFSET($H$3,0,0,'Données projet'!$E$9+1,1))</f>
        <v>246.59447135626942</v>
      </c>
      <c r="T70" s="59">
        <f t="shared" si="88"/>
        <v>262.00382544285367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4.6063172258285388</v>
      </c>
      <c r="AB70" s="21">
        <f>EXP(-LN(2)/2)*AB69+(1-EXP(-LN(2)/2))/(LN(2)/2)*V70*Y70*VLOOKUP('Données projet'!$B$9,Paramètres!$A$1:$I$89,3,0)*0.475*44/12</f>
        <v>6.4007535095189484E-5</v>
      </c>
      <c r="AC70" s="22">
        <f t="shared" si="57"/>
        <v>4.606381233363634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195.73441209602686</v>
      </c>
      <c r="AO70" s="59">
        <f t="shared" si="90"/>
        <v>219.19129224309006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2.9855077869585833</v>
      </c>
      <c r="AV70" s="21">
        <f>EXP(-LN(2)/25)*AV69+(1-EXP(-LN(2)/25))/(LN(2)/25)*Calculateur!AQ70*Calculateur!AS70*VLOOKUP('Données projet'!$B$10,Paramètres!$A$1:$I$89,3,0)*0.475*44/12</f>
        <v>4.4204833294643118</v>
      </c>
      <c r="AW70" s="21">
        <f>EXP(-LN(2)/2)*AW69+(1-EXP(-LN(2)/2))/(LN(2)/2)*AQ70*AT70*VLOOKUP('Données projet'!$B$10,Paramètres!$A$1:$I$89,3,0)*0.475*44/12</f>
        <v>1.4689201377730224E-5</v>
      </c>
      <c r="AX70" s="21">
        <f t="shared" si="60"/>
        <v>7.4060058056242726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218.96160000000017</v>
      </c>
      <c r="BF70" s="13">
        <f t="shared" si="91"/>
        <v>53.889132503707479</v>
      </c>
      <c r="BG70" s="20">
        <f t="shared" si="61"/>
        <v>475.2150257772908</v>
      </c>
      <c r="BH70" s="59">
        <f t="shared" si="62"/>
        <v>768.54835911062412</v>
      </c>
      <c r="BI70" s="59">
        <f ca="1">AVERAGE(OFFSET($BH$3,0,0,'Données projet'!$E$11+1,1))-AVERAGE(OFFSET($H$3,0,0,'Données projet'!$E$11+1,1))</f>
        <v>269.19146943657933</v>
      </c>
      <c r="BJ70" s="59">
        <f t="shared" si="92"/>
        <v>185.94138814570965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1.1134440856136487</v>
      </c>
      <c r="BR70" s="21">
        <f>EXP(-LN(2)/2)*BR69+(1-EXP(-LN(2)/2))/(LN(2)/2)*BL70*BO70*VLOOKUP('Données projet'!$B$11,Paramètres!$A$1:$I$89,3,0)*0.475*44/12</f>
        <v>1.6695136409716603E-5</v>
      </c>
      <c r="BS70" s="22">
        <f t="shared" si="63"/>
        <v>1.1134607807500585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260.4888000000002</v>
      </c>
      <c r="CA70" s="13">
        <f t="shared" si="93"/>
        <v>62.826558970958821</v>
      </c>
      <c r="CB70" s="20">
        <f t="shared" si="64"/>
        <v>563.10758354108691</v>
      </c>
      <c r="CC70" s="59">
        <f t="shared" si="65"/>
        <v>856.44091687442028</v>
      </c>
      <c r="CD70" s="59">
        <f ca="1">AVERAGE(OFFSET($CC$3,0,0,'Données projet'!$E$12+1,1))-AVERAGE(OFFSET($H$3,0,0,'Données projet'!$E$12+1,1))</f>
        <v>335.12015893291874</v>
      </c>
      <c r="CE70" s="59">
        <f t="shared" si="94"/>
        <v>224.76596283033166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1.3246145156438234</v>
      </c>
      <c r="CM70" s="21">
        <f>EXP(-LN(2)/2)*CM69+(1-EXP(-LN(2)/2))/(LN(2)/2)*CG70*CJ70*VLOOKUP('Données projet'!$B$12,Paramètres!$A$1:$I$89,3,0)*0.475*44/12</f>
        <v>1.9861455383973235E-5</v>
      </c>
      <c r="CN70" s="22">
        <f t="shared" si="66"/>
        <v>1.3246343770992073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</v>
      </c>
      <c r="CT70" s="12">
        <f>IF('Données projet'!$A$140&gt;35,CT69+CS70-DB69,IF(A70&lt;'Données projet'!$A$140,$CQ$205^A70,IF(A70='Données projet'!$A$140,'Données projet'!$B$140,CT69+CS70-DB69)))</f>
        <v>242.00000000000017</v>
      </c>
      <c r="CU70" s="17">
        <f>CT70*VLOOKUP('Données projet'!$B$13,Paramètres!$A$1:$I$89,3,0)*VLOOKUP('Données projet'!$B$13,Paramètres!$A$1:$I$89,5,0)</f>
        <v>234.06240000000017</v>
      </c>
      <c r="CV70" s="13">
        <f t="shared" si="95"/>
        <v>57.160170321263926</v>
      </c>
      <c r="CW70" s="20">
        <f t="shared" si="67"/>
        <v>507.21264330953494</v>
      </c>
      <c r="CX70" s="59">
        <f t="shared" si="68"/>
        <v>800.54597664286825</v>
      </c>
      <c r="CY70" s="59">
        <f ca="1">AVERAGE(OFFSET($CX$3,0,0,'Données projet'!$E$13+1,1))-AVERAGE(OFFSET($H$3,0,0,'Données projet'!$E$13+1,1))</f>
        <v>293.19327646293601</v>
      </c>
      <c r="CZ70" s="59">
        <f t="shared" si="96"/>
        <v>200.0769581869605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1.1902333328973487</v>
      </c>
      <c r="DH70" s="21">
        <f>EXP(-LN(2)/2)*DH69+(1-EXP(-LN(2)/2))/(LN(2)/2)*DB70*DE70*VLOOKUP('Données projet'!$B$13,Paramètres!$A$1:$I$89,3,0)*0.475*44/12</f>
        <v>1.784652512762809E-5</v>
      </c>
      <c r="DI70" s="22">
        <f t="shared" si="69"/>
        <v>1.1902511794224764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9.1999999999999993</v>
      </c>
      <c r="N71" s="13">
        <f>IF('Données projet'!$A$36&gt;35,N70+M71-V70,IF(A71&lt;'Données projet'!$A$36,$K$205^A71,IF(A71='Données projet'!$A$36,'Données projet'!$B$36,N70+M71-V70)))</f>
        <v>403.59999999999968</v>
      </c>
      <c r="O71" s="13">
        <f>N71*VLOOKUP('Données projet'!$B$9,Paramètres!$A$1:$I$89,3,0)*VLOOKUP('Données projet'!$B$9,Paramètres!$A$1:$I$89,5,0)</f>
        <v>241.35279999999983</v>
      </c>
      <c r="P71" s="13">
        <f t="shared" si="87"/>
        <v>58.730496708031964</v>
      </c>
      <c r="Q71" s="20">
        <f t="shared" si="54"/>
        <v>522.64507509982207</v>
      </c>
      <c r="R71" s="59">
        <f t="shared" si="55"/>
        <v>815.97840843315544</v>
      </c>
      <c r="S71" s="59">
        <f ca="1">AVERAGE(OFFSET($R$3,0,0,'Données projet'!$E$9+1,1))-AVERAGE(OFFSET($H$3,0,0,'Données projet'!$E$9+1,1))</f>
        <v>246.59447135626942</v>
      </c>
      <c r="T71" s="59">
        <f t="shared" si="88"/>
        <v>262.00382544285367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4.4803572390525623</v>
      </c>
      <c r="AB71" s="21">
        <f>EXP(-LN(2)/2)*AB70+(1-EXP(-LN(2)/2))/(LN(2)/2)*V71*Y71*VLOOKUP('Données projet'!$B$9,Paramètres!$A$1:$I$89,3,0)*0.475*44/12</f>
        <v>4.5260162112844413E-5</v>
      </c>
      <c r="AC71" s="22">
        <f t="shared" si="57"/>
        <v>4.4804024992146756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195.73441209602686</v>
      </c>
      <c r="AO71" s="59">
        <f t="shared" si="90"/>
        <v>219.19129224309006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2.9269638002362686</v>
      </c>
      <c r="AV71" s="21">
        <f>EXP(-LN(2)/25)*AV70+(1-EXP(-LN(2)/25))/(LN(2)/25)*Calculateur!AQ71*Calculateur!AS71*VLOOKUP('Données projet'!$B$10,Paramètres!$A$1:$I$89,3,0)*0.475*44/12</f>
        <v>4.2996049803569951</v>
      </c>
      <c r="AW71" s="21">
        <f>EXP(-LN(2)/2)*AW70+(1-EXP(-LN(2)/2))/(LN(2)/2)*AQ71*AT71*VLOOKUP('Données projet'!$B$10,Paramètres!$A$1:$I$89,3,0)*0.475*44/12</f>
        <v>1.0386833904407819E-5</v>
      </c>
      <c r="AX71" s="21">
        <f t="shared" si="60"/>
        <v>7.2265791674271673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225.29520000000016</v>
      </c>
      <c r="BF71" s="13">
        <f t="shared" si="91"/>
        <v>55.264173352293128</v>
      </c>
      <c r="BG71" s="20">
        <f t="shared" si="61"/>
        <v>488.64090858857736</v>
      </c>
      <c r="BH71" s="59">
        <f t="shared" si="62"/>
        <v>781.97424192191068</v>
      </c>
      <c r="BI71" s="59">
        <f ca="1">AVERAGE(OFFSET($BH$3,0,0,'Données projet'!$E$11+1,1))-AVERAGE(OFFSET($H$3,0,0,'Données projet'!$E$11+1,1))</f>
        <v>269.19146943657933</v>
      </c>
      <c r="BJ71" s="59">
        <f t="shared" si="92"/>
        <v>185.94138814570965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1.0829968985390639</v>
      </c>
      <c r="BR71" s="21">
        <f>EXP(-LN(2)/2)*BR70+(1-EXP(-LN(2)/2))/(LN(2)/2)*BL71*BO71*VLOOKUP('Données projet'!$B$11,Paramètres!$A$1:$I$89,3,0)*0.475*44/12</f>
        <v>1.1805244168145041E-5</v>
      </c>
      <c r="BS71" s="22">
        <f t="shared" si="63"/>
        <v>1.0830087037832321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268.02360000000022</v>
      </c>
      <c r="CA71" s="13">
        <f t="shared" si="93"/>
        <v>64.429648145853278</v>
      </c>
      <c r="CB71" s="20">
        <f t="shared" si="64"/>
        <v>579.02274052069481</v>
      </c>
      <c r="CC71" s="59">
        <f t="shared" si="65"/>
        <v>872.35607385402818</v>
      </c>
      <c r="CD71" s="59">
        <f ca="1">AVERAGE(OFFSET($CC$3,0,0,'Données projet'!$E$12+1,1))-AVERAGE(OFFSET($H$3,0,0,'Données projet'!$E$12+1,1))</f>
        <v>335.12015893291874</v>
      </c>
      <c r="CE71" s="59">
        <f t="shared" si="94"/>
        <v>224.76596283033166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1.2883928620550931</v>
      </c>
      <c r="CM71" s="21">
        <f>EXP(-LN(2)/2)*CM70+(1-EXP(-LN(2)/2))/(LN(2)/2)*CG71*CJ71*VLOOKUP('Données projet'!$B$12,Paramètres!$A$1:$I$89,3,0)*0.475*44/12</f>
        <v>1.4044169786241539E-5</v>
      </c>
      <c r="CN71" s="22">
        <f t="shared" si="66"/>
        <v>1.2884069062248793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</v>
      </c>
      <c r="CT71" s="12">
        <f>IF('Données projet'!$A$140&gt;35,CT70+CS71-DB70,IF(A71&lt;'Données projet'!$A$140,$CQ$205^A71,IF(A71='Données projet'!$A$140,'Données projet'!$B$140,CT70+CS71-DB70)))</f>
        <v>249.00000000000017</v>
      </c>
      <c r="CU71" s="17">
        <f>CT71*VLOOKUP('Données projet'!$B$13,Paramètres!$A$1:$I$89,3,0)*VLOOKUP('Données projet'!$B$13,Paramètres!$A$1:$I$89,5,0)</f>
        <v>240.83280000000019</v>
      </c>
      <c r="CV71" s="13">
        <f t="shared" si="95"/>
        <v>58.618675319436718</v>
      </c>
      <c r="CW71" s="20">
        <f t="shared" si="67"/>
        <v>521.54465284801927</v>
      </c>
      <c r="CX71" s="59">
        <f t="shared" si="68"/>
        <v>814.87798618135253</v>
      </c>
      <c r="CY71" s="59">
        <f ca="1">AVERAGE(OFFSET($CX$3,0,0,'Données projet'!$E$13+1,1))-AVERAGE(OFFSET($H$3,0,0,'Données projet'!$E$13+1,1))</f>
        <v>293.19327646293601</v>
      </c>
      <c r="CZ71" s="59">
        <f t="shared" si="96"/>
        <v>200.0769581869605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1.15768633981762</v>
      </c>
      <c r="DH71" s="21">
        <f>EXP(-LN(2)/2)*DH70+(1-EXP(-LN(2)/2))/(LN(2)/2)*DB71*DE71*VLOOKUP('Données projet'!$B$13,Paramètres!$A$1:$I$89,3,0)*0.475*44/12</f>
        <v>1.2619398938361938E-5</v>
      </c>
      <c r="DI71" s="22">
        <f t="shared" si="69"/>
        <v>1.1576989592165583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9.1999999999999993</v>
      </c>
      <c r="N72" s="13">
        <f>IF('Données projet'!$A$36&gt;35,N71+M72-V71,IF(A72&lt;'Données projet'!$A$36,$K$205^A72,IF(A72='Données projet'!$A$36,'Données projet'!$B$36,N71+M72-V71)))</f>
        <v>412.79999999999967</v>
      </c>
      <c r="O72" s="13">
        <f>N72*VLOOKUP('Données projet'!$B$9,Paramètres!$A$1:$I$89,3,0)*VLOOKUP('Données projet'!$B$9,Paramètres!$A$1:$I$89,5,0)</f>
        <v>246.85439999999983</v>
      </c>
      <c r="P72" s="13">
        <f t="shared" si="87"/>
        <v>59.911862368716115</v>
      </c>
      <c r="Q72" s="20">
        <f t="shared" si="54"/>
        <v>534.28457362551364</v>
      </c>
      <c r="R72" s="59">
        <f t="shared" si="55"/>
        <v>827.61790695884702</v>
      </c>
      <c r="S72" s="59">
        <f ca="1">AVERAGE(OFFSET($R$3,0,0,'Données projet'!$E$9+1,1))-AVERAGE(OFFSET($H$3,0,0,'Données projet'!$E$9+1,1))</f>
        <v>246.59447135626942</v>
      </c>
      <c r="T72" s="59">
        <f t="shared" si="88"/>
        <v>262.00382544285367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4.3578416347389224</v>
      </c>
      <c r="AB72" s="21">
        <f>EXP(-LN(2)/2)*AB71+(1-EXP(-LN(2)/2))/(LN(2)/2)*V72*Y72*VLOOKUP('Données projet'!$B$9,Paramètres!$A$1:$I$89,3,0)*0.475*44/12</f>
        <v>3.2003767547594742E-5</v>
      </c>
      <c r="AC72" s="22">
        <f t="shared" si="57"/>
        <v>4.3578736385064696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195.73441209602686</v>
      </c>
      <c r="AO72" s="59">
        <f t="shared" si="90"/>
        <v>219.19129224309006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2.8695678253852726</v>
      </c>
      <c r="AV72" s="21">
        <f>EXP(-LN(2)/25)*AV71+(1-EXP(-LN(2)/25))/(LN(2)/25)*Calculateur!AQ72*Calculateur!AS72*VLOOKUP('Données projet'!$B$10,Paramètres!$A$1:$I$89,3,0)*0.475*44/12</f>
        <v>4.1820320560627344</v>
      </c>
      <c r="AW72" s="21">
        <f>EXP(-LN(2)/2)*AW71+(1-EXP(-LN(2)/2))/(LN(2)/2)*AQ72*AT72*VLOOKUP('Données projet'!$B$10,Paramètres!$A$1:$I$89,3,0)*0.475*44/12</f>
        <v>7.3446006888651128E-6</v>
      </c>
      <c r="AX72" s="21">
        <f t="shared" si="60"/>
        <v>7.0516072260486959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231.62880000000013</v>
      </c>
      <c r="BF72" s="13">
        <f t="shared" si="91"/>
        <v>56.63472139815827</v>
      </c>
      <c r="BG72" s="20">
        <f t="shared" si="61"/>
        <v>502.0589664351258</v>
      </c>
      <c r="BH72" s="59">
        <f t="shared" si="62"/>
        <v>795.39229976845911</v>
      </c>
      <c r="BI72" s="59">
        <f ca="1">AVERAGE(OFFSET($BH$3,0,0,'Données projet'!$E$11+1,1))-AVERAGE(OFFSET($H$3,0,0,'Données projet'!$E$11+1,1))</f>
        <v>269.19146943657933</v>
      </c>
      <c r="BJ72" s="59">
        <f t="shared" si="92"/>
        <v>185.94138814570965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1.0533822913961814</v>
      </c>
      <c r="BR72" s="21">
        <f>EXP(-LN(2)/2)*BR71+(1-EXP(-LN(2)/2))/(LN(2)/2)*BL72*BO72*VLOOKUP('Données projet'!$B$11,Paramètres!$A$1:$I$89,3,0)*0.475*44/12</f>
        <v>8.3475682048583016E-6</v>
      </c>
      <c r="BS72" s="22">
        <f t="shared" si="63"/>
        <v>1.0533906389643863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275.55840000000018</v>
      </c>
      <c r="CA72" s="13">
        <f t="shared" si="93"/>
        <v>66.027499393879125</v>
      </c>
      <c r="CB72" s="20">
        <f t="shared" si="64"/>
        <v>594.92877477767308</v>
      </c>
      <c r="CC72" s="59">
        <f t="shared" si="65"/>
        <v>888.26210811100646</v>
      </c>
      <c r="CD72" s="59">
        <f ca="1">AVERAGE(OFFSET($CC$3,0,0,'Données projet'!$E$12+1,1))-AVERAGE(OFFSET($H$3,0,0,'Données projet'!$E$12+1,1))</f>
        <v>335.12015893291874</v>
      </c>
      <c r="CE72" s="59">
        <f t="shared" si="94"/>
        <v>224.76596283033166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1.2531616914885606</v>
      </c>
      <c r="CM72" s="21">
        <f>EXP(-LN(2)/2)*CM71+(1-EXP(-LN(2)/2))/(LN(2)/2)*CG72*CJ72*VLOOKUP('Données projet'!$B$12,Paramètres!$A$1:$I$89,3,0)*0.475*44/12</f>
        <v>9.9307276919866174E-6</v>
      </c>
      <c r="CN72" s="22">
        <f t="shared" si="66"/>
        <v>1.2531716222162526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</v>
      </c>
      <c r="CT72" s="12">
        <f>IF('Données projet'!$A$140&gt;35,CT71+CS72-DB71,IF(A72&lt;'Données projet'!$A$140,$CQ$205^A72,IF(A72='Données projet'!$A$140,'Données projet'!$B$140,CT71+CS72-DB71)))</f>
        <v>256.00000000000017</v>
      </c>
      <c r="CU72" s="17">
        <f>CT72*VLOOKUP('Données projet'!$B$13,Paramètres!$A$1:$I$89,3,0)*VLOOKUP('Données projet'!$B$13,Paramètres!$A$1:$I$89,5,0)</f>
        <v>247.60320000000019</v>
      </c>
      <c r="CV72" s="13">
        <f t="shared" si="95"/>
        <v>60.072414804475471</v>
      </c>
      <c r="CW72" s="20">
        <f t="shared" si="67"/>
        <v>535.86836245112841</v>
      </c>
      <c r="CX72" s="59">
        <f t="shared" si="68"/>
        <v>829.20169578446166</v>
      </c>
      <c r="CY72" s="59">
        <f ca="1">AVERAGE(OFFSET($CX$3,0,0,'Données projet'!$E$13+1,1))-AVERAGE(OFFSET($H$3,0,0,'Données projet'!$E$13+1,1))</f>
        <v>293.19327646293601</v>
      </c>
      <c r="CZ72" s="59">
        <f t="shared" si="96"/>
        <v>200.0769581869605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1.1260293459752286</v>
      </c>
      <c r="DH72" s="21">
        <f>EXP(-LN(2)/2)*DH71+(1-EXP(-LN(2)/2))/(LN(2)/2)*DB72*DE72*VLOOKUP('Données projet'!$B$13,Paramètres!$A$1:$I$89,3,0)*0.475*44/12</f>
        <v>8.9232625638140448E-6</v>
      </c>
      <c r="DI72" s="22">
        <f t="shared" si="69"/>
        <v>1.1260382692377924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422</v>
      </c>
      <c r="L73" s="12">
        <f>VLOOKUP(A73,'Données projet'!$A$35:$I$55,9,0)</f>
        <v>9.1999999999999993</v>
      </c>
      <c r="M73" s="12">
        <f t="array" ref="M73">INDEX(L:L,MIN(IF(ISNUMBER(L73:L269),ROW(L73:L269),"")))</f>
        <v>9.1999999999999993</v>
      </c>
      <c r="N73" s="13">
        <f>IF('Données projet'!$A$36&gt;35,N72+M73-V72,IF(A73&lt;'Données projet'!$A$36,$K$205^A73,IF(A73='Données projet'!$A$36,'Données projet'!$B$36,N72+M73-V72)))</f>
        <v>421.99999999999966</v>
      </c>
      <c r="O73" s="13">
        <f>N73*VLOOKUP('Données projet'!$B$9,Paramètres!$A$1:$I$89,3,0)*VLOOKUP('Données projet'!$B$9,Paramètres!$A$1:$I$89,5,0)</f>
        <v>252.35599999999982</v>
      </c>
      <c r="P73" s="13">
        <f t="shared" si="87"/>
        <v>61.090167050998701</v>
      </c>
      <c r="Q73" s="20">
        <f t="shared" si="54"/>
        <v>545.9187409471557</v>
      </c>
      <c r="R73" s="59">
        <f t="shared" si="55"/>
        <v>839.25207428048907</v>
      </c>
      <c r="S73" s="59">
        <f ca="1">AVERAGE(OFFSET($R$3,0,0,'Données projet'!$E$9+1,1))-AVERAGE(OFFSET($H$3,0,0,'Données projet'!$E$9+1,1))</f>
        <v>246.59447135626942</v>
      </c>
      <c r="T73" s="59">
        <f t="shared" si="88"/>
        <v>262.00382544285367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4.2386762260680548</v>
      </c>
      <c r="AB73" s="21">
        <f>EXP(-LN(2)/2)*AB72+(1-EXP(-LN(2)/2))/(LN(2)/2)*V73*Y73*VLOOKUP('Données projet'!$B$9,Paramètres!$A$1:$I$89,3,0)*0.475*44/12</f>
        <v>2.2630081056422206E-5</v>
      </c>
      <c r="AC73" s="22">
        <f t="shared" si="57"/>
        <v>4.238698856149111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195.73441209602686</v>
      </c>
      <c r="AO73" s="59">
        <f t="shared" si="90"/>
        <v>219.19129224309006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2.8132973505930168</v>
      </c>
      <c r="AV73" s="21">
        <f>EXP(-LN(2)/25)*AV72+(1-EXP(-LN(2)/25))/(LN(2)/25)*Calculateur!AQ73*Calculateur!AS73*VLOOKUP('Données projet'!$B$10,Paramètres!$A$1:$I$89,3,0)*0.475*44/12</f>
        <v>4.0676741695661915</v>
      </c>
      <c r="AW73" s="21">
        <f>EXP(-LN(2)/2)*AW72+(1-EXP(-LN(2)/2))/(LN(2)/2)*AQ73*AT73*VLOOKUP('Données projet'!$B$10,Paramètres!$A$1:$I$89,3,0)*0.475*44/12</f>
        <v>5.1934169522039103E-6</v>
      </c>
      <c r="AX73" s="21">
        <f t="shared" si="60"/>
        <v>6.8809767135761613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237.96240000000012</v>
      </c>
      <c r="BF73" s="13">
        <f t="shared" si="91"/>
        <v>58.000913607663399</v>
      </c>
      <c r="BG73" s="20">
        <f t="shared" si="61"/>
        <v>515.46943786668055</v>
      </c>
      <c r="BH73" s="59">
        <f t="shared" si="62"/>
        <v>808.80277120001392</v>
      </c>
      <c r="BI73" s="59">
        <f ca="1">AVERAGE(OFFSET($BH$3,0,0,'Données projet'!$E$11+1,1))-AVERAGE(OFFSET($H$3,0,0,'Données projet'!$E$11+1,1))</f>
        <v>269.19146943657933</v>
      </c>
      <c r="BJ73" s="59">
        <f t="shared" si="92"/>
        <v>185.94138814570965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1.0245774972429857</v>
      </c>
      <c r="BR73" s="21">
        <f>EXP(-LN(2)/2)*BR72+(1-EXP(-LN(2)/2))/(LN(2)/2)*BL73*BO73*VLOOKUP('Données projet'!$B$11,Paramètres!$A$1:$I$89,3,0)*0.475*44/12</f>
        <v>5.9026220840725205E-6</v>
      </c>
      <c r="BS73" s="22">
        <f t="shared" si="63"/>
        <v>1.0245833998650697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283.09320000000019</v>
      </c>
      <c r="CA73" s="13">
        <f t="shared" si="93"/>
        <v>67.620272397048737</v>
      </c>
      <c r="CB73" s="20">
        <f t="shared" si="64"/>
        <v>610.82596442486022</v>
      </c>
      <c r="CC73" s="59">
        <f t="shared" si="65"/>
        <v>904.15929775819359</v>
      </c>
      <c r="CD73" s="59">
        <f ca="1">AVERAGE(OFFSET($CC$3,0,0,'Données projet'!$E$12+1,1))-AVERAGE(OFFSET($H$3,0,0,'Données projet'!$E$12+1,1))</f>
        <v>335.12015893291874</v>
      </c>
      <c r="CE73" s="59">
        <f t="shared" si="94"/>
        <v>224.76596283033166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1.2188939191338968</v>
      </c>
      <c r="CM73" s="21">
        <f>EXP(-LN(2)/2)*CM72+(1-EXP(-LN(2)/2))/(LN(2)/2)*CG73*CJ73*VLOOKUP('Données projet'!$B$12,Paramètres!$A$1:$I$89,3,0)*0.475*44/12</f>
        <v>7.0220848931207693E-6</v>
      </c>
      <c r="CN73" s="22">
        <f t="shared" si="66"/>
        <v>1.2189009412187899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7</v>
      </c>
      <c r="CS73" s="12">
        <f t="array" ref="CS73">INDEX(CR:CR,MIN(IF(ISNUMBER(CR73:CR269),ROW(CR73:CR269),"")))</f>
        <v>7</v>
      </c>
      <c r="CT73" s="12">
        <f>IF('Données projet'!$A$140&gt;35,CT72+CS73-DB72,IF(A73&lt;'Données projet'!$A$140,$CQ$205^A73,IF(A73='Données projet'!$A$140,'Données projet'!$B$140,CT72+CS73-DB72)))</f>
        <v>263.00000000000017</v>
      </c>
      <c r="CU73" s="17">
        <f>CT73*VLOOKUP('Données projet'!$B$13,Paramètres!$A$1:$I$89,3,0)*VLOOKUP('Données projet'!$B$13,Paramètres!$A$1:$I$89,5,0)</f>
        <v>254.37360000000018</v>
      </c>
      <c r="CV73" s="13">
        <f t="shared" si="95"/>
        <v>61.521534056516209</v>
      </c>
      <c r="CW73" s="20">
        <f t="shared" si="67"/>
        <v>550.18402514843262</v>
      </c>
      <c r="CX73" s="59">
        <f t="shared" si="68"/>
        <v>843.517358481766</v>
      </c>
      <c r="CY73" s="59">
        <f ca="1">AVERAGE(OFFSET($CX$3,0,0,'Données projet'!$E$13+1,1))-AVERAGE(OFFSET($H$3,0,0,'Données projet'!$E$13+1,1))</f>
        <v>293.19327646293601</v>
      </c>
      <c r="CZ73" s="59">
        <f t="shared" si="96"/>
        <v>200.0769581869605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42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1.0952380142942262</v>
      </c>
      <c r="DH73" s="21">
        <f>EXP(-LN(2)/2)*DH72+(1-EXP(-LN(2)/2))/(LN(2)/2)*DB73*DE73*VLOOKUP('Données projet'!$B$13,Paramètres!$A$1:$I$89,3,0)*0.475*44/12</f>
        <v>6.309699469180969E-6</v>
      </c>
      <c r="DI73" s="22">
        <f t="shared" si="69"/>
        <v>1.0952443239936953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7.2</v>
      </c>
      <c r="N74" s="13">
        <f>IF('Données projet'!$A$36&gt;35,N73+M74-V73,IF(A74&lt;'Données projet'!$A$36,$K$205^A74,IF(A74='Données projet'!$A$36,'Données projet'!$B$36,N73+M74-V73)))</f>
        <v>385.19999999999965</v>
      </c>
      <c r="O74" s="13">
        <f>N74*VLOOKUP('Données projet'!$B$9,Paramètres!$A$1:$I$89,3,0)*VLOOKUP('Données projet'!$B$9,Paramètres!$A$1:$I$89,5,0)</f>
        <v>230.34959999999978</v>
      </c>
      <c r="P74" s="13">
        <f t="shared" si="87"/>
        <v>56.358266541426261</v>
      </c>
      <c r="Q74" s="20">
        <f t="shared" si="54"/>
        <v>499.34953422631702</v>
      </c>
      <c r="R74" s="59">
        <f t="shared" si="55"/>
        <v>792.68286755965028</v>
      </c>
      <c r="S74" s="59">
        <f ca="1">AVERAGE(OFFSET($R$3,0,0,'Données projet'!$E$9+1,1))-AVERAGE(OFFSET($H$3,0,0,'Données projet'!$E$9+1,1))</f>
        <v>246.59447135626942</v>
      </c>
      <c r="T74" s="59">
        <f t="shared" si="88"/>
        <v>262.00382544285367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4.1227694017639287</v>
      </c>
      <c r="AB74" s="21">
        <f>EXP(-LN(2)/2)*AB73+(1-EXP(-LN(2)/2))/(LN(2)/2)*V74*Y74*VLOOKUP('Données projet'!$B$9,Paramètres!$A$1:$I$89,3,0)*0.475*44/12</f>
        <v>1.6001883773797371E-5</v>
      </c>
      <c r="AC74" s="22">
        <f t="shared" si="57"/>
        <v>4.1227854036477023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195.73441209602686</v>
      </c>
      <c r="AO74" s="59">
        <f t="shared" si="90"/>
        <v>219.19129224309006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2.7581303054898365</v>
      </c>
      <c r="AV74" s="21">
        <f>EXP(-LN(2)/25)*AV73+(1-EXP(-LN(2)/25))/(LN(2)/25)*Calculateur!AQ74*Calculateur!AS74*VLOOKUP('Données projet'!$B$10,Paramètres!$A$1:$I$89,3,0)*0.475*44/12</f>
        <v>3.9564434054897162</v>
      </c>
      <c r="AW74" s="21">
        <f>EXP(-LN(2)/2)*AW73+(1-EXP(-LN(2)/2))/(LN(2)/2)*AQ74*AT74*VLOOKUP('Données projet'!$B$10,Paramètres!$A$1:$I$89,3,0)*0.475*44/12</f>
        <v>3.6723003444325572E-6</v>
      </c>
      <c r="AX74" s="21">
        <f t="shared" si="60"/>
        <v>6.7145773832798969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205.48008000000016</v>
      </c>
      <c r="BF74" s="13">
        <f t="shared" si="91"/>
        <v>50.94662215818515</v>
      </c>
      <c r="BG74" s="20">
        <f t="shared" si="61"/>
        <v>446.6098395921727</v>
      </c>
      <c r="BH74" s="59">
        <f t="shared" si="62"/>
        <v>739.94317292550602</v>
      </c>
      <c r="BI74" s="59">
        <f ca="1">AVERAGE(OFFSET($BH$3,0,0,'Données projet'!$E$11+1,1))-AVERAGE(OFFSET($H$3,0,0,'Données projet'!$E$11+1,1))</f>
        <v>269.19146943657933</v>
      </c>
      <c r="BJ74" s="59">
        <f t="shared" si="92"/>
        <v>185.94138814570965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0.99656037170068745</v>
      </c>
      <c r="BR74" s="21">
        <f>EXP(-LN(2)/2)*BR73+(1-EXP(-LN(2)/2))/(LN(2)/2)*BL74*BO74*VLOOKUP('Données projet'!$B$11,Paramètres!$A$1:$I$89,3,0)*0.475*44/12</f>
        <v>4.1737841024291508E-6</v>
      </c>
      <c r="BS74" s="22">
        <f t="shared" si="63"/>
        <v>0.9965645454847899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244.45044000000021</v>
      </c>
      <c r="CA74" s="13">
        <f t="shared" si="93"/>
        <v>59.396037989146883</v>
      </c>
      <c r="CB74" s="20">
        <f t="shared" si="64"/>
        <v>529.19928249776444</v>
      </c>
      <c r="CC74" s="59">
        <f t="shared" si="65"/>
        <v>822.5326158310977</v>
      </c>
      <c r="CD74" s="59">
        <f ca="1">AVERAGE(OFFSET($CC$3,0,0,'Données projet'!$E$12+1,1))-AVERAGE(OFFSET($H$3,0,0,'Données projet'!$E$12+1,1))</f>
        <v>335.12015893291874</v>
      </c>
      <c r="CE74" s="59">
        <f t="shared" si="94"/>
        <v>224.76596283033166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1.185563200816335</v>
      </c>
      <c r="CM74" s="21">
        <f>EXP(-LN(2)/2)*CM73+(1-EXP(-LN(2)/2))/(LN(2)/2)*CG74*CJ74*VLOOKUP('Données projet'!$B$12,Paramètres!$A$1:$I$89,3,0)*0.475*44/12</f>
        <v>4.9653638459933087E-6</v>
      </c>
      <c r="CN74" s="22">
        <f t="shared" si="66"/>
        <v>1.1855681661801811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6.1</v>
      </c>
      <c r="CT74" s="12">
        <f>IF('Données projet'!$A$140&gt;35,CT73+CS74-DB73,IF(A74&lt;'Données projet'!$A$140,$CQ$205^A74,IF(A74='Données projet'!$A$140,'Données projet'!$B$140,CT73+CS74-DB73)))</f>
        <v>227.10000000000019</v>
      </c>
      <c r="CU74" s="17">
        <f>CT74*VLOOKUP('Données projet'!$B$13,Paramètres!$A$1:$I$89,3,0)*VLOOKUP('Données projet'!$B$13,Paramètres!$A$1:$I$89,5,0)</f>
        <v>219.65112000000016</v>
      </c>
      <c r="CV74" s="13">
        <f t="shared" si="95"/>
        <v>54.0390513737551</v>
      </c>
      <c r="CW74" s="20">
        <f t="shared" si="67"/>
        <v>476.67704847595706</v>
      </c>
      <c r="CX74" s="59">
        <f t="shared" si="68"/>
        <v>770.01038180929038</v>
      </c>
      <c r="CY74" s="59">
        <f ca="1">AVERAGE(OFFSET($CX$3,0,0,'Données projet'!$E$13+1,1))-AVERAGE(OFFSET($H$3,0,0,'Données projet'!$E$13+1,1))</f>
        <v>293.19327646293601</v>
      </c>
      <c r="CZ74" s="59">
        <f t="shared" si="96"/>
        <v>200.0769581869605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1.0652886731972866</v>
      </c>
      <c r="DH74" s="21">
        <f>EXP(-LN(2)/2)*DH73+(1-EXP(-LN(2)/2))/(LN(2)/2)*DB74*DE74*VLOOKUP('Données projet'!$B$13,Paramètres!$A$1:$I$89,3,0)*0.475*44/12</f>
        <v>4.4616312819070224E-6</v>
      </c>
      <c r="DI74" s="22">
        <f t="shared" si="69"/>
        <v>1.0652931348285686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7.2</v>
      </c>
      <c r="N75" s="13">
        <f>IF('Données projet'!$A$36&gt;35,N74+M75-V74,IF(A75&lt;'Données projet'!$A$36,$K$205^A75,IF(A75='Données projet'!$A$36,'Données projet'!$B$36,N74+M75-V74)))</f>
        <v>392.39999999999964</v>
      </c>
      <c r="O75" s="13">
        <f>N75*VLOOKUP('Données projet'!$B$9,Paramètres!$A$1:$I$89,3,0)*VLOOKUP('Données projet'!$B$9,Paramètres!$A$1:$I$89,5,0)</f>
        <v>234.65519999999981</v>
      </c>
      <c r="P75" s="13">
        <f t="shared" si="87"/>
        <v>57.288067746850942</v>
      </c>
      <c r="Q75" s="20">
        <f t="shared" si="54"/>
        <v>508.46785799243179</v>
      </c>
      <c r="R75" s="59">
        <f t="shared" si="55"/>
        <v>801.8011913257651</v>
      </c>
      <c r="S75" s="59">
        <f ca="1">AVERAGE(OFFSET($R$3,0,0,'Données projet'!$E$9+1,1))-AVERAGE(OFFSET($H$3,0,0,'Données projet'!$E$9+1,1))</f>
        <v>246.59447135626942</v>
      </c>
      <c r="T75" s="59">
        <f t="shared" si="88"/>
        <v>262.00382544285367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4.0100320556656737</v>
      </c>
      <c r="AB75" s="21">
        <f>EXP(-LN(2)/2)*AB74+(1-EXP(-LN(2)/2))/(LN(2)/2)*V75*Y75*VLOOKUP('Données projet'!$B$9,Paramètres!$A$1:$I$89,3,0)*0.475*44/12</f>
        <v>1.1315040528211103E-5</v>
      </c>
      <c r="AC75" s="22">
        <f t="shared" si="57"/>
        <v>4.0100433707062022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195.73441209602686</v>
      </c>
      <c r="AO75" s="59">
        <f t="shared" si="90"/>
        <v>219.19129224309006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2.7040450524925546</v>
      </c>
      <c r="AV75" s="21">
        <f>EXP(-LN(2)/25)*AV74+(1-EXP(-LN(2)/25))/(LN(2)/25)*Calculateur!AQ75*Calculateur!AS75*VLOOKUP('Données projet'!$B$10,Paramètres!$A$1:$I$89,3,0)*0.475*44/12</f>
        <v>3.8482542525062837</v>
      </c>
      <c r="AW75" s="21">
        <f>EXP(-LN(2)/2)*AW74+(1-EXP(-LN(2)/2))/(LN(2)/2)*AQ75*AT75*VLOOKUP('Données projet'!$B$10,Paramètres!$A$1:$I$89,3,0)*0.475*44/12</f>
        <v>2.5967084761019555E-6</v>
      </c>
      <c r="AX75" s="21">
        <f t="shared" si="60"/>
        <v>6.5523019017073141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210.99936000000014</v>
      </c>
      <c r="BF75" s="13">
        <f t="shared" si="91"/>
        <v>52.153910623486667</v>
      </c>
      <c r="BG75" s="20">
        <f t="shared" si="61"/>
        <v>458.32527966923953</v>
      </c>
      <c r="BH75" s="59">
        <f t="shared" si="62"/>
        <v>751.65861300257279</v>
      </c>
      <c r="BI75" s="59">
        <f ca="1">AVERAGE(OFFSET($BH$3,0,0,'Données projet'!$E$11+1,1))-AVERAGE(OFFSET($H$3,0,0,'Données projet'!$E$11+1,1))</f>
        <v>269.19146943657933</v>
      </c>
      <c r="BJ75" s="59">
        <f t="shared" si="92"/>
        <v>185.94138814570965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0.9693093759296999</v>
      </c>
      <c r="BR75" s="21">
        <f>EXP(-LN(2)/2)*BR74+(1-EXP(-LN(2)/2))/(LN(2)/2)*BL75*BO75*VLOOKUP('Données projet'!$B$11,Paramètres!$A$1:$I$89,3,0)*0.475*44/12</f>
        <v>2.9513110420362603E-6</v>
      </c>
      <c r="BS75" s="22">
        <f t="shared" si="63"/>
        <v>0.9693123272407419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251.0164800000002</v>
      </c>
      <c r="CA75" s="13">
        <f t="shared" si="93"/>
        <v>60.803553316193685</v>
      </c>
      <c r="CB75" s="20">
        <f t="shared" si="64"/>
        <v>543.08655802570433</v>
      </c>
      <c r="CC75" s="59">
        <f t="shared" si="65"/>
        <v>836.41989135903759</v>
      </c>
      <c r="CD75" s="59">
        <f ca="1">AVERAGE(OFFSET($CC$3,0,0,'Données projet'!$E$12+1,1))-AVERAGE(OFFSET($H$3,0,0,'Données projet'!$E$12+1,1))</f>
        <v>335.12015893291874</v>
      </c>
      <c r="CE75" s="59">
        <f t="shared" si="94"/>
        <v>224.76596283033166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1.1531439127439533</v>
      </c>
      <c r="CM75" s="21">
        <f>EXP(-LN(2)/2)*CM74+(1-EXP(-LN(2)/2))/(LN(2)/2)*CG75*CJ75*VLOOKUP('Données projet'!$B$12,Paramètres!$A$1:$I$89,3,0)*0.475*44/12</f>
        <v>3.5110424465603847E-6</v>
      </c>
      <c r="CN75" s="22">
        <f t="shared" si="66"/>
        <v>1.1531474237863999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6.1</v>
      </c>
      <c r="CT75" s="12">
        <f>IF('Données projet'!$A$140&gt;35,CT74+CS75-DB74,IF(A75&lt;'Données projet'!$A$140,$CQ$205^A75,IF(A75='Données projet'!$A$140,'Données projet'!$B$140,CT74+CS75-DB74)))</f>
        <v>233.20000000000019</v>
      </c>
      <c r="CU75" s="17">
        <f>CT75*VLOOKUP('Données projet'!$B$13,Paramètres!$A$1:$I$89,3,0)*VLOOKUP('Données projet'!$B$13,Paramètres!$A$1:$I$89,5,0)</f>
        <v>225.5510400000002</v>
      </c>
      <c r="CV75" s="13">
        <f t="shared" si="95"/>
        <v>55.319621520227244</v>
      </c>
      <c r="CW75" s="20">
        <f t="shared" si="67"/>
        <v>489.18306881439611</v>
      </c>
      <c r="CX75" s="59">
        <f t="shared" si="68"/>
        <v>782.51640214772942</v>
      </c>
      <c r="CY75" s="59">
        <f ca="1">AVERAGE(OFFSET($CX$3,0,0,'Données projet'!$E$13+1,1))-AVERAGE(OFFSET($H$3,0,0,'Données projet'!$E$13+1,1))</f>
        <v>293.19327646293601</v>
      </c>
      <c r="CZ75" s="59">
        <f t="shared" si="96"/>
        <v>200.0769581869605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1.0361582984076103</v>
      </c>
      <c r="DH75" s="21">
        <f>EXP(-LN(2)/2)*DH74+(1-EXP(-LN(2)/2))/(LN(2)/2)*DB75*DE75*VLOOKUP('Données projet'!$B$13,Paramètres!$A$1:$I$89,3,0)*0.475*44/12</f>
        <v>3.1548497345904845E-6</v>
      </c>
      <c r="DI75" s="22">
        <f t="shared" si="69"/>
        <v>1.0361614532573449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7.2</v>
      </c>
      <c r="N76" s="13">
        <f>IF('Données projet'!$A$36&gt;35,N75+M76-V75,IF(A76&lt;'Données projet'!$A$36,$K$205^A76,IF(A76='Données projet'!$A$36,'Données projet'!$B$36,N75+M76-V75)))</f>
        <v>399.59999999999962</v>
      </c>
      <c r="O76" s="13">
        <f>N76*VLOOKUP('Données projet'!$B$9,Paramètres!$A$1:$I$89,3,0)*VLOOKUP('Données projet'!$B$9,Paramètres!$A$1:$I$89,5,0)</f>
        <v>238.96079999999978</v>
      </c>
      <c r="P76" s="13">
        <f t="shared" si="87"/>
        <v>58.215885103108292</v>
      </c>
      <c r="Q76" s="20">
        <f t="shared" si="54"/>
        <v>517.58272655457984</v>
      </c>
      <c r="R76" s="59">
        <f t="shared" si="55"/>
        <v>810.91605988791321</v>
      </c>
      <c r="S76" s="59">
        <f ca="1">AVERAGE(OFFSET($R$3,0,0,'Données projet'!$E$9+1,1))-AVERAGE(OFFSET($H$3,0,0,'Données projet'!$E$9+1,1))</f>
        <v>246.59447135626942</v>
      </c>
      <c r="T76" s="59">
        <f t="shared" si="88"/>
        <v>262.00382544285367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3.9003775182250751</v>
      </c>
      <c r="AB76" s="21">
        <f>EXP(-LN(2)/2)*AB75+(1-EXP(-LN(2)/2))/(LN(2)/2)*V76*Y76*VLOOKUP('Données projet'!$B$9,Paramètres!$A$1:$I$89,3,0)*0.475*44/12</f>
        <v>8.0009418868986855E-6</v>
      </c>
      <c r="AC76" s="22">
        <f t="shared" si="57"/>
        <v>3.9003855191669619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195.73441209602686</v>
      </c>
      <c r="AO76" s="59">
        <f t="shared" si="90"/>
        <v>219.19129224309006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2.6510203783178024</v>
      </c>
      <c r="AV76" s="21">
        <f>EXP(-LN(2)/25)*AV75+(1-EXP(-LN(2)/25))/(LN(2)/25)*Calculateur!AQ76*Calculateur!AS76*VLOOKUP('Données projet'!$B$10,Paramètres!$A$1:$I$89,3,0)*0.475*44/12</f>
        <v>3.7430235376006036</v>
      </c>
      <c r="AW76" s="21">
        <f>EXP(-LN(2)/2)*AW75+(1-EXP(-LN(2)/2))/(LN(2)/2)*AQ76*AT76*VLOOKUP('Données projet'!$B$10,Paramètres!$A$1:$I$89,3,0)*0.475*44/12</f>
        <v>1.8361501722162788E-6</v>
      </c>
      <c r="AX76" s="21">
        <f t="shared" si="60"/>
        <v>6.3940457520685783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216.51864000000015</v>
      </c>
      <c r="BF76" s="13">
        <f t="shared" si="91"/>
        <v>53.357528323079173</v>
      </c>
      <c r="BG76" s="20">
        <f t="shared" si="61"/>
        <v>470.03432649602973</v>
      </c>
      <c r="BH76" s="59">
        <f t="shared" si="62"/>
        <v>763.36765982936299</v>
      </c>
      <c r="BI76" s="59">
        <f ca="1">AVERAGE(OFFSET($BH$3,0,0,'Données projet'!$E$11+1,1))-AVERAGE(OFFSET($H$3,0,0,'Données projet'!$E$11+1,1))</f>
        <v>269.19146943657933</v>
      </c>
      <c r="BJ76" s="59">
        <f t="shared" si="92"/>
        <v>185.94138814570965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0.94280356007113753</v>
      </c>
      <c r="BR76" s="21">
        <f>EXP(-LN(2)/2)*BR75+(1-EXP(-LN(2)/2))/(LN(2)/2)*BL76*BO76*VLOOKUP('Données projet'!$B$11,Paramètres!$A$1:$I$89,3,0)*0.475*44/12</f>
        <v>2.0868920512145754E-6</v>
      </c>
      <c r="BS76" s="22">
        <f t="shared" si="63"/>
        <v>0.94280564696318869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257.58252000000016</v>
      </c>
      <c r="CA76" s="13">
        <f t="shared" si="93"/>
        <v>62.206789086907435</v>
      </c>
      <c r="CB76" s="20">
        <f t="shared" si="64"/>
        <v>556.96637999303061</v>
      </c>
      <c r="CC76" s="59">
        <f t="shared" si="65"/>
        <v>850.29971332636387</v>
      </c>
      <c r="CD76" s="59">
        <f ca="1">AVERAGE(OFFSET($CC$3,0,0,'Données projet'!$E$12+1,1))-AVERAGE(OFFSET($H$3,0,0,'Données projet'!$E$12+1,1))</f>
        <v>335.12015893291874</v>
      </c>
      <c r="CE76" s="59">
        <f t="shared" si="94"/>
        <v>224.76596283033166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1.1216111318087671</v>
      </c>
      <c r="CM76" s="21">
        <f>EXP(-LN(2)/2)*CM75+(1-EXP(-LN(2)/2))/(LN(2)/2)*CG76*CJ76*VLOOKUP('Données projet'!$B$12,Paramètres!$A$1:$I$89,3,0)*0.475*44/12</f>
        <v>2.4826819229966544E-6</v>
      </c>
      <c r="CN76" s="22">
        <f t="shared" si="66"/>
        <v>1.1216136144906901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6.1</v>
      </c>
      <c r="CT76" s="12">
        <f>IF('Données projet'!$A$140&gt;35,CT75+CS76-DB75,IF(A76&lt;'Données projet'!$A$140,$CQ$205^A76,IF(A76='Données projet'!$A$140,'Données projet'!$B$140,CT75+CS76-DB75)))</f>
        <v>239.30000000000018</v>
      </c>
      <c r="CU76" s="17">
        <f>CT76*VLOOKUP('Données projet'!$B$13,Paramètres!$A$1:$I$89,3,0)*VLOOKUP('Données projet'!$B$13,Paramètres!$A$1:$I$89,5,0)</f>
        <v>231.45096000000015</v>
      </c>
      <c r="CV76" s="13">
        <f t="shared" si="95"/>
        <v>56.596298087727369</v>
      </c>
      <c r="CW76" s="20">
        <f t="shared" si="67"/>
        <v>501.6823078361254</v>
      </c>
      <c r="CX76" s="59">
        <f t="shared" si="68"/>
        <v>795.01564116945872</v>
      </c>
      <c r="CY76" s="59">
        <f ca="1">AVERAGE(OFFSET($CX$3,0,0,'Données projet'!$E$13+1,1))-AVERAGE(OFFSET($H$3,0,0,'Données projet'!$E$13+1,1))</f>
        <v>293.19327646293601</v>
      </c>
      <c r="CZ76" s="59">
        <f t="shared" si="96"/>
        <v>200.0769581869605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1.0078244952484574</v>
      </c>
      <c r="DH76" s="21">
        <f>EXP(-LN(2)/2)*DH75+(1-EXP(-LN(2)/2))/(LN(2)/2)*DB76*DE76*VLOOKUP('Données projet'!$B$13,Paramètres!$A$1:$I$89,3,0)*0.475*44/12</f>
        <v>2.2308156409535112E-6</v>
      </c>
      <c r="DI76" s="22">
        <f t="shared" si="69"/>
        <v>1.0078267260640983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7.2</v>
      </c>
      <c r="N77" s="13">
        <f>IF('Données projet'!$A$36&gt;35,N76+M77-V76,IF(A77&lt;'Données projet'!$A$36,$K$205^A77,IF(A77='Données projet'!$A$36,'Données projet'!$B$36,N76+M77-V76)))</f>
        <v>406.79999999999961</v>
      </c>
      <c r="O77" s="13">
        <f>N77*VLOOKUP('Données projet'!$B$9,Paramètres!$A$1:$I$89,3,0)*VLOOKUP('Données projet'!$B$9,Paramètres!$A$1:$I$89,5,0)</f>
        <v>243.26639999999981</v>
      </c>
      <c r="P77" s="13">
        <f t="shared" si="87"/>
        <v>59.141758478481755</v>
      </c>
      <c r="Q77" s="20">
        <f t="shared" si="54"/>
        <v>526.69420935002211</v>
      </c>
      <c r="R77" s="59">
        <f t="shared" si="55"/>
        <v>820.02754268335548</v>
      </c>
      <c r="S77" s="59">
        <f ca="1">AVERAGE(OFFSET($R$3,0,0,'Données projet'!$E$9+1,1))-AVERAGE(OFFSET($H$3,0,0,'Données projet'!$E$9+1,1))</f>
        <v>246.59447135626942</v>
      </c>
      <c r="T77" s="59">
        <f t="shared" si="88"/>
        <v>262.00382544285367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3.7937214898772713</v>
      </c>
      <c r="AB77" s="21">
        <f>EXP(-LN(2)/2)*AB76+(1-EXP(-LN(2)/2))/(LN(2)/2)*V77*Y77*VLOOKUP('Données projet'!$B$9,Paramètres!$A$1:$I$89,3,0)*0.475*44/12</f>
        <v>5.6575202641055516E-6</v>
      </c>
      <c r="AC77" s="22">
        <f t="shared" si="57"/>
        <v>3.7937271473975356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195.73441209602686</v>
      </c>
      <c r="AO77" s="59">
        <f t="shared" si="90"/>
        <v>219.19129224309006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2.599035485661759</v>
      </c>
      <c r="AV77" s="21">
        <f>EXP(-LN(2)/25)*AV76+(1-EXP(-LN(2)/25))/(LN(2)/25)*Calculateur!AQ77*Calculateur!AS77*VLOOKUP('Données projet'!$B$10,Paramètres!$A$1:$I$89,3,0)*0.475*44/12</f>
        <v>3.640670362127862</v>
      </c>
      <c r="AW77" s="21">
        <f>EXP(-LN(2)/2)*AW76+(1-EXP(-LN(2)/2))/(LN(2)/2)*AQ77*AT77*VLOOKUP('Données projet'!$B$10,Paramètres!$A$1:$I$89,3,0)*0.475*44/12</f>
        <v>1.298354238050978E-6</v>
      </c>
      <c r="AX77" s="21">
        <f t="shared" si="60"/>
        <v>6.2397071461438589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222.03792000000013</v>
      </c>
      <c r="BF77" s="13">
        <f t="shared" si="91"/>
        <v>54.5575795882731</v>
      </c>
      <c r="BG77" s="20">
        <f t="shared" si="61"/>
        <v>481.7371617829092</v>
      </c>
      <c r="BH77" s="59">
        <f t="shared" si="62"/>
        <v>775.07049511624245</v>
      </c>
      <c r="BI77" s="59">
        <f ca="1">AVERAGE(OFFSET($BH$3,0,0,'Données projet'!$E$11+1,1))-AVERAGE(OFFSET($H$3,0,0,'Données projet'!$E$11+1,1))</f>
        <v>269.19146943657933</v>
      </c>
      <c r="BJ77" s="59">
        <f t="shared" si="92"/>
        <v>185.94138814570965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0.91702254714110787</v>
      </c>
      <c r="BR77" s="21">
        <f>EXP(-LN(2)/2)*BR76+(1-EXP(-LN(2)/2))/(LN(2)/2)*BL77*BO77*VLOOKUP('Données projet'!$B$11,Paramètres!$A$1:$I$89,3,0)*0.475*44/12</f>
        <v>1.4756555210181301E-6</v>
      </c>
      <c r="BS77" s="22">
        <f t="shared" si="63"/>
        <v>0.91702402279662887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264.1485600000002</v>
      </c>
      <c r="CA77" s="13">
        <f t="shared" si="93"/>
        <v>63.605866935779758</v>
      </c>
      <c r="CB77" s="20">
        <f t="shared" si="64"/>
        <v>570.83896024648345</v>
      </c>
      <c r="CC77" s="59">
        <f t="shared" si="65"/>
        <v>864.17229357981682</v>
      </c>
      <c r="CD77" s="59">
        <f ca="1">AVERAGE(OFFSET($CC$3,0,0,'Données projet'!$E$12+1,1))-AVERAGE(OFFSET($H$3,0,0,'Données projet'!$E$12+1,1))</f>
        <v>335.12015893291874</v>
      </c>
      <c r="CE77" s="59">
        <f t="shared" si="94"/>
        <v>224.76596283033166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1.0909406164264905</v>
      </c>
      <c r="CM77" s="21">
        <f>EXP(-LN(2)/2)*CM76+(1-EXP(-LN(2)/2))/(LN(2)/2)*CG77*CJ77*VLOOKUP('Données projet'!$B$12,Paramètres!$A$1:$I$89,3,0)*0.475*44/12</f>
        <v>1.7555212232801923E-6</v>
      </c>
      <c r="CN77" s="22">
        <f t="shared" si="66"/>
        <v>1.0909423719477138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6.1</v>
      </c>
      <c r="CT77" s="12">
        <f>IF('Données projet'!$A$140&gt;35,CT76+CS77-DB76,IF(A77&lt;'Données projet'!$A$140,$CQ$205^A77,IF(A77='Données projet'!$A$140,'Données projet'!$B$140,CT76+CS77-DB76)))</f>
        <v>245.40000000000018</v>
      </c>
      <c r="CU77" s="17">
        <f>CT77*VLOOKUP('Données projet'!$B$13,Paramètres!$A$1:$I$89,3,0)*VLOOKUP('Données projet'!$B$13,Paramètres!$A$1:$I$89,5,0)</f>
        <v>237.35088000000019</v>
      </c>
      <c r="CV77" s="13">
        <f t="shared" si="95"/>
        <v>57.869191740413591</v>
      </c>
      <c r="CW77" s="20">
        <f t="shared" si="67"/>
        <v>514.17495828122071</v>
      </c>
      <c r="CX77" s="59">
        <f t="shared" si="68"/>
        <v>807.50829161455408</v>
      </c>
      <c r="CY77" s="59">
        <f ca="1">AVERAGE(OFFSET($CX$3,0,0,'Données projet'!$E$13+1,1))-AVERAGE(OFFSET($H$3,0,0,'Données projet'!$E$13+1,1))</f>
        <v>293.19327646293601</v>
      </c>
      <c r="CZ77" s="59">
        <f t="shared" si="96"/>
        <v>200.0769581869605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0.98026548142670156</v>
      </c>
      <c r="DH77" s="21">
        <f>EXP(-LN(2)/2)*DH76+(1-EXP(-LN(2)/2))/(LN(2)/2)*DB77*DE77*VLOOKUP('Données projet'!$B$13,Paramètres!$A$1:$I$89,3,0)*0.475*44/12</f>
        <v>1.5774248672952423E-6</v>
      </c>
      <c r="DI77" s="22">
        <f t="shared" si="69"/>
        <v>0.98026705885156884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7.2</v>
      </c>
      <c r="N78" s="13">
        <f>IF('Données projet'!$A$36&gt;35,N77+M78-V77,IF(A78&lt;'Données projet'!$A$36,$K$205^A78,IF(A78='Données projet'!$A$36,'Données projet'!$B$36,N77+M78-V77)))</f>
        <v>413.9999999999996</v>
      </c>
      <c r="O78" s="13">
        <f>N78*VLOOKUP('Données projet'!$B$9,Paramètres!$A$1:$I$89,3,0)*VLOOKUP('Données projet'!$B$9,Paramètres!$A$1:$I$89,5,0)</f>
        <v>247.57199999999978</v>
      </c>
      <c r="P78" s="13">
        <f t="shared" si="87"/>
        <v>60.065726249156526</v>
      </c>
      <c r="Q78" s="20">
        <f t="shared" si="54"/>
        <v>535.80237321728055</v>
      </c>
      <c r="R78" s="59">
        <f t="shared" si="55"/>
        <v>829.1357065506138</v>
      </c>
      <c r="S78" s="59">
        <f ca="1">AVERAGE(OFFSET($R$3,0,0,'Données projet'!$E$9+1,1))-AVERAGE(OFFSET($H$3,0,0,'Données projet'!$E$9+1,1))</f>
        <v>246.59447135626942</v>
      </c>
      <c r="T78" s="59">
        <f t="shared" si="88"/>
        <v>262.00382544285367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3.6899819762334349</v>
      </c>
      <c r="AB78" s="21">
        <f>EXP(-LN(2)/2)*AB77+(1-EXP(-LN(2)/2))/(LN(2)/2)*V78*Y78*VLOOKUP('Données projet'!$B$9,Paramètres!$A$1:$I$89,3,0)*0.475*44/12</f>
        <v>4.0004709434493427E-6</v>
      </c>
      <c r="AC78" s="22">
        <f t="shared" si="57"/>
        <v>3.6899859767043783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195.73441209602686</v>
      </c>
      <c r="AO78" s="59">
        <f t="shared" si="90"/>
        <v>219.19129224309006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2.548069985043047</v>
      </c>
      <c r="AV78" s="21">
        <f>EXP(-LN(2)/25)*AV77+(1-EXP(-LN(2)/25))/(LN(2)/25)*Calculateur!AQ78*Calculateur!AS78*VLOOKUP('Données projet'!$B$10,Paramètres!$A$1:$I$89,3,0)*0.475*44/12</f>
        <v>3.5411160396209422</v>
      </c>
      <c r="AW78" s="21">
        <f>EXP(-LN(2)/2)*AW77+(1-EXP(-LN(2)/2))/(LN(2)/2)*AQ78*AT78*VLOOKUP('Données projet'!$B$10,Paramètres!$A$1:$I$89,3,0)*0.475*44/12</f>
        <v>9.1807508610813963E-7</v>
      </c>
      <c r="AX78" s="21">
        <f t="shared" si="60"/>
        <v>6.0891869427390759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227.55720000000014</v>
      </c>
      <c r="BF78" s="13">
        <f t="shared" si="91"/>
        <v>55.754163267932753</v>
      </c>
      <c r="BG78" s="20">
        <f t="shared" si="61"/>
        <v>493.43395769164982</v>
      </c>
      <c r="BH78" s="59">
        <f t="shared" si="62"/>
        <v>786.76729102498314</v>
      </c>
      <c r="BI78" s="59">
        <f ca="1">AVERAGE(OFFSET($BH$3,0,0,'Données projet'!$E$11+1,1))-AVERAGE(OFFSET($H$3,0,0,'Données projet'!$E$11+1,1))</f>
        <v>269.19146943657933</v>
      </c>
      <c r="BJ78" s="59">
        <f t="shared" si="92"/>
        <v>185.94138814570965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0.89194651736541442</v>
      </c>
      <c r="BR78" s="21">
        <f>EXP(-LN(2)/2)*BR77+(1-EXP(-LN(2)/2))/(LN(2)/2)*BL78*BO78*VLOOKUP('Données projet'!$B$11,Paramètres!$A$1:$I$89,3,0)*0.475*44/12</f>
        <v>1.0434460256072877E-6</v>
      </c>
      <c r="BS78" s="22">
        <f t="shared" si="63"/>
        <v>0.89194756081144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270.71460000000019</v>
      </c>
      <c r="CA78" s="13">
        <f t="shared" si="93"/>
        <v>65.000902105600858</v>
      </c>
      <c r="CB78" s="20">
        <f t="shared" si="64"/>
        <v>584.70449950058844</v>
      </c>
      <c r="CC78" s="59">
        <f t="shared" si="65"/>
        <v>878.03783283392181</v>
      </c>
      <c r="CD78" s="59">
        <f ca="1">AVERAGE(OFFSET($CC$3,0,0,'Données projet'!$E$12+1,1))-AVERAGE(OFFSET($H$3,0,0,'Données projet'!$E$12+1,1))</f>
        <v>335.12015893291874</v>
      </c>
      <c r="CE78" s="59">
        <f t="shared" si="94"/>
        <v>224.76596283033166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1.0611087879002346</v>
      </c>
      <c r="CM78" s="21">
        <f>EXP(-LN(2)/2)*CM77+(1-EXP(-LN(2)/2))/(LN(2)/2)*CG78*CJ78*VLOOKUP('Données projet'!$B$12,Paramètres!$A$1:$I$89,3,0)*0.475*44/12</f>
        <v>1.2413409614983272E-6</v>
      </c>
      <c r="CN78" s="22">
        <f t="shared" si="66"/>
        <v>1.0611100292411961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6.1</v>
      </c>
      <c r="CT78" s="12">
        <f>IF('Données projet'!$A$140&gt;35,CT77+CS78-DB77,IF(A78&lt;'Données projet'!$A$140,$CQ$205^A78,IF(A78='Données projet'!$A$140,'Données projet'!$B$140,CT77+CS78-DB77)))</f>
        <v>251.50000000000017</v>
      </c>
      <c r="CU78" s="17">
        <f>CT78*VLOOKUP('Données projet'!$B$13,Paramètres!$A$1:$I$89,3,0)*VLOOKUP('Données projet'!$B$13,Paramètres!$A$1:$I$89,5,0)</f>
        <v>243.25080000000014</v>
      </c>
      <c r="CV78" s="13">
        <f t="shared" si="95"/>
        <v>59.138407327216456</v>
      </c>
      <c r="CW78" s="20">
        <f t="shared" si="67"/>
        <v>526.66120276156892</v>
      </c>
      <c r="CX78" s="59">
        <f t="shared" si="68"/>
        <v>819.99453609490229</v>
      </c>
      <c r="CY78" s="59">
        <f ca="1">AVERAGE(OFFSET($CX$3,0,0,'Données projet'!$E$13+1,1))-AVERAGE(OFFSET($H$3,0,0,'Données projet'!$E$13+1,1))</f>
        <v>293.19327646293601</v>
      </c>
      <c r="CZ78" s="59">
        <f t="shared" si="96"/>
        <v>200.0769581869605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0.95346007028716717</v>
      </c>
      <c r="DH78" s="21">
        <f>EXP(-LN(2)/2)*DH77+(1-EXP(-LN(2)/2))/(LN(2)/2)*DB78*DE78*VLOOKUP('Données projet'!$B$13,Paramètres!$A$1:$I$89,3,0)*0.475*44/12</f>
        <v>1.1154078204767556E-6</v>
      </c>
      <c r="DI78" s="22">
        <f t="shared" si="69"/>
        <v>0.95346118569498761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421.19999999999959</v>
      </c>
      <c r="O79" s="13">
        <f>N79*VLOOKUP('Données projet'!$B$9,Paramètres!$A$1:$I$89,3,0)*VLOOKUP('Données projet'!$B$9,Paramètres!$A$1:$I$89,5,0)</f>
        <v>251.87759999999977</v>
      </c>
      <c r="P79" s="13">
        <f t="shared" si="87"/>
        <v>60.987825380023018</v>
      </c>
      <c r="Q79" s="20">
        <f t="shared" si="54"/>
        <v>544.90728253687291</v>
      </c>
      <c r="R79" s="59">
        <f t="shared" si="55"/>
        <v>838.24061587020628</v>
      </c>
      <c r="S79" s="59">
        <f ca="1">AVERAGE(OFFSET($R$3,0,0,'Données projet'!$E$9+1,1))-AVERAGE(OFFSET($H$3,0,0,'Données projet'!$E$9+1,1))</f>
        <v>246.59447135626942</v>
      </c>
      <c r="T79" s="59">
        <f t="shared" si="88"/>
        <v>262.00382544285367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3.5890792250456132</v>
      </c>
      <c r="AB79" s="21">
        <f>EXP(-LN(2)/2)*AB78+(1-EXP(-LN(2)/2))/(LN(2)/2)*V79*Y79*VLOOKUP('Données projet'!$B$9,Paramètres!$A$1:$I$89,3,0)*0.475*44/12</f>
        <v>2.8287601320527758E-6</v>
      </c>
      <c r="AC79" s="22">
        <f t="shared" si="57"/>
        <v>3.5890820538057451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195.73441209602686</v>
      </c>
      <c r="AO79" s="59">
        <f t="shared" si="90"/>
        <v>219.19129224309006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2.4981038868055823</v>
      </c>
      <c r="AV79" s="21">
        <f>EXP(-LN(2)/25)*AV78+(1-EXP(-LN(2)/25))/(LN(2)/25)*Calculateur!AQ79*Calculateur!AS79*VLOOKUP('Données projet'!$B$10,Paramètres!$A$1:$I$89,3,0)*0.475*44/12</f>
        <v>3.4442840352983084</v>
      </c>
      <c r="AW79" s="21">
        <f>EXP(-LN(2)/2)*AW78+(1-EXP(-LN(2)/2))/(LN(2)/2)*AQ79*AT79*VLOOKUP('Données projet'!$B$10,Paramètres!$A$1:$I$89,3,0)*0.475*44/12</f>
        <v>6.491771190254891E-7</v>
      </c>
      <c r="AX79" s="21">
        <f t="shared" si="60"/>
        <v>5.9423885712810094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233.07648000000017</v>
      </c>
      <c r="BF79" s="13">
        <f t="shared" si="91"/>
        <v>56.947373142454929</v>
      </c>
      <c r="BG79" s="20">
        <f t="shared" si="61"/>
        <v>505.12487755644264</v>
      </c>
      <c r="BH79" s="59">
        <f t="shared" si="62"/>
        <v>798.45821088977596</v>
      </c>
      <c r="BI79" s="59">
        <f ca="1">AVERAGE(OFFSET($BH$3,0,0,'Données projet'!$E$11+1,1))-AVERAGE(OFFSET($H$3,0,0,'Données projet'!$E$11+1,1))</f>
        <v>269.19146943657933</v>
      </c>
      <c r="BJ79" s="59">
        <f t="shared" si="92"/>
        <v>185.94138814570965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0.86755619294262842</v>
      </c>
      <c r="BR79" s="21">
        <f>EXP(-LN(2)/2)*BR78+(1-EXP(-LN(2)/2))/(LN(2)/2)*BL79*BO79*VLOOKUP('Données projet'!$B$11,Paramètres!$A$1:$I$89,3,0)*0.475*44/12</f>
        <v>7.3782776050906506E-7</v>
      </c>
      <c r="BS79" s="22">
        <f t="shared" si="63"/>
        <v>0.86755693077038898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277.28064000000018</v>
      </c>
      <c r="CA79" s="13">
        <f t="shared" si="93"/>
        <v>66.39200393009655</v>
      </c>
      <c r="CB79" s="20">
        <f t="shared" si="64"/>
        <v>598.56318817825183</v>
      </c>
      <c r="CC79" s="59">
        <f t="shared" si="65"/>
        <v>891.89652151158521</v>
      </c>
      <c r="CD79" s="59">
        <f ca="1">AVERAGE(OFFSET($CC$3,0,0,'Données projet'!$E$12+1,1))-AVERAGE(OFFSET($H$3,0,0,'Données projet'!$E$12+1,1))</f>
        <v>335.12015893291874</v>
      </c>
      <c r="CE79" s="59">
        <f t="shared" si="94"/>
        <v>224.76596283033166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1.0320927122938166</v>
      </c>
      <c r="CM79" s="21">
        <f>EXP(-LN(2)/2)*CM78+(1-EXP(-LN(2)/2))/(LN(2)/2)*CG79*CJ79*VLOOKUP('Données projet'!$B$12,Paramètres!$A$1:$I$89,3,0)*0.475*44/12</f>
        <v>8.7776061164009617E-7</v>
      </c>
      <c r="CN79" s="22">
        <f t="shared" si="66"/>
        <v>1.0320935900544284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6.1</v>
      </c>
      <c r="CT79" s="12">
        <f>IF('Données projet'!$A$140&gt;35,CT78+CS79-DB78,IF(A79&lt;'Données projet'!$A$140,$CQ$205^A79,IF(A79='Données projet'!$A$140,'Données projet'!$B$140,CT78+CS79-DB78)))</f>
        <v>257.60000000000019</v>
      </c>
      <c r="CU79" s="17">
        <f>CT79*VLOOKUP('Données projet'!$B$13,Paramètres!$A$1:$I$89,3,0)*VLOOKUP('Données projet'!$B$13,Paramètres!$A$1:$I$89,5,0)</f>
        <v>249.15072000000021</v>
      </c>
      <c r="CV79" s="13">
        <f t="shared" si="95"/>
        <v>60.404044320946298</v>
      </c>
      <c r="CW79" s="20">
        <f t="shared" si="67"/>
        <v>539.14121452564848</v>
      </c>
      <c r="CX79" s="59">
        <f t="shared" si="68"/>
        <v>832.47454785898185</v>
      </c>
      <c r="CY79" s="59">
        <f ca="1">AVERAGE(OFFSET($CX$3,0,0,'Données projet'!$E$13+1,1))-AVERAGE(OFFSET($H$3,0,0,'Données projet'!$E$13+1,1))</f>
        <v>293.19327646293601</v>
      </c>
      <c r="CZ79" s="59">
        <f t="shared" si="96"/>
        <v>200.0769581869605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0.9273876545248787</v>
      </c>
      <c r="DH79" s="21">
        <f>EXP(-LN(2)/2)*DH78+(1-EXP(-LN(2)/2))/(LN(2)/2)*DB79*DE79*VLOOKUP('Données projet'!$B$13,Paramètres!$A$1:$I$89,3,0)*0.475*44/12</f>
        <v>7.8871243364762113E-7</v>
      </c>
      <c r="DI79" s="22">
        <f t="shared" si="69"/>
        <v>0.9273884432373124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428.39999999999958</v>
      </c>
      <c r="O80" s="13">
        <f>N80*VLOOKUP('Données projet'!$B$9,Paramètres!$A$1:$I$89,3,0)*VLOOKUP('Données projet'!$B$9,Paramètres!$A$1:$I$89,5,0)</f>
        <v>256.18319999999977</v>
      </c>
      <c r="P80" s="13">
        <f t="shared" si="87"/>
        <v>61.90809149979912</v>
      </c>
      <c r="Q80" s="20">
        <f t="shared" si="54"/>
        <v>554.00899936214978</v>
      </c>
      <c r="R80" s="59">
        <f t="shared" si="55"/>
        <v>847.34233269548304</v>
      </c>
      <c r="S80" s="59">
        <f ca="1">AVERAGE(OFFSET($R$3,0,0,'Données projet'!$E$9+1,1))-AVERAGE(OFFSET($H$3,0,0,'Données projet'!$E$9+1,1))</f>
        <v>246.59447135626942</v>
      </c>
      <c r="T80" s="59">
        <f t="shared" si="88"/>
        <v>262.00382544285367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3.4909356648952672</v>
      </c>
      <c r="AB80" s="21">
        <f>EXP(-LN(2)/2)*AB79+(1-EXP(-LN(2)/2))/(LN(2)/2)*V80*Y80*VLOOKUP('Données projet'!$B$9,Paramètres!$A$1:$I$89,3,0)*0.475*44/12</f>
        <v>2.0002354717246714E-6</v>
      </c>
      <c r="AC80" s="22">
        <f t="shared" si="57"/>
        <v>3.4909376651307391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195.73441209602686</v>
      </c>
      <c r="AO80" s="59">
        <f t="shared" si="90"/>
        <v>219.19129224309006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2.4491175932782436</v>
      </c>
      <c r="AV80" s="21">
        <f>EXP(-LN(2)/25)*AV79+(1-EXP(-LN(2)/25))/(LN(2)/25)*Calculateur!AQ80*Calculateur!AS80*VLOOKUP('Données projet'!$B$10,Paramètres!$A$1:$I$89,3,0)*0.475*44/12</f>
        <v>3.3500999072260509</v>
      </c>
      <c r="AW80" s="21">
        <f>EXP(-LN(2)/2)*AW79+(1-EXP(-LN(2)/2))/(LN(2)/2)*AQ80*AT80*VLOOKUP('Données projet'!$B$10,Paramètres!$A$1:$I$89,3,0)*0.475*44/12</f>
        <v>4.5903754305406987E-7</v>
      </c>
      <c r="AX80" s="21">
        <f t="shared" si="60"/>
        <v>5.7992179595418376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238.59576000000018</v>
      </c>
      <c r="BF80" s="13">
        <f t="shared" si="91"/>
        <v>58.137298297430824</v>
      </c>
      <c r="BG80" s="20">
        <f t="shared" si="61"/>
        <v>516.81007653469237</v>
      </c>
      <c r="BH80" s="59">
        <f t="shared" si="62"/>
        <v>810.14340986802563</v>
      </c>
      <c r="BI80" s="59">
        <f ca="1">AVERAGE(OFFSET($BH$3,0,0,'Données projet'!$E$11+1,1))-AVERAGE(OFFSET($H$3,0,0,'Données projet'!$E$11+1,1))</f>
        <v>269.19146943657933</v>
      </c>
      <c r="BJ80" s="59">
        <f t="shared" si="92"/>
        <v>185.94138814570965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0.84383282322381492</v>
      </c>
      <c r="BR80" s="21">
        <f>EXP(-LN(2)/2)*BR79+(1-EXP(-LN(2)/2))/(LN(2)/2)*BL80*BO80*VLOOKUP('Données projet'!$B$11,Paramètres!$A$1:$I$89,3,0)*0.475*44/12</f>
        <v>5.2172301280364385E-7</v>
      </c>
      <c r="BS80" s="22">
        <f t="shared" si="63"/>
        <v>0.84383334494682771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283.84668000000022</v>
      </c>
      <c r="CA80" s="13">
        <f t="shared" si="93"/>
        <v>67.779276269560924</v>
      </c>
      <c r="CB80" s="20">
        <f t="shared" si="64"/>
        <v>612.4152071694856</v>
      </c>
      <c r="CC80" s="59">
        <f t="shared" si="65"/>
        <v>905.74854050281897</v>
      </c>
      <c r="CD80" s="59">
        <f ca="1">AVERAGE(OFFSET($CC$3,0,0,'Données projet'!$E$12+1,1))-AVERAGE(OFFSET($H$3,0,0,'Données projet'!$E$12+1,1))</f>
        <v>335.12015893291874</v>
      </c>
      <c r="CE80" s="59">
        <f t="shared" si="94"/>
        <v>224.76596283033166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1.0038700828007454</v>
      </c>
      <c r="CM80" s="21">
        <f>EXP(-LN(2)/2)*CM79+(1-EXP(-LN(2)/2))/(LN(2)/2)*CG80*CJ80*VLOOKUP('Données projet'!$B$12,Paramètres!$A$1:$I$89,3,0)*0.475*44/12</f>
        <v>6.2067048074916359E-7</v>
      </c>
      <c r="CN80" s="22">
        <f t="shared" si="66"/>
        <v>1.0038707034712262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6.1</v>
      </c>
      <c r="CT80" s="12">
        <f>IF('Données projet'!$A$140&gt;35,CT79+CS80-DB79,IF(A80&lt;'Données projet'!$A$140,$CQ$205^A80,IF(A80='Données projet'!$A$140,'Données projet'!$B$140,CT79+CS80-DB79)))</f>
        <v>263.70000000000022</v>
      </c>
      <c r="CU80" s="17">
        <f>CT80*VLOOKUP('Données projet'!$B$13,Paramètres!$A$1:$I$89,3,0)*VLOOKUP('Données projet'!$B$13,Paramètres!$A$1:$I$89,5,0)</f>
        <v>255.05064000000024</v>
      </c>
      <c r="CV80" s="13">
        <f t="shared" si="95"/>
        <v>61.666197214635986</v>
      </c>
      <c r="CW80" s="20">
        <f t="shared" si="67"/>
        <v>551.61515814882478</v>
      </c>
      <c r="CX80" s="59">
        <f t="shared" si="68"/>
        <v>844.94849148215803</v>
      </c>
      <c r="CY80" s="59">
        <f ca="1">AVERAGE(OFFSET($CX$3,0,0,'Données projet'!$E$13+1,1))-AVERAGE(OFFSET($H$3,0,0,'Données projet'!$E$13+1,1))</f>
        <v>293.19327646293601</v>
      </c>
      <c r="CZ80" s="59">
        <f t="shared" si="96"/>
        <v>200.0769581869605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0.90202819034269877</v>
      </c>
      <c r="DH80" s="21">
        <f>EXP(-LN(2)/2)*DH79+(1-EXP(-LN(2)/2))/(LN(2)/2)*DB80*DE80*VLOOKUP('Données projet'!$B$13,Paramètres!$A$1:$I$89,3,0)*0.475*44/12</f>
        <v>5.577039102383778E-7</v>
      </c>
      <c r="DI80" s="22">
        <f t="shared" si="69"/>
        <v>0.90202874804660904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435.59999999999957</v>
      </c>
      <c r="O81" s="13">
        <f>N81*VLOOKUP('Données projet'!$B$9,Paramètres!$A$1:$I$89,3,0)*VLOOKUP('Données projet'!$B$9,Paramètres!$A$1:$I$89,5,0)</f>
        <v>260.48879999999974</v>
      </c>
      <c r="P81" s="13">
        <f t="shared" si="87"/>
        <v>62.826558970958764</v>
      </c>
      <c r="Q81" s="20">
        <f t="shared" si="54"/>
        <v>563.107583541086</v>
      </c>
      <c r="R81" s="59">
        <f t="shared" si="55"/>
        <v>856.44091687441937</v>
      </c>
      <c r="S81" s="59">
        <f ca="1">AVERAGE(OFFSET($R$3,0,0,'Données projet'!$E$9+1,1))-AVERAGE(OFFSET($H$3,0,0,'Données projet'!$E$9+1,1))</f>
        <v>246.59447135626942</v>
      </c>
      <c r="T81" s="59">
        <f t="shared" si="88"/>
        <v>262.00382544285367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3.3954758455583782</v>
      </c>
      <c r="AB81" s="21">
        <f>EXP(-LN(2)/2)*AB80+(1-EXP(-LN(2)/2))/(LN(2)/2)*V81*Y81*VLOOKUP('Données projet'!$B$9,Paramètres!$A$1:$I$89,3,0)*0.475*44/12</f>
        <v>1.4143800660263879E-6</v>
      </c>
      <c r="AC81" s="22">
        <f t="shared" si="57"/>
        <v>3.3954772599384442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195.73441209602686</v>
      </c>
      <c r="AO81" s="59">
        <f t="shared" si="90"/>
        <v>219.19129224309006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2.4010918910882872</v>
      </c>
      <c r="AV81" s="21">
        <f>EXP(-LN(2)/25)*AV80+(1-EXP(-LN(2)/25))/(LN(2)/25)*Calculateur!AQ81*Calculateur!AS81*VLOOKUP('Données projet'!$B$10,Paramètres!$A$1:$I$89,3,0)*0.475*44/12</f>
        <v>3.2584912490888573</v>
      </c>
      <c r="AW81" s="21">
        <f>EXP(-LN(2)/2)*AW80+(1-EXP(-LN(2)/2))/(LN(2)/2)*AQ81*AT81*VLOOKUP('Données projet'!$B$10,Paramètres!$A$1:$I$89,3,0)*0.475*44/12</f>
        <v>3.245885595127446E-7</v>
      </c>
      <c r="AX81" s="21">
        <f t="shared" si="60"/>
        <v>5.6595834647657037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244.11504000000019</v>
      </c>
      <c r="BF81" s="13">
        <f t="shared" si="91"/>
        <v>59.324023461759062</v>
      </c>
      <c r="BG81" s="20">
        <f t="shared" si="61"/>
        <v>528.48970219589739</v>
      </c>
      <c r="BH81" s="59">
        <f t="shared" si="62"/>
        <v>821.82303552923076</v>
      </c>
      <c r="BI81" s="59">
        <f ca="1">AVERAGE(OFFSET($BH$3,0,0,'Données projet'!$E$11+1,1))-AVERAGE(OFFSET($H$3,0,0,'Données projet'!$E$11+1,1))</f>
        <v>269.19146943657933</v>
      </c>
      <c r="BJ81" s="59">
        <f t="shared" si="92"/>
        <v>185.94138814570965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0.82075817029752018</v>
      </c>
      <c r="BR81" s="21">
        <f>EXP(-LN(2)/2)*BR80+(1-EXP(-LN(2)/2))/(LN(2)/2)*BL81*BO81*VLOOKUP('Données projet'!$B$11,Paramètres!$A$1:$I$89,3,0)*0.475*44/12</f>
        <v>3.6891388025453253E-7</v>
      </c>
      <c r="BS81" s="22">
        <f t="shared" si="63"/>
        <v>0.82075853921140041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290.41272000000026</v>
      </c>
      <c r="CA81" s="13">
        <f t="shared" si="93"/>
        <v>69.162817905044847</v>
      </c>
      <c r="CB81" s="20">
        <f t="shared" si="64"/>
        <v>626.26072851795345</v>
      </c>
      <c r="CC81" s="59">
        <f t="shared" si="65"/>
        <v>919.59406185128682</v>
      </c>
      <c r="CD81" s="59">
        <f ca="1">AVERAGE(OFFSET($CC$3,0,0,'Données projet'!$E$12+1,1))-AVERAGE(OFFSET($H$3,0,0,'Données projet'!$E$12+1,1))</f>
        <v>335.12015893291874</v>
      </c>
      <c r="CE81" s="59">
        <f t="shared" si="94"/>
        <v>224.76596283033166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0.97641920259532577</v>
      </c>
      <c r="CM81" s="21">
        <f>EXP(-LN(2)/2)*CM80+(1-EXP(-LN(2)/2))/(LN(2)/2)*CG81*CJ81*VLOOKUP('Données projet'!$B$12,Paramètres!$A$1:$I$89,3,0)*0.475*44/12</f>
        <v>4.3888030582004808E-7</v>
      </c>
      <c r="CN81" s="22">
        <f t="shared" si="66"/>
        <v>0.97641964147563165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6.1</v>
      </c>
      <c r="CT81" s="12">
        <f>IF('Données projet'!$A$140&gt;35,CT80+CS81-DB80,IF(A81&lt;'Données projet'!$A$140,$CQ$205^A81,IF(A81='Données projet'!$A$140,'Données projet'!$B$140,CT80+CS81-DB80)))</f>
        <v>269.80000000000024</v>
      </c>
      <c r="CU81" s="17">
        <f>CT81*VLOOKUP('Données projet'!$B$13,Paramètres!$A$1:$I$89,3,0)*VLOOKUP('Données projet'!$B$13,Paramètres!$A$1:$I$89,5,0)</f>
        <v>260.95056000000022</v>
      </c>
      <c r="CV81" s="13">
        <f t="shared" si="95"/>
        <v>62.924955880176995</v>
      </c>
      <c r="CW81" s="20">
        <f t="shared" si="67"/>
        <v>564.0831901579752</v>
      </c>
      <c r="CX81" s="59">
        <f t="shared" si="68"/>
        <v>857.41652349130845</v>
      </c>
      <c r="CY81" s="59">
        <f ca="1">AVERAGE(OFFSET($CX$3,0,0,'Données projet'!$E$13+1,1))-AVERAGE(OFFSET($H$3,0,0,'Données projet'!$E$13+1,1))</f>
        <v>293.19327646293601</v>
      </c>
      <c r="CZ81" s="59">
        <f t="shared" si="96"/>
        <v>200.0769581869605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0.87736218204217675</v>
      </c>
      <c r="DH81" s="21">
        <f>EXP(-LN(2)/2)*DH80+(1-EXP(-LN(2)/2))/(LN(2)/2)*DB81*DE81*VLOOKUP('Données projet'!$B$13,Paramètres!$A$1:$I$89,3,0)*0.475*44/12</f>
        <v>3.9435621682381056E-7</v>
      </c>
      <c r="DI81" s="22">
        <f t="shared" si="69"/>
        <v>0.87736257639839355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442.79999999999956</v>
      </c>
      <c r="O82" s="13">
        <f>N82*VLOOKUP('Données projet'!$B$9,Paramètres!$A$1:$I$89,3,0)*VLOOKUP('Données projet'!$B$9,Paramètres!$A$1:$I$89,5,0)</f>
        <v>264.79439999999977</v>
      </c>
      <c r="P82" s="13">
        <f t="shared" si="87"/>
        <v>63.74326095490612</v>
      </c>
      <c r="Q82" s="20">
        <f t="shared" si="54"/>
        <v>572.2030928297944</v>
      </c>
      <c r="R82" s="59">
        <f t="shared" si="55"/>
        <v>865.53642616312777</v>
      </c>
      <c r="S82" s="59">
        <f ca="1">AVERAGE(OFFSET($R$3,0,0,'Données projet'!$E$9+1,1))-AVERAGE(OFFSET($H$3,0,0,'Données projet'!$E$9+1,1))</f>
        <v>246.59447135626942</v>
      </c>
      <c r="T82" s="59">
        <f t="shared" si="88"/>
        <v>262.00382544285367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3.3026263800012701</v>
      </c>
      <c r="AB82" s="21">
        <f>EXP(-LN(2)/2)*AB81+(1-EXP(-LN(2)/2))/(LN(2)/2)*V82*Y82*VLOOKUP('Données projet'!$B$9,Paramètres!$A$1:$I$89,3,0)*0.475*44/12</f>
        <v>1.0001177358623357E-6</v>
      </c>
      <c r="AC82" s="22">
        <f t="shared" si="57"/>
        <v>3.3026273801190058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195.73441209602686</v>
      </c>
      <c r="AO82" s="59">
        <f t="shared" si="90"/>
        <v>219.19129224309006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2.3540079436254899</v>
      </c>
      <c r="AV82" s="21">
        <f>EXP(-LN(2)/25)*AV81+(1-EXP(-LN(2)/25))/(LN(2)/25)*Calculateur!AQ82*Calculateur!AS82*VLOOKUP('Données projet'!$B$10,Paramètres!$A$1:$I$89,3,0)*0.475*44/12</f>
        <v>3.1693876345259153</v>
      </c>
      <c r="AW82" s="21">
        <f>EXP(-LN(2)/2)*AW81+(1-EXP(-LN(2)/2))/(LN(2)/2)*AQ82*AT82*VLOOKUP('Données projet'!$B$10,Paramètres!$A$1:$I$89,3,0)*0.475*44/12</f>
        <v>2.2951877152703496E-7</v>
      </c>
      <c r="AX82" s="21">
        <f t="shared" si="60"/>
        <v>5.5233958076701759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249.63432000000023</v>
      </c>
      <c r="BF82" s="13">
        <f t="shared" si="91"/>
        <v>60.507629314318471</v>
      </c>
      <c r="BG82" s="20">
        <f t="shared" si="61"/>
        <v>540.16389505577172</v>
      </c>
      <c r="BH82" s="59">
        <f t="shared" si="62"/>
        <v>833.49722838910498</v>
      </c>
      <c r="BI82" s="59">
        <f ca="1">AVERAGE(OFFSET($BH$3,0,0,'Données projet'!$E$11+1,1))-AVERAGE(OFFSET($H$3,0,0,'Données projet'!$E$11+1,1))</f>
        <v>269.19146943657933</v>
      </c>
      <c r="BJ82" s="59">
        <f t="shared" si="92"/>
        <v>185.94138814570965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0.79831449496893814</v>
      </c>
      <c r="BR82" s="21">
        <f>EXP(-LN(2)/2)*BR81+(1-EXP(-LN(2)/2))/(LN(2)/2)*BL82*BO82*VLOOKUP('Données projet'!$B$11,Paramètres!$A$1:$I$89,3,0)*0.475*44/12</f>
        <v>2.6086150640182193E-7</v>
      </c>
      <c r="BS82" s="22">
        <f t="shared" si="63"/>
        <v>0.79831475583044453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296.97876000000031</v>
      </c>
      <c r="CA82" s="13">
        <f t="shared" si="93"/>
        <v>70.542722895890194</v>
      </c>
      <c r="CB82" s="20">
        <f t="shared" si="64"/>
        <v>640.09991604367588</v>
      </c>
      <c r="CC82" s="59">
        <f t="shared" si="65"/>
        <v>933.43324937700913</v>
      </c>
      <c r="CD82" s="59">
        <f ca="1">AVERAGE(OFFSET($CC$3,0,0,'Données projet'!$E$12+1,1))-AVERAGE(OFFSET($H$3,0,0,'Données projet'!$E$12+1,1))</f>
        <v>335.12015893291874</v>
      </c>
      <c r="CE82" s="59">
        <f t="shared" si="94"/>
        <v>224.76596283033166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0.9497189681527024</v>
      </c>
      <c r="CM82" s="21">
        <f>EXP(-LN(2)/2)*CM81+(1-EXP(-LN(2)/2))/(LN(2)/2)*CG82*CJ82*VLOOKUP('Données projet'!$B$12,Paramètres!$A$1:$I$89,3,0)*0.475*44/12</f>
        <v>3.103352403745818E-7</v>
      </c>
      <c r="CN82" s="22">
        <f t="shared" si="66"/>
        <v>0.9497192784879428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6.1</v>
      </c>
      <c r="CT82" s="12">
        <f>IF('Données projet'!$A$140&gt;35,CT81+CS82-DB81,IF(A82&lt;'Données projet'!$A$140,$CQ$205^A82,IF(A82='Données projet'!$A$140,'Données projet'!$B$140,CT81+CS82-DB81)))</f>
        <v>275.90000000000026</v>
      </c>
      <c r="CU82" s="17">
        <f>CT82*VLOOKUP('Données projet'!$B$13,Paramètres!$A$1:$I$89,3,0)*VLOOKUP('Données projet'!$B$13,Paramètres!$A$1:$I$89,5,0)</f>
        <v>266.85048000000029</v>
      </c>
      <c r="CV82" s="13">
        <f t="shared" si="95"/>
        <v>64.180405893607485</v>
      </c>
      <c r="CW82" s="20">
        <f t="shared" si="67"/>
        <v>576.54545959803352</v>
      </c>
      <c r="CX82" s="59">
        <f t="shared" si="68"/>
        <v>869.87879293136689</v>
      </c>
      <c r="CY82" s="59">
        <f ca="1">AVERAGE(OFFSET($CX$3,0,0,'Données projet'!$E$13+1,1))-AVERAGE(OFFSET($H$3,0,0,'Données projet'!$E$13+1,1))</f>
        <v>293.19327646293601</v>
      </c>
      <c r="CZ82" s="59">
        <f t="shared" si="96"/>
        <v>200.0769581869605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0.85337066703576148</v>
      </c>
      <c r="DH82" s="21">
        <f>EXP(-LN(2)/2)*DH81+(1-EXP(-LN(2)/2))/(LN(2)/2)*DB82*DE82*VLOOKUP('Données projet'!$B$13,Paramètres!$A$1:$I$89,3,0)*0.475*44/12</f>
        <v>2.788519551191889E-7</v>
      </c>
      <c r="DI82" s="22">
        <f t="shared" si="69"/>
        <v>0.85337094588771656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450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449.99999999999955</v>
      </c>
      <c r="O83" s="13">
        <f>N83*VLOOKUP('Données projet'!$B$9,Paramètres!$A$1:$I$89,3,0)*VLOOKUP('Données projet'!$B$9,Paramètres!$A$1:$I$89,5,0)</f>
        <v>269.09999999999974</v>
      </c>
      <c r="P83" s="13">
        <f t="shared" si="87"/>
        <v>64.658229472790936</v>
      </c>
      <c r="Q83" s="20">
        <f t="shared" si="54"/>
        <v>581.29558299844382</v>
      </c>
      <c r="R83" s="59">
        <f t="shared" si="55"/>
        <v>874.62891633177719</v>
      </c>
      <c r="S83" s="59">
        <f ca="1">AVERAGE(OFFSET($R$3,0,0,'Données projet'!$E$9+1,1))-AVERAGE(OFFSET($H$3,0,0,'Données projet'!$E$9+1,1))</f>
        <v>246.59447135626942</v>
      </c>
      <c r="T83" s="59">
        <f t="shared" si="88"/>
        <v>262.00382544285367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3.2123158879625624</v>
      </c>
      <c r="AB83" s="21">
        <f>EXP(-LN(2)/2)*AB82+(1-EXP(-LN(2)/2))/(LN(2)/2)*V83*Y83*VLOOKUP('Données projet'!$B$9,Paramètres!$A$1:$I$89,3,0)*0.475*44/12</f>
        <v>7.0719003301319395E-7</v>
      </c>
      <c r="AC83" s="22">
        <f t="shared" si="57"/>
        <v>3.2123165951525956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195.73441209602686</v>
      </c>
      <c r="AO83" s="59">
        <f t="shared" si="90"/>
        <v>219.19129224309006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2.3078472836540658</v>
      </c>
      <c r="AV83" s="21">
        <f>EXP(-LN(2)/25)*AV82+(1-EXP(-LN(2)/25))/(LN(2)/25)*Calculateur!AQ83*Calculateur!AS83*VLOOKUP('Données projet'!$B$10,Paramètres!$A$1:$I$89,3,0)*0.475*44/12</f>
        <v>3.082720562988952</v>
      </c>
      <c r="AW83" s="21">
        <f>EXP(-LN(2)/2)*AW82+(1-EXP(-LN(2)/2))/(LN(2)/2)*AQ83*AT83*VLOOKUP('Données projet'!$B$10,Paramètres!$A$1:$I$89,3,0)*0.475*44/12</f>
        <v>1.622942797563723E-7</v>
      </c>
      <c r="AX83" s="21">
        <f t="shared" si="60"/>
        <v>5.3905680089372972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255.15360000000024</v>
      </c>
      <c r="BF83" s="13">
        <f t="shared" si="91"/>
        <v>61.688192762754483</v>
      </c>
      <c r="BG83" s="20">
        <f t="shared" si="61"/>
        <v>551.83278906179783</v>
      </c>
      <c r="BH83" s="59">
        <f t="shared" si="62"/>
        <v>845.1661223951312</v>
      </c>
      <c r="BI83" s="59">
        <f ca="1">AVERAGE(OFFSET($BH$3,0,0,'Données projet'!$E$11+1,1))-AVERAGE(OFFSET($H$3,0,0,'Données projet'!$E$11+1,1))</f>
        <v>269.19146943657933</v>
      </c>
      <c r="BJ83" s="59">
        <f t="shared" si="92"/>
        <v>185.94138814570965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0.77648454312247783</v>
      </c>
      <c r="BR83" s="21">
        <f>EXP(-LN(2)/2)*BR82+(1-EXP(-LN(2)/2))/(LN(2)/2)*BL83*BO83*VLOOKUP('Données projet'!$B$11,Paramètres!$A$1:$I$89,3,0)*0.475*44/12</f>
        <v>1.8445694012726627E-7</v>
      </c>
      <c r="BS83" s="22">
        <f t="shared" si="63"/>
        <v>0.776484727579418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303.54480000000029</v>
      </c>
      <c r="CA83" s="13">
        <f t="shared" si="93"/>
        <v>71.919080904752576</v>
      </c>
      <c r="CB83" s="20">
        <f t="shared" si="64"/>
        <v>653.93292590911119</v>
      </c>
      <c r="CC83" s="59">
        <f t="shared" si="65"/>
        <v>947.26625924244445</v>
      </c>
      <c r="CD83" s="59">
        <f ca="1">AVERAGE(OFFSET($CC$3,0,0,'Données projet'!$E$12+1,1))-AVERAGE(OFFSET($H$3,0,0,'Données projet'!$E$12+1,1))</f>
        <v>335.12015893291874</v>
      </c>
      <c r="CE83" s="59">
        <f t="shared" si="94"/>
        <v>224.76596283033166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0.92374885302501686</v>
      </c>
      <c r="CM83" s="21">
        <f>EXP(-LN(2)/2)*CM82+(1-EXP(-LN(2)/2))/(LN(2)/2)*CG83*CJ83*VLOOKUP('Données projet'!$B$12,Paramètres!$A$1:$I$89,3,0)*0.475*44/12</f>
        <v>2.1944015291002404E-7</v>
      </c>
      <c r="CN83" s="22">
        <f t="shared" si="66"/>
        <v>0.9237490724651698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282</v>
      </c>
      <c r="CR83" s="12">
        <f>VLOOKUP(A83,'Données projet'!$A$139:$I$159,9,0)</f>
        <v>6.1</v>
      </c>
      <c r="CS83" s="12">
        <f t="array" ref="CS83">INDEX(CR:CR,MIN(IF(ISNUMBER(CR83:CR279),ROW(CR83:CR279),"")))</f>
        <v>6.1</v>
      </c>
      <c r="CT83" s="12">
        <f>IF('Données projet'!$A$140&gt;35,CT82+CS83-DB82,IF(A83&lt;'Données projet'!$A$140,$CQ$205^A83,IF(A83='Données projet'!$A$140,'Données projet'!$B$140,CT82+CS83-DB82)))</f>
        <v>282.00000000000028</v>
      </c>
      <c r="CU83" s="17">
        <f>CT83*VLOOKUP('Données projet'!$B$13,Paramètres!$A$1:$I$89,3,0)*VLOOKUP('Données projet'!$B$13,Paramètres!$A$1:$I$89,5,0)</f>
        <v>272.7504000000003</v>
      </c>
      <c r="CV83" s="13">
        <f t="shared" si="95"/>
        <v>65.432628830820761</v>
      </c>
      <c r="CW83" s="20">
        <f t="shared" si="67"/>
        <v>589.00210854701334</v>
      </c>
      <c r="CX83" s="59">
        <f t="shared" si="68"/>
        <v>882.33544188034671</v>
      </c>
      <c r="CY83" s="59">
        <f ca="1">AVERAGE(OFFSET($CX$3,0,0,'Données projet'!$E$13+1,1))-AVERAGE(OFFSET($H$3,0,0,'Données projet'!$E$13+1,1))</f>
        <v>293.19327646293601</v>
      </c>
      <c r="CZ83" s="59">
        <f t="shared" si="96"/>
        <v>200.0769581869605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0.83003520126885555</v>
      </c>
      <c r="DH83" s="21">
        <f>EXP(-LN(2)/2)*DH82+(1-EXP(-LN(2)/2))/(LN(2)/2)*DB83*DE83*VLOOKUP('Données projet'!$B$13,Paramètres!$A$1:$I$89,3,0)*0.475*44/12</f>
        <v>1.9717810841190528E-7</v>
      </c>
      <c r="DI83" s="22">
        <f t="shared" si="69"/>
        <v>0.83003539844696395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-2.7193891583010558E-13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246.59447135626942</v>
      </c>
      <c r="T84" s="59">
        <f t="shared" si="88"/>
        <v>262.00382544285367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3.1244749410778754</v>
      </c>
      <c r="AB84" s="21">
        <f>EXP(-LN(2)/2)*AB83+(1-EXP(-LN(2)/2))/(LN(2)/2)*V84*Y84*VLOOKUP('Données projet'!$B$9,Paramètres!$A$1:$I$89,3,0)*0.475*44/12</f>
        <v>5.0005886793116784E-7</v>
      </c>
      <c r="AC84" s="22">
        <f t="shared" si="57"/>
        <v>3.1244754411367435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195.73441209602686</v>
      </c>
      <c r="AO84" s="59">
        <f t="shared" si="90"/>
        <v>219.19129224309006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2.2625918060694588</v>
      </c>
      <c r="AV84" s="21">
        <f>EXP(-LN(2)/25)*AV83+(1-EXP(-LN(2)/25))/(LN(2)/25)*Calculateur!AQ84*Calculateur!AS84*VLOOKUP('Données projet'!$B$10,Paramètres!$A$1:$I$89,3,0)*0.475*44/12</f>
        <v>2.9984234070807902</v>
      </c>
      <c r="AW84" s="21">
        <f>EXP(-LN(2)/2)*AW83+(1-EXP(-LN(2)/2))/(LN(2)/2)*AQ84*AT84*VLOOKUP('Données projet'!$B$10,Paramètres!$A$1:$I$89,3,0)*0.475*44/12</f>
        <v>1.1475938576351748E-7</v>
      </c>
      <c r="AX84" s="21">
        <f t="shared" si="60"/>
        <v>5.261015327909635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222.2188800000003</v>
      </c>
      <c r="BF84" s="13">
        <f t="shared" si="91"/>
        <v>54.596866296848951</v>
      </c>
      <c r="BG84" s="20">
        <f t="shared" si="61"/>
        <v>482.12075813367898</v>
      </c>
      <c r="BH84" s="59">
        <f t="shared" si="62"/>
        <v>775.45409146701229</v>
      </c>
      <c r="BI84" s="59">
        <f ca="1">AVERAGE(OFFSET($BH$3,0,0,'Données projet'!$E$11+1,1))-AVERAGE(OFFSET($H$3,0,0,'Données projet'!$E$11+1,1))</f>
        <v>269.19146943657933</v>
      </c>
      <c r="BJ84" s="59">
        <f t="shared" si="92"/>
        <v>185.94138814570965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0.75525153245724619</v>
      </c>
      <c r="BR84" s="21">
        <f>EXP(-LN(2)/2)*BR83+(1-EXP(-LN(2)/2))/(LN(2)/2)*BL84*BO84*VLOOKUP('Données projet'!$B$11,Paramètres!$A$1:$I$89,3,0)*0.475*44/12</f>
        <v>1.3043075320091096E-7</v>
      </c>
      <c r="BS84" s="22">
        <f t="shared" si="63"/>
        <v>0.75525166288799939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264.36384000000032</v>
      </c>
      <c r="CA84" s="13">
        <f t="shared" si="93"/>
        <v>63.651669282160874</v>
      </c>
      <c r="CB84" s="20">
        <f t="shared" si="64"/>
        <v>571.29367866643076</v>
      </c>
      <c r="CC84" s="59">
        <f t="shared" si="65"/>
        <v>864.62701199976414</v>
      </c>
      <c r="CD84" s="59">
        <f ca="1">AVERAGE(OFFSET($CC$3,0,0,'Données projet'!$E$12+1,1))-AVERAGE(OFFSET($H$3,0,0,'Données projet'!$E$12+1,1))</f>
        <v>335.12015893291874</v>
      </c>
      <c r="CE84" s="59">
        <f t="shared" si="94"/>
        <v>224.76596283033166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0.89848889206120686</v>
      </c>
      <c r="CM84" s="21">
        <f>EXP(-LN(2)/2)*CM83+(1-EXP(-LN(2)/2))/(LN(2)/2)*CG84*CJ84*VLOOKUP('Données projet'!$B$12,Paramètres!$A$1:$I$89,3,0)*0.475*44/12</f>
        <v>1.551676201872909E-7</v>
      </c>
      <c r="CN84" s="22">
        <f t="shared" si="66"/>
        <v>0.89848904722882705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5.6</v>
      </c>
      <c r="CT84" s="12">
        <f>IF('Données projet'!$A$140&gt;35,CT83+CS84-DB83,IF(A84&lt;'Données projet'!$A$140,$CQ$205^A84,IF(A84='Données projet'!$A$140,'Données projet'!$B$140,CT83+CS84-DB83)))</f>
        <v>245.60000000000031</v>
      </c>
      <c r="CU84" s="17">
        <f>CT84*VLOOKUP('Données projet'!$B$13,Paramètres!$A$1:$I$89,3,0)*VLOOKUP('Données projet'!$B$13,Paramètres!$A$1:$I$89,5,0)</f>
        <v>237.54432000000031</v>
      </c>
      <c r="CV84" s="13">
        <f t="shared" si="95"/>
        <v>57.910863128488039</v>
      </c>
      <c r="CW84" s="20">
        <f t="shared" si="67"/>
        <v>514.58444394878381</v>
      </c>
      <c r="CX84" s="59">
        <f t="shared" si="68"/>
        <v>807.91777728211719</v>
      </c>
      <c r="CY84" s="59">
        <f ca="1">AVERAGE(OFFSET($CX$3,0,0,'Données projet'!$E$13+1,1))-AVERAGE(OFFSET($H$3,0,0,'Données projet'!$E$13+1,1))</f>
        <v>293.19327646293601</v>
      </c>
      <c r="CZ84" s="59">
        <f t="shared" si="96"/>
        <v>200.0769581869605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0.80733784504050454</v>
      </c>
      <c r="DH84" s="21">
        <f>EXP(-LN(2)/2)*DH83+(1-EXP(-LN(2)/2))/(LN(2)/2)*DB84*DE84*VLOOKUP('Données projet'!$B$13,Paramètres!$A$1:$I$89,3,0)*0.475*44/12</f>
        <v>1.3942597755959445E-7</v>
      </c>
      <c r="DI84" s="22">
        <f t="shared" si="69"/>
        <v>0.80733798446648208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-2.7193891583010558E-13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246.59447135626942</v>
      </c>
      <c r="T85" s="59">
        <f t="shared" si="88"/>
        <v>262.00382544285367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3.039036009505105</v>
      </c>
      <c r="AB85" s="21">
        <f>EXP(-LN(2)/2)*AB84+(1-EXP(-LN(2)/2))/(LN(2)/2)*V85*Y85*VLOOKUP('Données projet'!$B$9,Paramètres!$A$1:$I$89,3,0)*0.475*44/12</f>
        <v>3.5359501650659697E-7</v>
      </c>
      <c r="AC85" s="22">
        <f t="shared" si="57"/>
        <v>3.0390363631001214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195.73441209602686</v>
      </c>
      <c r="AO85" s="59">
        <f t="shared" si="90"/>
        <v>219.19129224309006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2.2182237607971702</v>
      </c>
      <c r="AV85" s="21">
        <f>EXP(-LN(2)/25)*AV84+(1-EXP(-LN(2)/25))/(LN(2)/25)*Calculateur!AQ85*Calculateur!AS85*VLOOKUP('Données projet'!$B$10,Paramètres!$A$1:$I$89,3,0)*0.475*44/12</f>
        <v>2.9164313613339319</v>
      </c>
      <c r="AW85" s="21">
        <f>EXP(-LN(2)/2)*AW84+(1-EXP(-LN(2)/2))/(LN(2)/2)*AQ85*AT85*VLOOKUP('Données projet'!$B$10,Paramètres!$A$1:$I$89,3,0)*0.475*44/12</f>
        <v>8.1147139878186151E-8</v>
      </c>
      <c r="AX85" s="21">
        <f t="shared" si="60"/>
        <v>5.1346552032782418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227.28576000000027</v>
      </c>
      <c r="BF85" s="13">
        <f t="shared" si="91"/>
        <v>55.695394520076427</v>
      </c>
      <c r="BG85" s="20">
        <f t="shared" si="61"/>
        <v>492.85884412246696</v>
      </c>
      <c r="BH85" s="59">
        <f t="shared" si="62"/>
        <v>786.19217745580022</v>
      </c>
      <c r="BI85" s="59">
        <f ca="1">AVERAGE(OFFSET($BH$3,0,0,'Données projet'!$E$11+1,1))-AVERAGE(OFFSET($H$3,0,0,'Données projet'!$E$11+1,1))</f>
        <v>269.19146943657933</v>
      </c>
      <c r="BJ85" s="59">
        <f t="shared" si="92"/>
        <v>185.94138814570965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0.7345991395852508</v>
      </c>
      <c r="BR85" s="21">
        <f>EXP(-LN(2)/2)*BR84+(1-EXP(-LN(2)/2))/(LN(2)/2)*BL85*BO85*VLOOKUP('Données projet'!$B$11,Paramètres!$A$1:$I$89,3,0)*0.475*44/12</f>
        <v>9.2228470063633133E-8</v>
      </c>
      <c r="BS85" s="22">
        <f t="shared" si="63"/>
        <v>0.73459923181372089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270.39168000000035</v>
      </c>
      <c r="CA85" s="13">
        <f t="shared" si="93"/>
        <v>64.93238665487263</v>
      </c>
      <c r="CB85" s="20">
        <f t="shared" si="64"/>
        <v>584.02274942390375</v>
      </c>
      <c r="CC85" s="59">
        <f t="shared" si="65"/>
        <v>877.35608275723712</v>
      </c>
      <c r="CD85" s="59">
        <f ca="1">AVERAGE(OFFSET($CC$3,0,0,'Données projet'!$E$12+1,1))-AVERAGE(OFFSET($H$3,0,0,'Données projet'!$E$12+1,1))</f>
        <v>335.12015893291874</v>
      </c>
      <c r="CE85" s="59">
        <f t="shared" si="94"/>
        <v>224.76596283033166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0.87391966605831584</v>
      </c>
      <c r="CM85" s="21">
        <f>EXP(-LN(2)/2)*CM84+(1-EXP(-LN(2)/2))/(LN(2)/2)*CG85*CJ85*VLOOKUP('Données projet'!$B$12,Paramètres!$A$1:$I$89,3,0)*0.475*44/12</f>
        <v>1.0972007645501202E-7</v>
      </c>
      <c r="CN85" s="22">
        <f t="shared" si="66"/>
        <v>0.8739197757783923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5.6</v>
      </c>
      <c r="CT85" s="12">
        <f>IF('Données projet'!$A$140&gt;35,CT84+CS85-DB84,IF(A85&lt;'Données projet'!$A$140,$CQ$205^A85,IF(A85='Données projet'!$A$140,'Données projet'!$B$140,CT84+CS85-DB84)))</f>
        <v>251.2000000000003</v>
      </c>
      <c r="CU85" s="17">
        <f>CT85*VLOOKUP('Données projet'!$B$13,Paramètres!$A$1:$I$89,3,0)*VLOOKUP('Données projet'!$B$13,Paramètres!$A$1:$I$89,5,0)</f>
        <v>242.96064000000032</v>
      </c>
      <c r="CV85" s="13">
        <f t="shared" si="95"/>
        <v>59.076071351835822</v>
      </c>
      <c r="CW85" s="20">
        <f t="shared" si="67"/>
        <v>526.04727227111459</v>
      </c>
      <c r="CX85" s="59">
        <f t="shared" si="68"/>
        <v>819.38060560444796</v>
      </c>
      <c r="CY85" s="59">
        <f ca="1">AVERAGE(OFFSET($CX$3,0,0,'Données projet'!$E$13+1,1))-AVERAGE(OFFSET($H$3,0,0,'Données projet'!$E$13+1,1))</f>
        <v>293.19327646293601</v>
      </c>
      <c r="CZ85" s="59">
        <f t="shared" si="96"/>
        <v>200.0769581869605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0.78526114921181989</v>
      </c>
      <c r="DH85" s="21">
        <f>EXP(-LN(2)/2)*DH84+(1-EXP(-LN(2)/2))/(LN(2)/2)*DB85*DE85*VLOOKUP('Données projet'!$B$13,Paramètres!$A$1:$I$89,3,0)*0.475*44/12</f>
        <v>9.8589054205952641E-8</v>
      </c>
      <c r="DI85" s="22">
        <f t="shared" si="69"/>
        <v>0.78526124780087414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-2.7193891583010558E-13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246.59447135626942</v>
      </c>
      <c r="T86" s="59">
        <f t="shared" si="88"/>
        <v>262.00382544285367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2.95593341000923</v>
      </c>
      <c r="AB86" s="21">
        <f>EXP(-LN(2)/2)*AB85+(1-EXP(-LN(2)/2))/(LN(2)/2)*V86*Y86*VLOOKUP('Données projet'!$B$9,Paramètres!$A$1:$I$89,3,0)*0.475*44/12</f>
        <v>2.5002943396558392E-7</v>
      </c>
      <c r="AC86" s="22">
        <f t="shared" si="57"/>
        <v>2.9559336600386641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195.73441209602686</v>
      </c>
      <c r="AO86" s="59">
        <f t="shared" si="90"/>
        <v>219.19129224309006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2.1747257458308358</v>
      </c>
      <c r="AV86" s="21">
        <f>EXP(-LN(2)/25)*AV85+(1-EXP(-LN(2)/25))/(LN(2)/25)*Calculateur!AQ86*Calculateur!AS86*VLOOKUP('Données projet'!$B$10,Paramètres!$A$1:$I$89,3,0)*0.475*44/12</f>
        <v>2.8366813923897958</v>
      </c>
      <c r="AW86" s="21">
        <f>EXP(-LN(2)/2)*AW85+(1-EXP(-LN(2)/2))/(LN(2)/2)*AQ86*AT86*VLOOKUP('Données projet'!$B$10,Paramètres!$A$1:$I$89,3,0)*0.475*44/12</f>
        <v>5.737969288175874E-8</v>
      </c>
      <c r="AX86" s="21">
        <f t="shared" si="60"/>
        <v>5.0114071956003245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232.35264000000026</v>
      </c>
      <c r="BF86" s="13">
        <f t="shared" si="91"/>
        <v>56.791075613550355</v>
      </c>
      <c r="BG86" s="20">
        <f t="shared" si="61"/>
        <v>503.59197136026728</v>
      </c>
      <c r="BH86" s="59">
        <f t="shared" si="62"/>
        <v>796.92530469360054</v>
      </c>
      <c r="BI86" s="59">
        <f ca="1">AVERAGE(OFFSET($BH$3,0,0,'Données projet'!$E$11+1,1))-AVERAGE(OFFSET($H$3,0,0,'Données projet'!$E$11+1,1))</f>
        <v>269.19146943657933</v>
      </c>
      <c r="BJ86" s="59">
        <f t="shared" si="92"/>
        <v>185.94138814570965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0.71451148748240234</v>
      </c>
      <c r="BR86" s="21">
        <f>EXP(-LN(2)/2)*BR85+(1-EXP(-LN(2)/2))/(LN(2)/2)*BL86*BO86*VLOOKUP('Données projet'!$B$11,Paramètres!$A$1:$I$89,3,0)*0.475*44/12</f>
        <v>6.5215376600455482E-8</v>
      </c>
      <c r="BS86" s="22">
        <f t="shared" si="63"/>
        <v>0.714511552697779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276.41952000000026</v>
      </c>
      <c r="CA86" s="13">
        <f t="shared" si="93"/>
        <v>66.209784705913222</v>
      </c>
      <c r="CB86" s="20">
        <f t="shared" si="64"/>
        <v>596.74603902946581</v>
      </c>
      <c r="CC86" s="59">
        <f t="shared" si="65"/>
        <v>890.07937236279918</v>
      </c>
      <c r="CD86" s="59">
        <f ca="1">AVERAGE(OFFSET($CC$3,0,0,'Données projet'!$E$12+1,1))-AVERAGE(OFFSET($H$3,0,0,'Données projet'!$E$12+1,1))</f>
        <v>335.12015893291874</v>
      </c>
      <c r="CE86" s="59">
        <f t="shared" si="94"/>
        <v>224.76596283033166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0.85002228683251335</v>
      </c>
      <c r="CM86" s="21">
        <f>EXP(-LN(2)/2)*CM85+(1-EXP(-LN(2)/2))/(LN(2)/2)*CG86*CJ86*VLOOKUP('Données projet'!$B$12,Paramètres!$A$1:$I$89,3,0)*0.475*44/12</f>
        <v>7.7583810093645449E-8</v>
      </c>
      <c r="CN86" s="22">
        <f t="shared" si="66"/>
        <v>0.85002236441632339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5.6</v>
      </c>
      <c r="CT86" s="12">
        <f>IF('Données projet'!$A$140&gt;35,CT85+CS86-DB85,IF(A86&lt;'Données projet'!$A$140,$CQ$205^A86,IF(A86='Données projet'!$A$140,'Données projet'!$B$140,CT85+CS86-DB85)))</f>
        <v>256.8000000000003</v>
      </c>
      <c r="CU86" s="17">
        <f>CT86*VLOOKUP('Données projet'!$B$13,Paramètres!$A$1:$I$89,3,0)*VLOOKUP('Données projet'!$B$13,Paramètres!$A$1:$I$89,5,0)</f>
        <v>248.37696000000028</v>
      </c>
      <c r="CV86" s="13">
        <f t="shared" si="95"/>
        <v>60.238259626372425</v>
      </c>
      <c r="CW86" s="20">
        <f t="shared" si="67"/>
        <v>537.50484084926575</v>
      </c>
      <c r="CX86" s="59">
        <f t="shared" si="68"/>
        <v>830.838174182599</v>
      </c>
      <c r="CY86" s="59">
        <f ca="1">AVERAGE(OFFSET($CX$3,0,0,'Données projet'!$E$13+1,1))-AVERAGE(OFFSET($H$3,0,0,'Données projet'!$E$13+1,1))</f>
        <v>293.19327646293601</v>
      </c>
      <c r="CZ86" s="59">
        <f t="shared" si="96"/>
        <v>200.0769581869605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0.76378814179153354</v>
      </c>
      <c r="DH86" s="21">
        <f>EXP(-LN(2)/2)*DH85+(1-EXP(-LN(2)/2))/(LN(2)/2)*DB86*DE86*VLOOKUP('Données projet'!$B$13,Paramètres!$A$1:$I$89,3,0)*0.475*44/12</f>
        <v>6.9712988779797225E-8</v>
      </c>
      <c r="DI86" s="22">
        <f t="shared" si="69"/>
        <v>0.76378821150452236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-2.7193891583010558E-13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246.59447135626942</v>
      </c>
      <c r="T87" s="59">
        <f t="shared" si="88"/>
        <v>262.00382544285367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2.8751032554667453</v>
      </c>
      <c r="AB87" s="21">
        <f>EXP(-LN(2)/2)*AB86+(1-EXP(-LN(2)/2))/(LN(2)/2)*V87*Y87*VLOOKUP('Données projet'!$B$9,Paramètres!$A$1:$I$89,3,0)*0.475*44/12</f>
        <v>1.7679750825329849E-7</v>
      </c>
      <c r="AC87" s="22">
        <f t="shared" si="57"/>
        <v>2.8751034322642535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195.73441209602686</v>
      </c>
      <c r="AO87" s="59">
        <f t="shared" si="90"/>
        <v>219.19129224309006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2.1320807004068216</v>
      </c>
      <c r="AV87" s="21">
        <f>EXP(-LN(2)/25)*AV86+(1-EXP(-LN(2)/25))/(LN(2)/25)*Calculateur!AQ87*Calculateur!AS87*VLOOKUP('Données projet'!$B$10,Paramètres!$A$1:$I$89,3,0)*0.475*44/12</f>
        <v>2.7591121905403058</v>
      </c>
      <c r="AW87" s="21">
        <f>EXP(-LN(2)/2)*AW86+(1-EXP(-LN(2)/2))/(LN(2)/2)*AQ87*AT87*VLOOKUP('Données projet'!$B$10,Paramètres!$A$1:$I$89,3,0)*0.475*44/12</f>
        <v>4.0573569939093075E-8</v>
      </c>
      <c r="AX87" s="21">
        <f t="shared" si="60"/>
        <v>4.8911929315206981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237.41952000000029</v>
      </c>
      <c r="BF87" s="13">
        <f t="shared" si="91"/>
        <v>57.883978814320969</v>
      </c>
      <c r="BG87" s="20">
        <f t="shared" si="61"/>
        <v>514.32026043494284</v>
      </c>
      <c r="BH87" s="59">
        <f t="shared" si="62"/>
        <v>807.6535937682761</v>
      </c>
      <c r="BI87" s="59">
        <f ca="1">AVERAGE(OFFSET($BH$3,0,0,'Données projet'!$E$11+1,1))-AVERAGE(OFFSET($H$3,0,0,'Données projet'!$E$11+1,1))</f>
        <v>269.19146943657933</v>
      </c>
      <c r="BJ87" s="59">
        <f t="shared" si="92"/>
        <v>185.94138814570965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0.69497313328266996</v>
      </c>
      <c r="BR87" s="21">
        <f>EXP(-LN(2)/2)*BR86+(1-EXP(-LN(2)/2))/(LN(2)/2)*BL87*BO87*VLOOKUP('Données projet'!$B$11,Paramètres!$A$1:$I$89,3,0)*0.475*44/12</f>
        <v>4.6114235031816567E-8</v>
      </c>
      <c r="BS87" s="22">
        <f t="shared" si="63"/>
        <v>0.69497317939690495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282.44736000000034</v>
      </c>
      <c r="CA87" s="13">
        <f t="shared" si="93"/>
        <v>67.48394415518699</v>
      </c>
      <c r="CB87" s="20">
        <f t="shared" si="64"/>
        <v>609.46368807028455</v>
      </c>
      <c r="CC87" s="59">
        <f t="shared" si="65"/>
        <v>902.79702140361792</v>
      </c>
      <c r="CD87" s="59">
        <f ca="1">AVERAGE(OFFSET($CC$3,0,0,'Données projet'!$E$12+1,1))-AVERAGE(OFFSET($H$3,0,0,'Données projet'!$E$12+1,1))</f>
        <v>335.12015893291874</v>
      </c>
      <c r="CE87" s="59">
        <f t="shared" si="94"/>
        <v>224.76596283033166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0.82677838269834891</v>
      </c>
      <c r="CM87" s="21">
        <f>EXP(-LN(2)/2)*CM86+(1-EXP(-LN(2)/2))/(LN(2)/2)*CG87*CJ87*VLOOKUP('Données projet'!$B$12,Paramètres!$A$1:$I$89,3,0)*0.475*44/12</f>
        <v>5.486003822750601E-8</v>
      </c>
      <c r="CN87" s="22">
        <f t="shared" si="66"/>
        <v>0.82677843755838709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5.6</v>
      </c>
      <c r="CT87" s="12">
        <f>IF('Données projet'!$A$140&gt;35,CT86+CS87-DB86,IF(A87&lt;'Données projet'!$A$140,$CQ$205^A87,IF(A87='Données projet'!$A$140,'Données projet'!$B$140,CT86+CS87-DB86)))</f>
        <v>262.40000000000032</v>
      </c>
      <c r="CU87" s="17">
        <f>CT87*VLOOKUP('Données projet'!$B$13,Paramètres!$A$1:$I$89,3,0)*VLOOKUP('Données projet'!$B$13,Paramètres!$A$1:$I$89,5,0)</f>
        <v>253.79328000000029</v>
      </c>
      <c r="CV87" s="13">
        <f t="shared" si="95"/>
        <v>61.397501391795316</v>
      </c>
      <c r="CW87" s="20">
        <f t="shared" si="67"/>
        <v>548.95727759071076</v>
      </c>
      <c r="CX87" s="59">
        <f t="shared" si="68"/>
        <v>842.29061092404413</v>
      </c>
      <c r="CY87" s="59">
        <f ca="1">AVERAGE(OFFSET($CX$3,0,0,'Données projet'!$E$13+1,1))-AVERAGE(OFFSET($H$3,0,0,'Données projet'!$E$13+1,1))</f>
        <v>293.19327646293601</v>
      </c>
      <c r="CZ87" s="59">
        <f t="shared" si="96"/>
        <v>200.0769581869605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0.74290231488837133</v>
      </c>
      <c r="DH87" s="21">
        <f>EXP(-LN(2)/2)*DH86+(1-EXP(-LN(2)/2))/(LN(2)/2)*DB87*DE87*VLOOKUP('Données projet'!$B$13,Paramètres!$A$1:$I$89,3,0)*0.475*44/12</f>
        <v>4.929452710297632E-8</v>
      </c>
      <c r="DI87" s="22">
        <f t="shared" si="69"/>
        <v>0.74290236418289846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-2.7193891583010558E-13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246.59447135626942</v>
      </c>
      <c r="T88" s="59">
        <f t="shared" si="88"/>
        <v>262.00382544285367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2.796483405750898</v>
      </c>
      <c r="AB88" s="21">
        <f>EXP(-LN(2)/2)*AB87+(1-EXP(-LN(2)/2))/(LN(2)/2)*V88*Y88*VLOOKUP('Données projet'!$B$9,Paramètres!$A$1:$I$89,3,0)*0.475*44/12</f>
        <v>1.2501471698279196E-7</v>
      </c>
      <c r="AC88" s="22">
        <f t="shared" si="57"/>
        <v>2.7964835307656148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195.73441209602686</v>
      </c>
      <c r="AO88" s="59">
        <f t="shared" si="90"/>
        <v>219.19129224309006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2.0902718983126634</v>
      </c>
      <c r="AV88" s="21">
        <f>EXP(-LN(2)/25)*AV87+(1-EXP(-LN(2)/25))/(LN(2)/25)*Calculateur!AQ88*Calculateur!AS88*VLOOKUP('Données projet'!$B$10,Paramètres!$A$1:$I$89,3,0)*0.475*44/12</f>
        <v>2.683664122594577</v>
      </c>
      <c r="AW88" s="21">
        <f>EXP(-LN(2)/2)*AW87+(1-EXP(-LN(2)/2))/(LN(2)/2)*AQ88*AT88*VLOOKUP('Données projet'!$B$10,Paramètres!$A$1:$I$89,3,0)*0.475*44/12</f>
        <v>2.868984644087937E-8</v>
      </c>
      <c r="AX88" s="21">
        <f t="shared" si="60"/>
        <v>4.7739360495970864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242.48640000000032</v>
      </c>
      <c r="BF88" s="13">
        <f t="shared" si="91"/>
        <v>58.974170235372526</v>
      </c>
      <c r="BG88" s="20">
        <f t="shared" si="61"/>
        <v>525.04382649327442</v>
      </c>
      <c r="BH88" s="59">
        <f t="shared" si="62"/>
        <v>818.37715982660779</v>
      </c>
      <c r="BI88" s="59">
        <f ca="1">AVERAGE(OFFSET($BH$3,0,0,'Données projet'!$E$11+1,1))-AVERAGE(OFFSET($H$3,0,0,'Données projet'!$E$11+1,1))</f>
        <v>269.19146943657933</v>
      </c>
      <c r="BJ88" s="59">
        <f t="shared" si="92"/>
        <v>185.94138814570965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0.67596905640600669</v>
      </c>
      <c r="BR88" s="21">
        <f>EXP(-LN(2)/2)*BR87+(1-EXP(-LN(2)/2))/(LN(2)/2)*BL88*BO88*VLOOKUP('Données projet'!$B$11,Paramètres!$A$1:$I$89,3,0)*0.475*44/12</f>
        <v>3.2607688300227741E-8</v>
      </c>
      <c r="BS88" s="22">
        <f t="shared" si="63"/>
        <v>0.67596908901369501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288.47520000000037</v>
      </c>
      <c r="CA88" s="13">
        <f t="shared" si="93"/>
        <v>68.754942080410899</v>
      </c>
      <c r="CB88" s="20">
        <f t="shared" si="64"/>
        <v>622.17583079004964</v>
      </c>
      <c r="CC88" s="59">
        <f t="shared" si="65"/>
        <v>915.50916412338302</v>
      </c>
      <c r="CD88" s="59">
        <f ca="1">AVERAGE(OFFSET($CC$3,0,0,'Données projet'!$E$12+1,1))-AVERAGE(OFFSET($H$3,0,0,'Données projet'!$E$12+1,1))</f>
        <v>335.12015893291874</v>
      </c>
      <c r="CE88" s="59">
        <f t="shared" si="94"/>
        <v>224.76596283033166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0.80417008434507709</v>
      </c>
      <c r="CM88" s="21">
        <f>EXP(-LN(2)/2)*CM87+(1-EXP(-LN(2)/2))/(LN(2)/2)*CG88*CJ88*VLOOKUP('Données projet'!$B$12,Paramètres!$A$1:$I$89,3,0)*0.475*44/12</f>
        <v>3.8791905046822724E-8</v>
      </c>
      <c r="CN88" s="22">
        <f t="shared" si="66"/>
        <v>0.80417012313698211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5.6</v>
      </c>
      <c r="CT88" s="12">
        <f>IF('Données projet'!$A$140&gt;35,CT87+CS88-DB87,IF(A88&lt;'Données projet'!$A$140,$CQ$205^A88,IF(A88='Données projet'!$A$140,'Données projet'!$B$140,CT87+CS88-DB87)))</f>
        <v>268.00000000000034</v>
      </c>
      <c r="CU88" s="17">
        <f>CT88*VLOOKUP('Données projet'!$B$13,Paramètres!$A$1:$I$89,3,0)*VLOOKUP('Données projet'!$B$13,Paramètres!$A$1:$I$89,5,0)</f>
        <v>259.20960000000036</v>
      </c>
      <c r="CV88" s="13">
        <f t="shared" si="95"/>
        <v>62.553866774106815</v>
      </c>
      <c r="CW88" s="20">
        <f t="shared" si="67"/>
        <v>560.4047046315701</v>
      </c>
      <c r="CX88" s="59">
        <f t="shared" si="68"/>
        <v>853.73803796490347</v>
      </c>
      <c r="CY88" s="59">
        <f ca="1">AVERAGE(OFFSET($CX$3,0,0,'Données projet'!$E$13+1,1))-AVERAGE(OFFSET($H$3,0,0,'Données projet'!$E$13+1,1))</f>
        <v>293.19327646293601</v>
      </c>
      <c r="CZ88" s="59">
        <f t="shared" si="96"/>
        <v>200.0769581869605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0.72258761202021404</v>
      </c>
      <c r="DH88" s="21">
        <f>EXP(-LN(2)/2)*DH87+(1-EXP(-LN(2)/2))/(LN(2)/2)*DB88*DE88*VLOOKUP('Données projet'!$B$13,Paramètres!$A$1:$I$89,3,0)*0.475*44/12</f>
        <v>3.4856494389898613E-8</v>
      </c>
      <c r="DI88" s="22">
        <f t="shared" si="69"/>
        <v>0.7225876468767084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-2.7193891583010558E-13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246.59447135626942</v>
      </c>
      <c r="T89" s="59">
        <f t="shared" si="88"/>
        <v>262.00382544285367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2.7200134199599688</v>
      </c>
      <c r="AB89" s="21">
        <f>EXP(-LN(2)/2)*AB88+(1-EXP(-LN(2)/2))/(LN(2)/2)*V89*Y89*VLOOKUP('Données projet'!$B$9,Paramètres!$A$1:$I$89,3,0)*0.475*44/12</f>
        <v>8.8398754126649244E-8</v>
      </c>
      <c r="AC89" s="22">
        <f t="shared" si="57"/>
        <v>2.7200135083587229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195.73441209602686</v>
      </c>
      <c r="AO89" s="59">
        <f t="shared" si="90"/>
        <v>219.19129224309006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2.04928294132672</v>
      </c>
      <c r="AV89" s="21">
        <f>EXP(-LN(2)/25)*AV88+(1-EXP(-LN(2)/25))/(LN(2)/25)*Calculateur!AQ89*Calculateur!AS89*VLOOKUP('Données projet'!$B$10,Paramètres!$A$1:$I$89,3,0)*0.475*44/12</f>
        <v>2.6102791860344658</v>
      </c>
      <c r="AW89" s="21">
        <f>EXP(-LN(2)/2)*AW88+(1-EXP(-LN(2)/2))/(LN(2)/2)*AQ89*AT89*VLOOKUP('Données projet'!$B$10,Paramètres!$A$1:$I$89,3,0)*0.475*44/12</f>
        <v>2.0286784969546538E-8</v>
      </c>
      <c r="AX89" s="21">
        <f t="shared" si="60"/>
        <v>4.6595621476479705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247.55328000000031</v>
      </c>
      <c r="BF89" s="13">
        <f t="shared" si="91"/>
        <v>60.061713068870304</v>
      </c>
      <c r="BG89" s="20">
        <f t="shared" si="61"/>
        <v>535.76277959494962</v>
      </c>
      <c r="BH89" s="59">
        <f t="shared" si="62"/>
        <v>829.09611292828299</v>
      </c>
      <c r="BI89" s="59">
        <f ca="1">AVERAGE(OFFSET($BH$3,0,0,'Données projet'!$E$11+1,1))-AVERAGE(OFFSET($H$3,0,0,'Données projet'!$E$11+1,1))</f>
        <v>269.19146943657933</v>
      </c>
      <c r="BJ89" s="59">
        <f t="shared" si="92"/>
        <v>185.94138814570965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0.65748464701091669</v>
      </c>
      <c r="BR89" s="21">
        <f>EXP(-LN(2)/2)*BR88+(1-EXP(-LN(2)/2))/(LN(2)/2)*BL89*BO89*VLOOKUP('Données projet'!$B$11,Paramètres!$A$1:$I$89,3,0)*0.475*44/12</f>
        <v>2.3057117515908283E-8</v>
      </c>
      <c r="BS89" s="22">
        <f t="shared" si="63"/>
        <v>0.65748467006803424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294.5030400000004</v>
      </c>
      <c r="CA89" s="13">
        <f t="shared" si="93"/>
        <v>70.022852154069838</v>
      </c>
      <c r="CB89" s="20">
        <f t="shared" si="64"/>
        <v>634.8825955016722</v>
      </c>
      <c r="CC89" s="59">
        <f t="shared" si="65"/>
        <v>928.21592883500557</v>
      </c>
      <c r="CD89" s="59">
        <f ca="1">AVERAGE(OFFSET($CC$3,0,0,'Données projet'!$E$12+1,1))-AVERAGE(OFFSET($H$3,0,0,'Données projet'!$E$12+1,1))</f>
        <v>335.12015893291874</v>
      </c>
      <c r="CE89" s="59">
        <f t="shared" si="94"/>
        <v>224.76596283033166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0.78218001109919422</v>
      </c>
      <c r="CM89" s="21">
        <f>EXP(-LN(2)/2)*CM88+(1-EXP(-LN(2)/2))/(LN(2)/2)*CG89*CJ89*VLOOKUP('Données projet'!$B$12,Paramètres!$A$1:$I$89,3,0)*0.475*44/12</f>
        <v>2.7430019113753005E-8</v>
      </c>
      <c r="CN89" s="22">
        <f t="shared" si="66"/>
        <v>0.78218003852921336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5.6</v>
      </c>
      <c r="CT89" s="12">
        <f>IF('Données projet'!$A$140&gt;35,CT88+CS89-DB88,IF(A89&lt;'Données projet'!$A$140,$CQ$205^A89,IF(A89='Données projet'!$A$140,'Données projet'!$B$140,CT88+CS89-DB88)))</f>
        <v>273.60000000000036</v>
      </c>
      <c r="CU89" s="17">
        <f>CT89*VLOOKUP('Données projet'!$B$13,Paramètres!$A$1:$I$89,3,0)*VLOOKUP('Données projet'!$B$13,Paramètres!$A$1:$I$89,5,0)</f>
        <v>264.62592000000035</v>
      </c>
      <c r="CV89" s="13">
        <f t="shared" si="95"/>
        <v>63.707422801198717</v>
      </c>
      <c r="CW89" s="20">
        <f t="shared" si="67"/>
        <v>571.84723871208837</v>
      </c>
      <c r="CX89" s="59">
        <f t="shared" si="68"/>
        <v>865.18057204542174</v>
      </c>
      <c r="CY89" s="59">
        <f ca="1">AVERAGE(OFFSET($CX$3,0,0,'Données projet'!$E$13+1,1))-AVERAGE(OFFSET($H$3,0,0,'Données projet'!$E$13+1,1))</f>
        <v>293.19327646293601</v>
      </c>
      <c r="CZ89" s="59">
        <f t="shared" si="96"/>
        <v>200.0769581869605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0.70282841577029032</v>
      </c>
      <c r="DH89" s="21">
        <f>EXP(-LN(2)/2)*DH88+(1-EXP(-LN(2)/2))/(LN(2)/2)*DB89*DE89*VLOOKUP('Données projet'!$B$13,Paramètres!$A$1:$I$89,3,0)*0.475*44/12</f>
        <v>2.464726355148816E-8</v>
      </c>
      <c r="DI89" s="22">
        <f t="shared" si="69"/>
        <v>0.70282844041755388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-2.7193891583010558E-13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246.59447135626942</v>
      </c>
      <c r="T90" s="59">
        <f t="shared" si="88"/>
        <v>262.00382544285367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2.6456345099518743</v>
      </c>
      <c r="AB90" s="21">
        <f>EXP(-LN(2)/2)*AB89+(1-EXP(-LN(2)/2))/(LN(2)/2)*V90*Y90*VLOOKUP('Données projet'!$B$9,Paramètres!$A$1:$I$89,3,0)*0.475*44/12</f>
        <v>6.250735849139598E-8</v>
      </c>
      <c r="AC90" s="22">
        <f t="shared" si="57"/>
        <v>2.6456345724592327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195.73441209602686</v>
      </c>
      <c r="AO90" s="59">
        <f t="shared" si="90"/>
        <v>219.19129224309006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2.009097752786476</v>
      </c>
      <c r="AV90" s="21">
        <f>EXP(-LN(2)/25)*AV89+(1-EXP(-LN(2)/25))/(LN(2)/25)*Calculateur!AQ90*Calculateur!AS90*VLOOKUP('Données projet'!$B$10,Paramètres!$A$1:$I$89,3,0)*0.475*44/12</f>
        <v>2.5389009644237368</v>
      </c>
      <c r="AW90" s="21">
        <f>EXP(-LN(2)/2)*AW89+(1-EXP(-LN(2)/2))/(LN(2)/2)*AQ90*AT90*VLOOKUP('Données projet'!$B$10,Paramètres!$A$1:$I$89,3,0)*0.475*44/12</f>
        <v>1.4344923220439685E-8</v>
      </c>
      <c r="AX90" s="21">
        <f t="shared" si="60"/>
        <v>4.5479987315551362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252.62016000000034</v>
      </c>
      <c r="BF90" s="13">
        <f t="shared" si="91"/>
        <v>61.146667772298876</v>
      </c>
      <c r="BG90" s="20">
        <f t="shared" si="61"/>
        <v>546.47722503675448</v>
      </c>
      <c r="BH90" s="59">
        <f t="shared" si="62"/>
        <v>839.81055837008785</v>
      </c>
      <c r="BI90" s="59">
        <f ca="1">AVERAGE(OFFSET($BH$3,0,0,'Données projet'!$E$11+1,1))-AVERAGE(OFFSET($H$3,0,0,'Données projet'!$E$11+1,1))</f>
        <v>269.19146943657933</v>
      </c>
      <c r="BJ90" s="59">
        <f t="shared" si="92"/>
        <v>185.94138814570965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0.63950569476278829</v>
      </c>
      <c r="BR90" s="21">
        <f>EXP(-LN(2)/2)*BR89+(1-EXP(-LN(2)/2))/(LN(2)/2)*BL90*BO90*VLOOKUP('Données projet'!$B$11,Paramètres!$A$1:$I$89,3,0)*0.475*44/12</f>
        <v>1.630384415011387E-8</v>
      </c>
      <c r="BS90" s="22">
        <f t="shared" si="63"/>
        <v>0.63950571106663245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300.53088000000042</v>
      </c>
      <c r="CA90" s="13">
        <f t="shared" si="93"/>
        <v>71.287744860425519</v>
      </c>
      <c r="CB90" s="20">
        <f t="shared" si="64"/>
        <v>647.58410496524175</v>
      </c>
      <c r="CC90" s="59">
        <f t="shared" si="65"/>
        <v>940.91743829857501</v>
      </c>
      <c r="CD90" s="59">
        <f ca="1">AVERAGE(OFFSET($CC$3,0,0,'Données projet'!$E$12+1,1))-AVERAGE(OFFSET($H$3,0,0,'Données projet'!$E$12+1,1))</f>
        <v>335.12015893291874</v>
      </c>
      <c r="CE90" s="59">
        <f t="shared" si="94"/>
        <v>224.76596283033166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0.76079125756262767</v>
      </c>
      <c r="CM90" s="21">
        <f>EXP(-LN(2)/2)*CM89+(1-EXP(-LN(2)/2))/(LN(2)/2)*CG90*CJ90*VLOOKUP('Données projet'!$B$12,Paramètres!$A$1:$I$89,3,0)*0.475*44/12</f>
        <v>1.9395952523411362E-8</v>
      </c>
      <c r="CN90" s="22">
        <f t="shared" si="66"/>
        <v>0.76079127695858018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5.6</v>
      </c>
      <c r="CT90" s="12">
        <f>IF('Données projet'!$A$140&gt;35,CT89+CS90-DB89,IF(A90&lt;'Données projet'!$A$140,$CQ$205^A90,IF(A90='Données projet'!$A$140,'Données projet'!$B$140,CT89+CS90-DB89)))</f>
        <v>279.20000000000039</v>
      </c>
      <c r="CU90" s="17">
        <f>CT90*VLOOKUP('Données projet'!$B$13,Paramètres!$A$1:$I$89,3,0)*VLOOKUP('Données projet'!$B$13,Paramètres!$A$1:$I$89,5,0)</f>
        <v>270.04224000000039</v>
      </c>
      <c r="CV90" s="13">
        <f t="shared" si="95"/>
        <v>64.858233600288202</v>
      </c>
      <c r="CW90" s="20">
        <f t="shared" si="67"/>
        <v>583.28499152050256</v>
      </c>
      <c r="CX90" s="59">
        <f t="shared" si="68"/>
        <v>876.61832485383593</v>
      </c>
      <c r="CY90" s="59">
        <f ca="1">AVERAGE(OFFSET($CX$3,0,0,'Données projet'!$E$13+1,1))-AVERAGE(OFFSET($H$3,0,0,'Données projet'!$E$13+1,1))</f>
        <v>293.19327646293601</v>
      </c>
      <c r="CZ90" s="59">
        <f t="shared" si="96"/>
        <v>200.0769581869605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0.68360953578091166</v>
      </c>
      <c r="DH90" s="21">
        <f>EXP(-LN(2)/2)*DH89+(1-EXP(-LN(2)/2))/(LN(2)/2)*DB90*DE90*VLOOKUP('Données projet'!$B$13,Paramètres!$A$1:$I$89,3,0)*0.475*44/12</f>
        <v>1.7428247194949306E-8</v>
      </c>
      <c r="DI90" s="22">
        <f t="shared" si="69"/>
        <v>0.68360955320915884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-2.7193891583010558E-13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246.59447135626942</v>
      </c>
      <c r="T91" s="59">
        <f t="shared" si="88"/>
        <v>262.00382544285367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2.5732894951493681</v>
      </c>
      <c r="AB91" s="21">
        <f>EXP(-LN(2)/2)*AB90+(1-EXP(-LN(2)/2))/(LN(2)/2)*V91*Y91*VLOOKUP('Données projet'!$B$9,Paramètres!$A$1:$I$89,3,0)*0.475*44/12</f>
        <v>4.4199377063324622E-8</v>
      </c>
      <c r="AC91" s="22">
        <f t="shared" si="57"/>
        <v>2.5732895393487452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195.73441209602686</v>
      </c>
      <c r="AO91" s="59">
        <f t="shared" si="90"/>
        <v>219.19129224309006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1.9697005712829614</v>
      </c>
      <c r="AV91" s="21">
        <f>EXP(-LN(2)/25)*AV90+(1-EXP(-LN(2)/25))/(LN(2)/25)*Calculateur!AQ91*Calculateur!AS91*VLOOKUP('Données projet'!$B$10,Paramètres!$A$1:$I$89,3,0)*0.475*44/12</f>
        <v>2.4694745840365706</v>
      </c>
      <c r="AW91" s="21">
        <f>EXP(-LN(2)/2)*AW90+(1-EXP(-LN(2)/2))/(LN(2)/2)*AQ91*AT91*VLOOKUP('Données projet'!$B$10,Paramètres!$A$1:$I$89,3,0)*0.475*44/12</f>
        <v>1.0143392484773269E-8</v>
      </c>
      <c r="AX91" s="21">
        <f t="shared" si="60"/>
        <v>4.4391751654629248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257.68704000000037</v>
      </c>
      <c r="BF91" s="13">
        <f t="shared" si="91"/>
        <v>62.229092239243457</v>
      </c>
      <c r="BG91" s="20">
        <f t="shared" si="61"/>
        <v>557.18726365001623</v>
      </c>
      <c r="BH91" s="59">
        <f t="shared" si="62"/>
        <v>850.52059698334961</v>
      </c>
      <c r="BI91" s="59">
        <f ca="1">AVERAGE(OFFSET($BH$3,0,0,'Données projet'!$E$11+1,1))-AVERAGE(OFFSET($H$3,0,0,'Données projet'!$E$11+1,1))</f>
        <v>269.19146943657933</v>
      </c>
      <c r="BJ91" s="59">
        <f t="shared" si="92"/>
        <v>185.94138814570965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0.62201837790935699</v>
      </c>
      <c r="BR91" s="21">
        <f>EXP(-LN(2)/2)*BR90+(1-EXP(-LN(2)/2))/(LN(2)/2)*BL91*BO91*VLOOKUP('Données projet'!$B$11,Paramètres!$A$1:$I$89,3,0)*0.475*44/12</f>
        <v>1.1528558757954142E-8</v>
      </c>
      <c r="BS91" s="22">
        <f t="shared" si="63"/>
        <v>0.62201838943791576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306.55872000000039</v>
      </c>
      <c r="CA91" s="13">
        <f t="shared" si="93"/>
        <v>72.549687694621696</v>
      </c>
      <c r="CB91" s="20">
        <f t="shared" si="64"/>
        <v>660.28047673480012</v>
      </c>
      <c r="CC91" s="59">
        <f t="shared" si="65"/>
        <v>953.61381006813349</v>
      </c>
      <c r="CD91" s="59">
        <f ca="1">AVERAGE(OFFSET($CC$3,0,0,'Données projet'!$E$12+1,1))-AVERAGE(OFFSET($H$3,0,0,'Données projet'!$E$12+1,1))</f>
        <v>335.12015893291874</v>
      </c>
      <c r="CE91" s="59">
        <f t="shared" si="94"/>
        <v>224.76596283033166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0.7399873806163042</v>
      </c>
      <c r="CM91" s="21">
        <f>EXP(-LN(2)/2)*CM90+(1-EXP(-LN(2)/2))/(LN(2)/2)*CG91*CJ91*VLOOKUP('Données projet'!$B$12,Paramètres!$A$1:$I$89,3,0)*0.475*44/12</f>
        <v>1.3715009556876503E-8</v>
      </c>
      <c r="CN91" s="22">
        <f t="shared" si="66"/>
        <v>0.73998739433131377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5.6</v>
      </c>
      <c r="CT91" s="12">
        <f>IF('Données projet'!$A$140&gt;35,CT90+CS91-DB90,IF(A91&lt;'Données projet'!$A$140,$CQ$205^A91,IF(A91='Données projet'!$A$140,'Données projet'!$B$140,CT90+CS91-DB90)))</f>
        <v>284.80000000000041</v>
      </c>
      <c r="CU91" s="17">
        <f>CT91*VLOOKUP('Données projet'!$B$13,Paramètres!$A$1:$I$89,3,0)*VLOOKUP('Données projet'!$B$13,Paramètres!$A$1:$I$89,5,0)</f>
        <v>275.45856000000038</v>
      </c>
      <c r="CV91" s="13">
        <f t="shared" si="95"/>
        <v>66.006360579066268</v>
      </c>
      <c r="CW91" s="20">
        <f t="shared" si="67"/>
        <v>594.71807000854108</v>
      </c>
      <c r="CX91" s="59">
        <f t="shared" si="68"/>
        <v>888.05140334187445</v>
      </c>
      <c r="CY91" s="59">
        <f ca="1">AVERAGE(OFFSET($CX$3,0,0,'Données projet'!$E$13+1,1))-AVERAGE(OFFSET($H$3,0,0,'Données projet'!$E$13+1,1))</f>
        <v>293.19327646293601</v>
      </c>
      <c r="CZ91" s="59">
        <f t="shared" si="96"/>
        <v>200.0769581869605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0.66491619707551952</v>
      </c>
      <c r="DH91" s="21">
        <f>EXP(-LN(2)/2)*DH90+(1-EXP(-LN(2)/2))/(LN(2)/2)*DB91*DE91*VLOOKUP('Données projet'!$B$13,Paramètres!$A$1:$I$89,3,0)*0.475*44/12</f>
        <v>1.232363177574408E-8</v>
      </c>
      <c r="DI91" s="22">
        <f t="shared" si="69"/>
        <v>0.6649162093991513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-2.7193891583010558E-13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246.59447135626942</v>
      </c>
      <c r="T92" s="59">
        <f t="shared" si="88"/>
        <v>262.00382544285367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2.5029227585810956</v>
      </c>
      <c r="AB92" s="21">
        <f>EXP(-LN(2)/2)*AB91+(1-EXP(-LN(2)/2))/(LN(2)/2)*V92*Y92*VLOOKUP('Données projet'!$B$9,Paramètres!$A$1:$I$89,3,0)*0.475*44/12</f>
        <v>3.125367924569799E-8</v>
      </c>
      <c r="AC92" s="22">
        <f t="shared" si="57"/>
        <v>2.5029227898347748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195.73441209602686</v>
      </c>
      <c r="AO92" s="59">
        <f t="shared" si="90"/>
        <v>219.19129224309006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1.9310759444788228</v>
      </c>
      <c r="AV92" s="21">
        <f>EXP(-LN(2)/25)*AV91+(1-EXP(-LN(2)/25))/(LN(2)/25)*Calculateur!AQ92*Calculateur!AS92*VLOOKUP('Données projet'!$B$10,Paramètres!$A$1:$I$89,3,0)*0.475*44/12</f>
        <v>2.4019466716720661</v>
      </c>
      <c r="AW92" s="21">
        <f>EXP(-LN(2)/2)*AW91+(1-EXP(-LN(2)/2))/(LN(2)/2)*AQ92*AT92*VLOOKUP('Données projet'!$B$10,Paramètres!$A$1:$I$89,3,0)*0.475*44/12</f>
        <v>7.1724616102198425E-9</v>
      </c>
      <c r="AX92" s="21">
        <f t="shared" si="60"/>
        <v>4.3330226233233509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262.75392000000039</v>
      </c>
      <c r="BF92" s="13">
        <f t="shared" si="91"/>
        <v>63.309041956360382</v>
      </c>
      <c r="BG92" s="20">
        <f t="shared" si="61"/>
        <v>567.89299207399495</v>
      </c>
      <c r="BH92" s="59">
        <f t="shared" si="62"/>
        <v>861.2263254073282</v>
      </c>
      <c r="BI92" s="59">
        <f ca="1">AVERAGE(OFFSET($BH$3,0,0,'Données projet'!$E$11+1,1))-AVERAGE(OFFSET($H$3,0,0,'Données projet'!$E$11+1,1))</f>
        <v>269.19146943657933</v>
      </c>
      <c r="BJ92" s="59">
        <f t="shared" si="92"/>
        <v>185.94138814570965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0.6050092526549008</v>
      </c>
      <c r="BR92" s="21">
        <f>EXP(-LN(2)/2)*BR91+(1-EXP(-LN(2)/2))/(LN(2)/2)*BL92*BO92*VLOOKUP('Données projet'!$B$11,Paramètres!$A$1:$I$89,3,0)*0.475*44/12</f>
        <v>8.1519220750569352E-9</v>
      </c>
      <c r="BS92" s="22">
        <f t="shared" si="63"/>
        <v>0.60500926080682282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312.58656000000047</v>
      </c>
      <c r="CA92" s="13">
        <f t="shared" si="93"/>
        <v>73.808745345688024</v>
      </c>
      <c r="CB92" s="20">
        <f t="shared" si="64"/>
        <v>672.97182347707405</v>
      </c>
      <c r="CC92" s="59">
        <f t="shared" si="65"/>
        <v>966.30515681040742</v>
      </c>
      <c r="CD92" s="59">
        <f ca="1">AVERAGE(OFFSET($CC$3,0,0,'Données projet'!$E$12+1,1))-AVERAGE(OFFSET($H$3,0,0,'Données projet'!$E$12+1,1))</f>
        <v>335.12015893291874</v>
      </c>
      <c r="CE92" s="59">
        <f t="shared" si="94"/>
        <v>224.76596283033166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0.71975238677910625</v>
      </c>
      <c r="CM92" s="21">
        <f>EXP(-LN(2)/2)*CM91+(1-EXP(-LN(2)/2))/(LN(2)/2)*CG92*CJ92*VLOOKUP('Données projet'!$B$12,Paramètres!$A$1:$I$89,3,0)*0.475*44/12</f>
        <v>9.6979762617056811E-9</v>
      </c>
      <c r="CN92" s="22">
        <f t="shared" si="66"/>
        <v>0.71975239647708256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5.6</v>
      </c>
      <c r="CT92" s="12">
        <f>IF('Données projet'!$A$140&gt;35,CT91+CS92-DB91,IF(A92&lt;'Données projet'!$A$140,$CQ$205^A92,IF(A92='Données projet'!$A$140,'Données projet'!$B$140,CT91+CS92-DB91)))</f>
        <v>290.40000000000043</v>
      </c>
      <c r="CU92" s="17">
        <f>CT92*VLOOKUP('Données projet'!$B$13,Paramètres!$A$1:$I$89,3,0)*VLOOKUP('Données projet'!$B$13,Paramètres!$A$1:$I$89,5,0)</f>
        <v>280.87488000000042</v>
      </c>
      <c r="CV92" s="13">
        <f t="shared" si="95"/>
        <v>67.151862592195968</v>
      </c>
      <c r="CW92" s="20">
        <f t="shared" si="67"/>
        <v>606.14657668140865</v>
      </c>
      <c r="CX92" s="59">
        <f t="shared" si="68"/>
        <v>899.47991001474202</v>
      </c>
      <c r="CY92" s="59">
        <f ca="1">AVERAGE(OFFSET($CX$3,0,0,'Données projet'!$E$13+1,1))-AVERAGE(OFFSET($H$3,0,0,'Données projet'!$E$13+1,1))</f>
        <v>293.19327646293601</v>
      </c>
      <c r="CZ92" s="59">
        <f t="shared" si="96"/>
        <v>200.0769581869605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0.64673402870006635</v>
      </c>
      <c r="DH92" s="21">
        <f>EXP(-LN(2)/2)*DH91+(1-EXP(-LN(2)/2))/(LN(2)/2)*DB92*DE92*VLOOKUP('Données projet'!$B$13,Paramètres!$A$1:$I$89,3,0)*0.475*44/12</f>
        <v>8.7141235974746532E-9</v>
      </c>
      <c r="DI92" s="22">
        <f t="shared" si="69"/>
        <v>0.64673403741419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-2.7193891583010558E-13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246.59447135626942</v>
      </c>
      <c r="T93" s="59">
        <f t="shared" si="88"/>
        <v>262.00382544285367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2.434480204124708</v>
      </c>
      <c r="AB93" s="21">
        <f>EXP(-LN(2)/2)*AB92+(1-EXP(-LN(2)/2))/(LN(2)/2)*V93*Y93*VLOOKUP('Données projet'!$B$9,Paramètres!$A$1:$I$89,3,0)*0.475*44/12</f>
        <v>2.2099688531662311E-8</v>
      </c>
      <c r="AC93" s="22">
        <f t="shared" si="57"/>
        <v>2.4344802262243967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195.73441209602686</v>
      </c>
      <c r="AO93" s="59">
        <f t="shared" si="90"/>
        <v>219.19129224309006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1.8932087230476171</v>
      </c>
      <c r="AV93" s="21">
        <f>EXP(-LN(2)/25)*AV92+(1-EXP(-LN(2)/25))/(LN(2)/25)*Calculateur!AQ93*Calculateur!AS93*VLOOKUP('Données projet'!$B$10,Paramètres!$A$1:$I$89,3,0)*0.475*44/12</f>
        <v>2.3362653136223077</v>
      </c>
      <c r="AW93" s="21">
        <f>EXP(-LN(2)/2)*AW92+(1-EXP(-LN(2)/2))/(LN(2)/2)*AQ93*AT93*VLOOKUP('Données projet'!$B$10,Paramètres!$A$1:$I$89,3,0)*0.475*44/12</f>
        <v>5.0716962423866344E-9</v>
      </c>
      <c r="AX93" s="21">
        <f t="shared" si="60"/>
        <v>4.2294740417416206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267.82080000000042</v>
      </c>
      <c r="BF93" s="13">
        <f t="shared" si="91"/>
        <v>64.38657014789743</v>
      </c>
      <c r="BG93" s="20">
        <f t="shared" si="61"/>
        <v>578.59450300758874</v>
      </c>
      <c r="BH93" s="59">
        <f t="shared" si="62"/>
        <v>871.92783634092211</v>
      </c>
      <c r="BI93" s="59">
        <f ca="1">AVERAGE(OFFSET($BH$3,0,0,'Données projet'!$E$11+1,1))-AVERAGE(OFFSET($H$3,0,0,'Données projet'!$E$11+1,1))</f>
        <v>269.19146943657933</v>
      </c>
      <c r="BJ93" s="59">
        <f t="shared" si="92"/>
        <v>185.94138814570965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0.58846524282499868</v>
      </c>
      <c r="BR93" s="21">
        <f>EXP(-LN(2)/2)*BR92+(1-EXP(-LN(2)/2))/(LN(2)/2)*BL93*BO93*VLOOKUP('Données projet'!$B$11,Paramètres!$A$1:$I$89,3,0)*0.475*44/12</f>
        <v>5.7642793789770708E-9</v>
      </c>
      <c r="BS93" s="22">
        <f t="shared" si="63"/>
        <v>0.58846524858927807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318.61440000000044</v>
      </c>
      <c r="CA93" s="13">
        <f t="shared" si="93"/>
        <v>75.064979865028491</v>
      </c>
      <c r="CB93" s="20">
        <f t="shared" si="64"/>
        <v>685.65825326492529</v>
      </c>
      <c r="CC93" s="59">
        <f t="shared" si="65"/>
        <v>978.99158659825866</v>
      </c>
      <c r="CD93" s="59">
        <f ca="1">AVERAGE(OFFSET($CC$3,0,0,'Données projet'!$E$12+1,1))-AVERAGE(OFFSET($H$3,0,0,'Données projet'!$E$12+1,1))</f>
        <v>335.12015893291874</v>
      </c>
      <c r="CE93" s="59">
        <f t="shared" si="94"/>
        <v>224.76596283033166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0.70007071991249858</v>
      </c>
      <c r="CM93" s="21">
        <f>EXP(-LN(2)/2)*CM92+(1-EXP(-LN(2)/2))/(LN(2)/2)*CG93*CJ93*VLOOKUP('Données projet'!$B$12,Paramètres!$A$1:$I$89,3,0)*0.475*44/12</f>
        <v>6.8575047784382513E-9</v>
      </c>
      <c r="CN93" s="22">
        <f t="shared" si="66"/>
        <v>0.70007072677000337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296</v>
      </c>
      <c r="CR93" s="12">
        <f>VLOOKUP(A93,'Données projet'!$A$139:$I$159,9,0)</f>
        <v>5.6</v>
      </c>
      <c r="CS93" s="12">
        <f t="array" ref="CS93">INDEX(CR:CR,MIN(IF(ISNUMBER(CR93:CR289),ROW(CR93:CR289),"")))</f>
        <v>5.6</v>
      </c>
      <c r="CT93" s="12">
        <f>IF('Données projet'!$A$140&gt;35,CT92+CS93-DB92,IF(A93&lt;'Données projet'!$A$140,$CQ$205^A93,IF(A93='Données projet'!$A$140,'Données projet'!$B$140,CT92+CS93-DB92)))</f>
        <v>296.00000000000045</v>
      </c>
      <c r="CU93" s="17">
        <f>CT93*VLOOKUP('Données projet'!$B$13,Paramètres!$A$1:$I$89,3,0)*VLOOKUP('Données projet'!$B$13,Paramètres!$A$1:$I$89,5,0)</f>
        <v>286.29120000000046</v>
      </c>
      <c r="CV93" s="13">
        <f t="shared" si="95"/>
        <v>68.294796094604521</v>
      </c>
      <c r="CW93" s="20">
        <f t="shared" si="67"/>
        <v>617.57060986477029</v>
      </c>
      <c r="CX93" s="59">
        <f t="shared" si="68"/>
        <v>910.90394319810366</v>
      </c>
      <c r="CY93" s="59">
        <f ca="1">AVERAGE(OFFSET($CX$3,0,0,'Données projet'!$E$13+1,1))-AVERAGE(OFFSET($H$3,0,0,'Données projet'!$E$13+1,1))</f>
        <v>293.19327646293601</v>
      </c>
      <c r="CZ93" s="59">
        <f t="shared" si="96"/>
        <v>200.0769581869605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42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0.62904905267499855</v>
      </c>
      <c r="DH93" s="21">
        <f>EXP(-LN(2)/2)*DH92+(1-EXP(-LN(2)/2))/(LN(2)/2)*DB93*DE93*VLOOKUP('Données projet'!$B$13,Paramètres!$A$1:$I$89,3,0)*0.475*44/12</f>
        <v>6.1618158878720401E-9</v>
      </c>
      <c r="DI93" s="22">
        <f t="shared" si="69"/>
        <v>0.62904905883681439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-2.7193891583010558E-13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246.59447135626942</v>
      </c>
      <c r="T94" s="59">
        <f t="shared" si="88"/>
        <v>262.00382544285367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2.3679092149191678</v>
      </c>
      <c r="AB94" s="21">
        <f>EXP(-LN(2)/2)*AB93+(1-EXP(-LN(2)/2))/(LN(2)/2)*V94*Y94*VLOOKUP('Données projet'!$B$9,Paramètres!$A$1:$I$89,3,0)*0.475*44/12</f>
        <v>1.5626839622848995E-8</v>
      </c>
      <c r="AC94" s="22">
        <f t="shared" si="57"/>
        <v>2.3679092305460077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195.73441209602686</v>
      </c>
      <c r="AO94" s="59">
        <f t="shared" si="90"/>
        <v>219.19129224309006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1.856084054731953</v>
      </c>
      <c r="AV94" s="21">
        <f>EXP(-LN(2)/25)*AV93+(1-EXP(-LN(2)/25))/(LN(2)/25)*Calculateur!AQ94*Calculateur!AS94*VLOOKUP('Données projet'!$B$10,Paramètres!$A$1:$I$89,3,0)*0.475*44/12</f>
        <v>2.2723800157624523</v>
      </c>
      <c r="AW94" s="21">
        <f>EXP(-LN(2)/2)*AW93+(1-EXP(-LN(2)/2))/(LN(2)/2)*AQ94*AT94*VLOOKUP('Données projet'!$B$10,Paramètres!$A$1:$I$89,3,0)*0.475*44/12</f>
        <v>3.5862308051099212E-9</v>
      </c>
      <c r="AX94" s="21">
        <f t="shared" si="60"/>
        <v>4.128464074080636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234.25272000000038</v>
      </c>
      <c r="BF94" s="13">
        <f t="shared" si="91"/>
        <v>57.2012362311714</v>
      </c>
      <c r="BG94" s="20">
        <f t="shared" si="61"/>
        <v>507.61564043595746</v>
      </c>
      <c r="BH94" s="59">
        <f t="shared" si="62"/>
        <v>800.94897376929077</v>
      </c>
      <c r="BI94" s="59">
        <f ca="1">AVERAGE(OFFSET($BH$3,0,0,'Données projet'!$E$11+1,1))-AVERAGE(OFFSET($H$3,0,0,'Données projet'!$E$11+1,1))</f>
        <v>269.19146943657933</v>
      </c>
      <c r="BJ94" s="59">
        <f t="shared" si="92"/>
        <v>185.94138814570965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0.57237362981390694</v>
      </c>
      <c r="BR94" s="21">
        <f>EXP(-LN(2)/2)*BR93+(1-EXP(-LN(2)/2))/(LN(2)/2)*BL94*BO94*VLOOKUP('Données projet'!$B$11,Paramètres!$A$1:$I$89,3,0)*0.475*44/12</f>
        <v>4.0759610375284676E-9</v>
      </c>
      <c r="BS94" s="22">
        <f t="shared" si="63"/>
        <v>0.57237363388986795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278.67996000000045</v>
      </c>
      <c r="CA94" s="13">
        <f t="shared" si="93"/>
        <v>66.687969806197856</v>
      </c>
      <c r="CB94" s="20">
        <f t="shared" si="64"/>
        <v>601.51581107912864</v>
      </c>
      <c r="CC94" s="59">
        <f t="shared" si="65"/>
        <v>894.84914441246201</v>
      </c>
      <c r="CD94" s="59">
        <f ca="1">AVERAGE(OFFSET($CC$3,0,0,'Données projet'!$E$12+1,1))-AVERAGE(OFFSET($H$3,0,0,'Données projet'!$E$12+1,1))</f>
        <v>335.12015893291874</v>
      </c>
      <c r="CE94" s="59">
        <f t="shared" si="94"/>
        <v>224.76596283033166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0.68092724926137216</v>
      </c>
      <c r="CM94" s="21">
        <f>EXP(-LN(2)/2)*CM93+(1-EXP(-LN(2)/2))/(LN(2)/2)*CG94*CJ94*VLOOKUP('Données projet'!$B$12,Paramètres!$A$1:$I$89,3,0)*0.475*44/12</f>
        <v>4.8489881308528405E-9</v>
      </c>
      <c r="CN94" s="22">
        <f t="shared" si="66"/>
        <v>0.68092725411036026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4.9000000000000004</v>
      </c>
      <c r="CT94" s="12">
        <f>IF('Données projet'!$A$140&gt;35,CT93+CS94-DB93,IF(A94&lt;'Données projet'!$A$140,$CQ$205^A94,IF(A94='Données projet'!$A$140,'Données projet'!$B$140,CT93+CS94-DB93)))</f>
        <v>258.90000000000043</v>
      </c>
      <c r="CU94" s="17">
        <f>CT94*VLOOKUP('Données projet'!$B$13,Paramètres!$A$1:$I$89,3,0)*VLOOKUP('Données projet'!$B$13,Paramètres!$A$1:$I$89,5,0)</f>
        <v>250.40808000000041</v>
      </c>
      <c r="CV94" s="13">
        <f t="shared" si="95"/>
        <v>60.673316745925817</v>
      </c>
      <c r="CW94" s="20">
        <f t="shared" si="67"/>
        <v>541.80009933248812</v>
      </c>
      <c r="CX94" s="59">
        <f t="shared" si="68"/>
        <v>835.13343266582137</v>
      </c>
      <c r="CY94" s="59">
        <f ca="1">AVERAGE(OFFSET($CX$3,0,0,'Données projet'!$E$13+1,1))-AVERAGE(OFFSET($H$3,0,0,'Données projet'!$E$13+1,1))</f>
        <v>293.19327646293601</v>
      </c>
      <c r="CZ94" s="59">
        <f t="shared" si="96"/>
        <v>200.0769581869605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0.61184767324934874</v>
      </c>
      <c r="DH94" s="21">
        <f>EXP(-LN(2)/2)*DH93+(1-EXP(-LN(2)/2))/(LN(2)/2)*DB94*DE94*VLOOKUP('Données projet'!$B$13,Paramètres!$A$1:$I$89,3,0)*0.475*44/12</f>
        <v>4.3570617987373266E-9</v>
      </c>
      <c r="DI94" s="22">
        <f t="shared" si="69"/>
        <v>0.61184767760641057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-2.7193891583010558E-13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246.59447135626942</v>
      </c>
      <c r="T95" s="59">
        <f t="shared" si="88"/>
        <v>262.00382544285367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2.3031586129142694</v>
      </c>
      <c r="AB95" s="21">
        <f>EXP(-LN(2)/2)*AB94+(1-EXP(-LN(2)/2))/(LN(2)/2)*V95*Y95*VLOOKUP('Données projet'!$B$9,Paramètres!$A$1:$I$89,3,0)*0.475*44/12</f>
        <v>1.1049844265831155E-8</v>
      </c>
      <c r="AC95" s="22">
        <f t="shared" si="57"/>
        <v>2.3031586239641135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195.73441209602686</v>
      </c>
      <c r="AO95" s="59">
        <f t="shared" si="90"/>
        <v>219.19129224309006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1.8196873785181473</v>
      </c>
      <c r="AV95" s="21">
        <f>EXP(-LN(2)/25)*AV94+(1-EXP(-LN(2)/25))/(LN(2)/25)*Calculateur!AQ95*Calculateur!AS95*VLOOKUP('Données projet'!$B$10,Paramètres!$A$1:$I$89,3,0)*0.475*44/12</f>
        <v>2.2102416647321568</v>
      </c>
      <c r="AW95" s="21">
        <f>EXP(-LN(2)/2)*AW94+(1-EXP(-LN(2)/2))/(LN(2)/2)*AQ95*AT95*VLOOKUP('Données projet'!$B$10,Paramètres!$A$1:$I$89,3,0)*0.475*44/12</f>
        <v>2.5358481211933172E-9</v>
      </c>
      <c r="AX95" s="21">
        <f t="shared" si="60"/>
        <v>4.0299290457861519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238.68624000000034</v>
      </c>
      <c r="BF95" s="13">
        <f t="shared" si="91"/>
        <v>58.156778382060978</v>
      </c>
      <c r="BG95" s="20">
        <f t="shared" si="61"/>
        <v>517.00159034875685</v>
      </c>
      <c r="BH95" s="59">
        <f t="shared" si="62"/>
        <v>810.33492368209022</v>
      </c>
      <c r="BI95" s="59">
        <f ca="1">AVERAGE(OFFSET($BH$3,0,0,'Données projet'!$E$11+1,1))-AVERAGE(OFFSET($H$3,0,0,'Données projet'!$E$11+1,1))</f>
        <v>269.19146943657933</v>
      </c>
      <c r="BJ95" s="59">
        <f t="shared" si="92"/>
        <v>185.94138814570965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0.55672204280682469</v>
      </c>
      <c r="BR95" s="21">
        <f>EXP(-LN(2)/2)*BR94+(1-EXP(-LN(2)/2))/(LN(2)/2)*BL95*BO95*VLOOKUP('Données projet'!$B$11,Paramètres!$A$1:$I$89,3,0)*0.475*44/12</f>
        <v>2.8821396894885354E-9</v>
      </c>
      <c r="BS95" s="22">
        <f t="shared" si="63"/>
        <v>0.55672204568896433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283.95432000000045</v>
      </c>
      <c r="CA95" s="13">
        <f t="shared" si="93"/>
        <v>67.80198709508204</v>
      </c>
      <c r="CB95" s="20">
        <f t="shared" si="64"/>
        <v>612.6422348572687</v>
      </c>
      <c r="CC95" s="59">
        <f t="shared" si="65"/>
        <v>905.97556819060196</v>
      </c>
      <c r="CD95" s="59">
        <f ca="1">AVERAGE(OFFSET($CC$3,0,0,'Données projet'!$E$12+1,1))-AVERAGE(OFFSET($H$3,0,0,'Données projet'!$E$12+1,1))</f>
        <v>335.12015893291874</v>
      </c>
      <c r="CE95" s="59">
        <f t="shared" si="94"/>
        <v>224.76596283033166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0.66230725782191213</v>
      </c>
      <c r="CM95" s="21">
        <f>EXP(-LN(2)/2)*CM94+(1-EXP(-LN(2)/2))/(LN(2)/2)*CG95*CJ95*VLOOKUP('Données projet'!$B$12,Paramètres!$A$1:$I$89,3,0)*0.475*44/12</f>
        <v>3.4287523892191257E-9</v>
      </c>
      <c r="CN95" s="22">
        <f t="shared" si="66"/>
        <v>0.66230726125066453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4.9000000000000004</v>
      </c>
      <c r="CT95" s="12">
        <f>IF('Données projet'!$A$140&gt;35,CT94+CS95-DB94,IF(A95&lt;'Données projet'!$A$140,$CQ$205^A95,IF(A95='Données projet'!$A$140,'Données projet'!$B$140,CT94+CS95-DB94)))</f>
        <v>263.80000000000041</v>
      </c>
      <c r="CU95" s="17">
        <f>CT95*VLOOKUP('Données projet'!$B$13,Paramètres!$A$1:$I$89,3,0)*VLOOKUP('Données projet'!$B$13,Paramètres!$A$1:$I$89,5,0)</f>
        <v>255.14736000000039</v>
      </c>
      <c r="CV95" s="13">
        <f t="shared" si="95"/>
        <v>61.686859728645757</v>
      </c>
      <c r="CW95" s="20">
        <f t="shared" si="67"/>
        <v>551.81959936072542</v>
      </c>
      <c r="CX95" s="59">
        <f t="shared" si="68"/>
        <v>845.15293269405879</v>
      </c>
      <c r="CY95" s="59">
        <f ca="1">AVERAGE(OFFSET($CX$3,0,0,'Données projet'!$E$13+1,1))-AVERAGE(OFFSET($H$3,0,0,'Données projet'!$E$13+1,1))</f>
        <v>293.19327646293601</v>
      </c>
      <c r="CZ95" s="59">
        <f t="shared" si="96"/>
        <v>200.0769581869605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0.59511666644867456</v>
      </c>
      <c r="DH95" s="21">
        <f>EXP(-LN(2)/2)*DH94+(1-EXP(-LN(2)/2))/(LN(2)/2)*DB95*DE95*VLOOKUP('Données projet'!$B$13,Paramètres!$A$1:$I$89,3,0)*0.475*44/12</f>
        <v>3.08090794393602E-9</v>
      </c>
      <c r="DI95" s="22">
        <f t="shared" si="69"/>
        <v>0.59511666952958253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-2.7193891583010558E-13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246.59447135626942</v>
      </c>
      <c r="T96" s="59">
        <f t="shared" si="88"/>
        <v>262.00382544285367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2.2401786195262812</v>
      </c>
      <c r="AB96" s="21">
        <f>EXP(-LN(2)/2)*AB95+(1-EXP(-LN(2)/2))/(LN(2)/2)*V96*Y96*VLOOKUP('Données projet'!$B$9,Paramètres!$A$1:$I$89,3,0)*0.475*44/12</f>
        <v>7.8134198114244975E-9</v>
      </c>
      <c r="AC96" s="22">
        <f t="shared" si="57"/>
        <v>2.2401786273397009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195.73441209602686</v>
      </c>
      <c r="AO96" s="59">
        <f t="shared" si="90"/>
        <v>219.19129224309006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1.7840044189251139</v>
      </c>
      <c r="AV96" s="21">
        <f>EXP(-LN(2)/25)*AV95+(1-EXP(-LN(2)/25))/(LN(2)/25)*Calculateur!AQ96*Calculateur!AS96*VLOOKUP('Données projet'!$B$10,Paramètres!$A$1:$I$89,3,0)*0.475*44/12</f>
        <v>2.1498024901784984</v>
      </c>
      <c r="AW96" s="21">
        <f>EXP(-LN(2)/2)*AW95+(1-EXP(-LN(2)/2))/(LN(2)/2)*AQ96*AT96*VLOOKUP('Données projet'!$B$10,Paramètres!$A$1:$I$89,3,0)*0.475*44/12</f>
        <v>1.7931154025549606E-9</v>
      </c>
      <c r="AX96" s="21">
        <f t="shared" si="60"/>
        <v>3.933806910896728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243.11976000000033</v>
      </c>
      <c r="BF96" s="13">
        <f t="shared" si="91"/>
        <v>59.110256668778582</v>
      </c>
      <c r="BG96" s="20">
        <f t="shared" si="61"/>
        <v>526.38394569812317</v>
      </c>
      <c r="BH96" s="59">
        <f t="shared" si="62"/>
        <v>819.71727903145643</v>
      </c>
      <c r="BI96" s="59">
        <f ca="1">AVERAGE(OFFSET($BH$3,0,0,'Données projet'!$E$11+1,1))-AVERAGE(OFFSET($H$3,0,0,'Données projet'!$E$11+1,1))</f>
        <v>269.19146943657933</v>
      </c>
      <c r="BJ96" s="59">
        <f t="shared" si="92"/>
        <v>185.94138814570965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0.54149844926953228</v>
      </c>
      <c r="BR96" s="21">
        <f>EXP(-LN(2)/2)*BR95+(1-EXP(-LN(2)/2))/(LN(2)/2)*BL96*BO96*VLOOKUP('Données projet'!$B$11,Paramètres!$A$1:$I$89,3,0)*0.475*44/12</f>
        <v>2.0379805187642338E-9</v>
      </c>
      <c r="BS96" s="22">
        <f t="shared" si="63"/>
        <v>0.54149845130751284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289.2286800000004</v>
      </c>
      <c r="CA96" s="13">
        <f t="shared" si="93"/>
        <v>68.913598231221059</v>
      </c>
      <c r="CB96" s="20">
        <f t="shared" si="64"/>
        <v>623.76446791937724</v>
      </c>
      <c r="CC96" s="59">
        <f t="shared" si="65"/>
        <v>917.0978012527105</v>
      </c>
      <c r="CD96" s="59">
        <f ca="1">AVERAGE(OFFSET($CC$3,0,0,'Données projet'!$E$12+1,1))-AVERAGE(OFFSET($H$3,0,0,'Données projet'!$E$12+1,1))</f>
        <v>335.12015893291874</v>
      </c>
      <c r="CE96" s="59">
        <f t="shared" si="94"/>
        <v>224.76596283033166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0.64419643102754698</v>
      </c>
      <c r="CM96" s="21">
        <f>EXP(-LN(2)/2)*CM95+(1-EXP(-LN(2)/2))/(LN(2)/2)*CG96*CJ96*VLOOKUP('Données projet'!$B$12,Paramètres!$A$1:$I$89,3,0)*0.475*44/12</f>
        <v>2.4244940654264203E-9</v>
      </c>
      <c r="CN96" s="22">
        <f t="shared" si="66"/>
        <v>0.64419643345204103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4.9000000000000004</v>
      </c>
      <c r="CT96" s="12">
        <f>IF('Données projet'!$A$140&gt;35,CT95+CS96-DB95,IF(A96&lt;'Données projet'!$A$140,$CQ$205^A96,IF(A96='Données projet'!$A$140,'Données projet'!$B$140,CT95+CS96-DB95)))</f>
        <v>268.70000000000039</v>
      </c>
      <c r="CU96" s="17">
        <f>CT96*VLOOKUP('Données projet'!$B$13,Paramètres!$A$1:$I$89,3,0)*VLOOKUP('Données projet'!$B$13,Paramètres!$A$1:$I$89,5,0)</f>
        <v>259.8866400000004</v>
      </c>
      <c r="CV96" s="13">
        <f t="shared" si="95"/>
        <v>62.698213571884054</v>
      </c>
      <c r="CW96" s="20">
        <f t="shared" si="67"/>
        <v>561.83528663769869</v>
      </c>
      <c r="CX96" s="59">
        <f t="shared" si="68"/>
        <v>855.16861997103206</v>
      </c>
      <c r="CY96" s="59">
        <f ca="1">AVERAGE(OFFSET($CX$3,0,0,'Données projet'!$E$13+1,1))-AVERAGE(OFFSET($H$3,0,0,'Données projet'!$E$13+1,1))</f>
        <v>293.19327646293601</v>
      </c>
      <c r="CZ96" s="59">
        <f t="shared" si="96"/>
        <v>200.0769581869605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0.57884316990881024</v>
      </c>
      <c r="DH96" s="21">
        <f>EXP(-LN(2)/2)*DH95+(1-EXP(-LN(2)/2))/(LN(2)/2)*DB96*DE96*VLOOKUP('Données projet'!$B$13,Paramètres!$A$1:$I$89,3,0)*0.475*44/12</f>
        <v>2.1785308993686633E-9</v>
      </c>
      <c r="DI96" s="22">
        <f t="shared" si="69"/>
        <v>0.57884317208734115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-2.7193891583010558E-13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246.59447135626942</v>
      </c>
      <c r="T97" s="59">
        <f t="shared" si="88"/>
        <v>262.00382544285367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2.1789208173694612</v>
      </c>
      <c r="AB97" s="21">
        <f>EXP(-LN(2)/2)*AB96+(1-EXP(-LN(2)/2))/(LN(2)/2)*V97*Y97*VLOOKUP('Données projet'!$B$9,Paramètres!$A$1:$I$89,3,0)*0.475*44/12</f>
        <v>5.5249221329155777E-9</v>
      </c>
      <c r="AC97" s="22">
        <f t="shared" si="57"/>
        <v>2.1789208228943835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195.73441209602686</v>
      </c>
      <c r="AO97" s="59">
        <f t="shared" si="90"/>
        <v>219.19129224309006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1.7490211804052436</v>
      </c>
      <c r="AV97" s="21">
        <f>EXP(-LN(2)/25)*AV96+(1-EXP(-LN(2)/25))/(LN(2)/25)*Calculateur!AQ97*Calculateur!AS97*VLOOKUP('Données projet'!$B$10,Paramètres!$A$1:$I$89,3,0)*0.475*44/12</f>
        <v>2.0910160280313681</v>
      </c>
      <c r="AW97" s="21">
        <f>EXP(-LN(2)/2)*AW96+(1-EXP(-LN(2)/2))/(LN(2)/2)*AQ97*AT97*VLOOKUP('Données projet'!$B$10,Paramètres!$A$1:$I$89,3,0)*0.475*44/12</f>
        <v>1.2679240605966586E-9</v>
      </c>
      <c r="AX97" s="21">
        <f t="shared" si="60"/>
        <v>3.8400372097045357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247.55328000000031</v>
      </c>
      <c r="BF97" s="13">
        <f t="shared" si="91"/>
        <v>60.061713068870304</v>
      </c>
      <c r="BG97" s="20">
        <f t="shared" si="61"/>
        <v>535.76277959494962</v>
      </c>
      <c r="BH97" s="59">
        <f t="shared" si="62"/>
        <v>829.09611292828299</v>
      </c>
      <c r="BI97" s="59">
        <f ca="1">AVERAGE(OFFSET($BH$3,0,0,'Données projet'!$E$11+1,1))-AVERAGE(OFFSET($H$3,0,0,'Données projet'!$E$11+1,1))</f>
        <v>269.19146943657933</v>
      </c>
      <c r="BJ97" s="59">
        <f t="shared" si="92"/>
        <v>185.94138814570965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0.52669114569809106</v>
      </c>
      <c r="BR97" s="21">
        <f>EXP(-LN(2)/2)*BR96+(1-EXP(-LN(2)/2))/(LN(2)/2)*BL97*BO97*VLOOKUP('Données projet'!$B$11,Paramètres!$A$1:$I$89,3,0)*0.475*44/12</f>
        <v>1.4410698447442677E-9</v>
      </c>
      <c r="BS97" s="22">
        <f t="shared" si="63"/>
        <v>0.52669114713916088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294.5030400000004</v>
      </c>
      <c r="CA97" s="13">
        <f t="shared" si="93"/>
        <v>70.022852154069838</v>
      </c>
      <c r="CB97" s="20">
        <f t="shared" si="64"/>
        <v>634.8825955016722</v>
      </c>
      <c r="CC97" s="59">
        <f t="shared" si="65"/>
        <v>928.21592883500557</v>
      </c>
      <c r="CD97" s="59">
        <f ca="1">AVERAGE(OFFSET($CC$3,0,0,'Données projet'!$E$12+1,1))-AVERAGE(OFFSET($H$3,0,0,'Données projet'!$E$12+1,1))</f>
        <v>335.12015893291874</v>
      </c>
      <c r="CE97" s="59">
        <f t="shared" si="94"/>
        <v>224.76596283033166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0.62658084574428075</v>
      </c>
      <c r="CM97" s="21">
        <f>EXP(-LN(2)/2)*CM96+(1-EXP(-LN(2)/2))/(LN(2)/2)*CG97*CJ97*VLOOKUP('Données projet'!$B$12,Paramètres!$A$1:$I$89,3,0)*0.475*44/12</f>
        <v>1.7143761946095628E-9</v>
      </c>
      <c r="CN97" s="22">
        <f t="shared" si="66"/>
        <v>0.62658084745865694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4.9000000000000004</v>
      </c>
      <c r="CT97" s="12">
        <f>IF('Données projet'!$A$140&gt;35,CT96+CS97-DB96,IF(A97&lt;'Données projet'!$A$140,$CQ$205^A97,IF(A97='Données projet'!$A$140,'Données projet'!$B$140,CT96+CS97-DB96)))</f>
        <v>273.60000000000036</v>
      </c>
      <c r="CU97" s="17">
        <f>CT97*VLOOKUP('Données projet'!$B$13,Paramètres!$A$1:$I$89,3,0)*VLOOKUP('Données projet'!$B$13,Paramètres!$A$1:$I$89,5,0)</f>
        <v>264.62592000000035</v>
      </c>
      <c r="CV97" s="13">
        <f t="shared" si="95"/>
        <v>63.707422801198717</v>
      </c>
      <c r="CW97" s="20">
        <f t="shared" si="67"/>
        <v>571.84723871208837</v>
      </c>
      <c r="CX97" s="59">
        <f t="shared" si="68"/>
        <v>865.18057204542174</v>
      </c>
      <c r="CY97" s="59">
        <f ca="1">AVERAGE(OFFSET($CX$3,0,0,'Données projet'!$E$13+1,1))-AVERAGE(OFFSET($H$3,0,0,'Données projet'!$E$13+1,1))</f>
        <v>293.19327646293601</v>
      </c>
      <c r="CZ97" s="59">
        <f t="shared" si="96"/>
        <v>200.0769581869605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0.56301467298761443</v>
      </c>
      <c r="DH97" s="21">
        <f>EXP(-LN(2)/2)*DH96+(1-EXP(-LN(2)/2))/(LN(2)/2)*DB97*DE97*VLOOKUP('Données projet'!$B$13,Paramètres!$A$1:$I$89,3,0)*0.475*44/12</f>
        <v>1.54045397196801E-9</v>
      </c>
      <c r="DI97" s="22">
        <f t="shared" si="69"/>
        <v>0.56301467452806842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-2.7193891583010558E-13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246.59447135626942</v>
      </c>
      <c r="T98" s="59">
        <f t="shared" si="88"/>
        <v>262.00382544285367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2.1193381130340274</v>
      </c>
      <c r="AB98" s="21">
        <f>EXP(-LN(2)/2)*AB97+(1-EXP(-LN(2)/2))/(LN(2)/2)*V98*Y98*VLOOKUP('Données projet'!$B$9,Paramètres!$A$1:$I$89,3,0)*0.475*44/12</f>
        <v>3.9067099057122488E-9</v>
      </c>
      <c r="AC98" s="22">
        <f t="shared" si="57"/>
        <v>2.1193381169407375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195.73441209602686</v>
      </c>
      <c r="AO98" s="59">
        <f t="shared" si="90"/>
        <v>219.19129224309006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1.7147239418550793</v>
      </c>
      <c r="AV98" s="21">
        <f>EXP(-LN(2)/25)*AV97+(1-EXP(-LN(2)/25))/(LN(2)/25)*Calculateur!AQ98*Calculateur!AS98*VLOOKUP('Données projet'!$B$10,Paramètres!$A$1:$I$89,3,0)*0.475*44/12</f>
        <v>2.0338370847830967</v>
      </c>
      <c r="AW98" s="21">
        <f>EXP(-LN(2)/2)*AW97+(1-EXP(-LN(2)/2))/(LN(2)/2)*AQ98*AT98*VLOOKUP('Données projet'!$B$10,Paramètres!$A$1:$I$89,3,0)*0.475*44/12</f>
        <v>8.9655770127748031E-10</v>
      </c>
      <c r="AX98" s="21">
        <f t="shared" si="60"/>
        <v>3.7485610275347332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251.98680000000033</v>
      </c>
      <c r="BF98" s="13">
        <f t="shared" si="91"/>
        <v>61.011187970195103</v>
      </c>
      <c r="BG98" s="20">
        <f t="shared" si="61"/>
        <v>545.13816238142374</v>
      </c>
      <c r="BH98" s="59">
        <f t="shared" si="62"/>
        <v>838.47149571475711</v>
      </c>
      <c r="BI98" s="59">
        <f ca="1">AVERAGE(OFFSET($BH$3,0,0,'Données projet'!$E$11+1,1))-AVERAGE(OFFSET($H$3,0,0,'Données projet'!$E$11+1,1))</f>
        <v>269.19146943657933</v>
      </c>
      <c r="BJ98" s="59">
        <f t="shared" si="92"/>
        <v>185.94138814570965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0.51228874862149321</v>
      </c>
      <c r="BR98" s="21">
        <f>EXP(-LN(2)/2)*BR97+(1-EXP(-LN(2)/2))/(LN(2)/2)*BL98*BO98*VLOOKUP('Données projet'!$B$11,Paramètres!$A$1:$I$89,3,0)*0.475*44/12</f>
        <v>1.0189902593821169E-9</v>
      </c>
      <c r="BS98" s="22">
        <f t="shared" si="63"/>
        <v>0.51228874964048343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299.77740000000034</v>
      </c>
      <c r="CA98" s="13">
        <f t="shared" si="93"/>
        <v>71.129795949749308</v>
      </c>
      <c r="CB98" s="20">
        <f t="shared" si="64"/>
        <v>645.9966996124806</v>
      </c>
      <c r="CC98" s="59">
        <f t="shared" si="65"/>
        <v>939.33003294581385</v>
      </c>
      <c r="CD98" s="59">
        <f ca="1">AVERAGE(OFFSET($CC$3,0,0,'Données projet'!$E$12+1,1))-AVERAGE(OFFSET($H$3,0,0,'Données projet'!$E$12+1,1))</f>
        <v>335.12015893291874</v>
      </c>
      <c r="CE98" s="59">
        <f t="shared" si="94"/>
        <v>224.76596283033166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0.60944695956694883</v>
      </c>
      <c r="CM98" s="21">
        <f>EXP(-LN(2)/2)*CM97+(1-EXP(-LN(2)/2))/(LN(2)/2)*CG98*CJ98*VLOOKUP('Données projet'!$B$12,Paramètres!$A$1:$I$89,3,0)*0.475*44/12</f>
        <v>1.2122470327132101E-9</v>
      </c>
      <c r="CN98" s="22">
        <f t="shared" si="66"/>
        <v>0.60944696077919591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4.9000000000000004</v>
      </c>
      <c r="CT98" s="12">
        <f>IF('Données projet'!$A$140&gt;35,CT97+CS98-DB97,IF(A98&lt;'Données projet'!$A$140,$CQ$205^A98,IF(A98='Données projet'!$A$140,'Données projet'!$B$140,CT97+CS98-DB97)))</f>
        <v>278.50000000000034</v>
      </c>
      <c r="CU98" s="17">
        <f>CT98*VLOOKUP('Données projet'!$B$13,Paramètres!$A$1:$I$89,3,0)*VLOOKUP('Données projet'!$B$13,Paramètres!$A$1:$I$89,5,0)</f>
        <v>269.36520000000036</v>
      </c>
      <c r="CV98" s="13">
        <f t="shared" si="95"/>
        <v>64.714530255967148</v>
      </c>
      <c r="CW98" s="20">
        <f t="shared" si="67"/>
        <v>581.85553019581005</v>
      </c>
      <c r="CX98" s="59">
        <f t="shared" si="68"/>
        <v>875.18886352914342</v>
      </c>
      <c r="CY98" s="59">
        <f ca="1">AVERAGE(OFFSET($CX$3,0,0,'Données projet'!$E$13+1,1))-AVERAGE(OFFSET($H$3,0,0,'Données projet'!$E$13+1,1))</f>
        <v>293.19327646293601</v>
      </c>
      <c r="CZ98" s="59">
        <f t="shared" si="96"/>
        <v>200.0769581869605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0.5476190071471132</v>
      </c>
      <c r="DH98" s="21">
        <f>EXP(-LN(2)/2)*DH97+(1-EXP(-LN(2)/2))/(LN(2)/2)*DB98*DE98*VLOOKUP('Données projet'!$B$13,Paramètres!$A$1:$I$89,3,0)*0.475*44/12</f>
        <v>1.0892654496843316E-9</v>
      </c>
      <c r="DI98" s="22">
        <f t="shared" si="69"/>
        <v>0.54761900823637866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-2.7193891583010558E-13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246.59447135626942</v>
      </c>
      <c r="T99" s="59">
        <f t="shared" si="88"/>
        <v>262.00382544285367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2.0613847008819643</v>
      </c>
      <c r="AB99" s="21">
        <f>EXP(-LN(2)/2)*AB98+(1-EXP(-LN(2)/2))/(LN(2)/2)*V99*Y99*VLOOKUP('Données projet'!$B$9,Paramètres!$A$1:$I$89,3,0)*0.475*44/12</f>
        <v>2.7624610664577889E-9</v>
      </c>
      <c r="AC99" s="22">
        <f t="shared" si="57"/>
        <v>2.0613847036444253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195.73441209602686</v>
      </c>
      <c r="AO99" s="59">
        <f t="shared" si="90"/>
        <v>219.19129224309006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1.6810992512336338</v>
      </c>
      <c r="AV99" s="21">
        <f>EXP(-LN(2)/25)*AV98+(1-EXP(-LN(2)/25))/(LN(2)/25)*Calculateur!AQ99*Calculateur!AS99*VLOOKUP('Données projet'!$B$10,Paramètres!$A$1:$I$89,3,0)*0.475*44/12</f>
        <v>1.978221702744859</v>
      </c>
      <c r="AW99" s="21">
        <f>EXP(-LN(2)/2)*AW98+(1-EXP(-LN(2)/2))/(LN(2)/2)*AQ99*AT99*VLOOKUP('Données projet'!$B$10,Paramètres!$A$1:$I$89,3,0)*0.475*44/12</f>
        <v>6.339620302983293E-10</v>
      </c>
      <c r="AX99" s="21">
        <f t="shared" si="60"/>
        <v>3.659320954612455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256.42032000000029</v>
      </c>
      <c r="BF99" s="13">
        <f t="shared" si="91"/>
        <v>61.958720258016967</v>
      </c>
      <c r="BG99" s="20">
        <f t="shared" si="61"/>
        <v>554.51016178271334</v>
      </c>
      <c r="BH99" s="59">
        <f t="shared" si="62"/>
        <v>847.8434951160466</v>
      </c>
      <c r="BI99" s="59">
        <f ca="1">AVERAGE(OFFSET($BH$3,0,0,'Données projet'!$E$11+1,1))-AVERAGE(OFFSET($H$3,0,0,'Données projet'!$E$11+1,1))</f>
        <v>269.19146943657933</v>
      </c>
      <c r="BJ99" s="59">
        <f t="shared" si="92"/>
        <v>185.94138814570965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0.49828018585034406</v>
      </c>
      <c r="BR99" s="21">
        <f>EXP(-LN(2)/2)*BR98+(1-EXP(-LN(2)/2))/(LN(2)/2)*BL99*BO99*VLOOKUP('Données projet'!$B$11,Paramètres!$A$1:$I$89,3,0)*0.475*44/12</f>
        <v>7.2053492237213385E-10</v>
      </c>
      <c r="BS99" s="22">
        <f t="shared" si="63"/>
        <v>0.49828018657087897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305.05176000000029</v>
      </c>
      <c r="CA99" s="13">
        <f t="shared" si="93"/>
        <v>72.234474952582318</v>
      </c>
      <c r="CB99" s="20">
        <f t="shared" si="64"/>
        <v>657.10685920908134</v>
      </c>
      <c r="CC99" s="59">
        <f t="shared" si="65"/>
        <v>950.44019254241471</v>
      </c>
      <c r="CD99" s="59">
        <f ca="1">AVERAGE(OFFSET($CC$3,0,0,'Données projet'!$E$12+1,1))-AVERAGE(OFFSET($H$3,0,0,'Données projet'!$E$12+1,1))</f>
        <v>335.12015893291874</v>
      </c>
      <c r="CE99" s="59">
        <f t="shared" si="94"/>
        <v>224.76596283033166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0.59278160040816796</v>
      </c>
      <c r="CM99" s="21">
        <f>EXP(-LN(2)/2)*CM98+(1-EXP(-LN(2)/2))/(LN(2)/2)*CG99*CJ99*VLOOKUP('Données projet'!$B$12,Paramètres!$A$1:$I$89,3,0)*0.475*44/12</f>
        <v>8.5718809730478141E-10</v>
      </c>
      <c r="CN99" s="22">
        <f t="shared" si="66"/>
        <v>0.59278160126535606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4.9000000000000004</v>
      </c>
      <c r="CT99" s="12">
        <f>IF('Données projet'!$A$140&gt;35,CT98+CS99-DB98,IF(A99&lt;'Données projet'!$A$140,$CQ$205^A99,IF(A99='Données projet'!$A$140,'Données projet'!$B$140,CT98+CS99-DB98)))</f>
        <v>283.40000000000032</v>
      </c>
      <c r="CU99" s="17">
        <f>CT99*VLOOKUP('Données projet'!$B$13,Paramètres!$A$1:$I$89,3,0)*VLOOKUP('Données projet'!$B$13,Paramètres!$A$1:$I$89,5,0)</f>
        <v>274.10448000000031</v>
      </c>
      <c r="CV99" s="13">
        <f t="shared" si="95"/>
        <v>65.719577181765573</v>
      </c>
      <c r="CW99" s="20">
        <f t="shared" si="67"/>
        <v>591.86023292490881</v>
      </c>
      <c r="CX99" s="59">
        <f t="shared" si="68"/>
        <v>885.19356625824207</v>
      </c>
      <c r="CY99" s="59">
        <f ca="1">AVERAGE(OFFSET($CX$3,0,0,'Données projet'!$E$13+1,1))-AVERAGE(OFFSET($H$3,0,0,'Données projet'!$E$13+1,1))</f>
        <v>293.19327646293601</v>
      </c>
      <c r="CZ99" s="59">
        <f t="shared" si="96"/>
        <v>200.0769581869605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0.53264433659864341</v>
      </c>
      <c r="DH99" s="21">
        <f>EXP(-LN(2)/2)*DH98+(1-EXP(-LN(2)/2))/(LN(2)/2)*DB99*DE99*VLOOKUP('Données projet'!$B$13,Paramètres!$A$1:$I$89,3,0)*0.475*44/12</f>
        <v>7.7022698598400501E-10</v>
      </c>
      <c r="DI99" s="22">
        <f t="shared" si="69"/>
        <v>0.5326443373688704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-2.7193891583010558E-13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246.59447135626942</v>
      </c>
      <c r="T100" s="59">
        <f t="shared" si="88"/>
        <v>262.00382544285367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2.0050160278328368</v>
      </c>
      <c r="AB100" s="21">
        <f>EXP(-LN(2)/2)*AB99+(1-EXP(-LN(2)/2))/(LN(2)/2)*V100*Y100*VLOOKUP('Données projet'!$B$9,Paramètres!$A$1:$I$89,3,0)*0.475*44/12</f>
        <v>1.9533549528561244E-9</v>
      </c>
      <c r="AC100" s="22">
        <f t="shared" si="57"/>
        <v>2.0050160297861916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195.73441209602686</v>
      </c>
      <c r="AO100" s="59">
        <f t="shared" si="90"/>
        <v>219.19129224309006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1.6481339202862386</v>
      </c>
      <c r="AV100" s="21">
        <f>EXP(-LN(2)/25)*AV99+(1-EXP(-LN(2)/25))/(LN(2)/25)*Calculateur!AQ100*Calculateur!AS100*VLOOKUP('Données projet'!$B$10,Paramètres!$A$1:$I$89,3,0)*0.475*44/12</f>
        <v>1.9241271262531427</v>
      </c>
      <c r="AW100" s="21">
        <f>EXP(-LN(2)/2)*AW99+(1-EXP(-LN(2)/2))/(LN(2)/2)*AQ100*AT100*VLOOKUP('Données projet'!$B$10,Paramètres!$A$1:$I$89,3,0)*0.475*44/12</f>
        <v>4.4827885063874015E-10</v>
      </c>
      <c r="AX100" s="21">
        <f t="shared" si="60"/>
        <v>3.5722610469876601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260.85384000000028</v>
      </c>
      <c r="BF100" s="13">
        <f t="shared" si="91"/>
        <v>62.90434739590382</v>
      </c>
      <c r="BG100" s="20">
        <f t="shared" si="61"/>
        <v>563.87884304786633</v>
      </c>
      <c r="BH100" s="59">
        <f t="shared" si="62"/>
        <v>857.2121763811997</v>
      </c>
      <c r="BI100" s="59">
        <f ca="1">AVERAGE(OFFSET($BH$3,0,0,'Données projet'!$E$11+1,1))-AVERAGE(OFFSET($H$3,0,0,'Données projet'!$E$11+1,1))</f>
        <v>269.19146943657933</v>
      </c>
      <c r="BJ100" s="59">
        <f t="shared" si="92"/>
        <v>185.94138814570965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0.48465468796485028</v>
      </c>
      <c r="BR100" s="21">
        <f>EXP(-LN(2)/2)*BR99+(1-EXP(-LN(2)/2))/(LN(2)/2)*BL100*BO100*VLOOKUP('Données projet'!$B$11,Paramètres!$A$1:$I$89,3,0)*0.475*44/12</f>
        <v>5.0949512969105845E-10</v>
      </c>
      <c r="BS100" s="22">
        <f t="shared" si="63"/>
        <v>0.4846546884743454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310.32612000000029</v>
      </c>
      <c r="CA100" s="13">
        <f t="shared" si="93"/>
        <v>73.336932839409428</v>
      </c>
      <c r="CB100" s="20">
        <f t="shared" si="64"/>
        <v>668.213150361972</v>
      </c>
      <c r="CC100" s="59">
        <f t="shared" si="65"/>
        <v>961.54648369530537</v>
      </c>
      <c r="CD100" s="59">
        <f ca="1">AVERAGE(OFFSET($CC$3,0,0,'Données projet'!$E$12+1,1))-AVERAGE(OFFSET($H$3,0,0,'Données projet'!$E$12+1,1))</f>
        <v>335.12015893291874</v>
      </c>
      <c r="CE100" s="59">
        <f t="shared" si="94"/>
        <v>224.76596283033166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0.57657195637197711</v>
      </c>
      <c r="CM100" s="21">
        <f>EXP(-LN(2)/2)*CM99+(1-EXP(-LN(2)/2))/(LN(2)/2)*CG100*CJ100*VLOOKUP('Données projet'!$B$12,Paramètres!$A$1:$I$89,3,0)*0.475*44/12</f>
        <v>6.0612351635660507E-10</v>
      </c>
      <c r="CN100" s="22">
        <f t="shared" si="66"/>
        <v>0.5765719569781006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4.9000000000000004</v>
      </c>
      <c r="CT100" s="12">
        <f>IF('Données projet'!$A$140&gt;35,CT99+CS100-DB99,IF(A100&lt;'Données projet'!$A$140,$CQ$205^A100,IF(A100='Données projet'!$A$140,'Données projet'!$B$140,CT99+CS100-DB99)))</f>
        <v>288.3000000000003</v>
      </c>
      <c r="CU100" s="17">
        <f>CT100*VLOOKUP('Données projet'!$B$13,Paramètres!$A$1:$I$89,3,0)*VLOOKUP('Données projet'!$B$13,Paramètres!$A$1:$I$89,5,0)</f>
        <v>278.84376000000032</v>
      </c>
      <c r="CV100" s="13">
        <f t="shared" si="95"/>
        <v>66.722603316177853</v>
      </c>
      <c r="CW100" s="20">
        <f t="shared" si="67"/>
        <v>601.86141610901029</v>
      </c>
      <c r="CX100" s="59">
        <f t="shared" si="68"/>
        <v>895.19474944234366</v>
      </c>
      <c r="CY100" s="59">
        <f ca="1">AVERAGE(OFFSET($CX$3,0,0,'Données projet'!$E$13+1,1))-AVERAGE(OFFSET($H$3,0,0,'Données projet'!$E$13+1,1))</f>
        <v>293.19327646293601</v>
      </c>
      <c r="CZ100" s="59">
        <f t="shared" si="96"/>
        <v>200.0769581869605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0.51807914920380527</v>
      </c>
      <c r="DH100" s="21">
        <f>EXP(-LN(2)/2)*DH99+(1-EXP(-LN(2)/2))/(LN(2)/2)*DB100*DE100*VLOOKUP('Données projet'!$B$13,Paramètres!$A$1:$I$89,3,0)*0.475*44/12</f>
        <v>5.4463272484216582E-10</v>
      </c>
      <c r="DI100" s="22">
        <f t="shared" si="69"/>
        <v>0.51807914974843794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-2.7193891583010558E-13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246.59447135626942</v>
      </c>
      <c r="T101" s="59">
        <f t="shared" si="88"/>
        <v>262.00382544285367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1.9501887591125375</v>
      </c>
      <c r="AB101" s="21">
        <f>EXP(-LN(2)/2)*AB100+(1-EXP(-LN(2)/2))/(LN(2)/2)*V101*Y101*VLOOKUP('Données projet'!$B$9,Paramètres!$A$1:$I$89,3,0)*0.475*44/12</f>
        <v>1.3812305332288944E-9</v>
      </c>
      <c r="AC101" s="22">
        <f t="shared" si="57"/>
        <v>1.950188760493768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195.73441209602686</v>
      </c>
      <c r="AO101" s="59">
        <f t="shared" si="90"/>
        <v>219.19129224309006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1.6158150193718555</v>
      </c>
      <c r="AV101" s="21">
        <f>EXP(-LN(2)/25)*AV100+(1-EXP(-LN(2)/25))/(LN(2)/25)*Calculateur!AQ101*Calculateur!AS101*VLOOKUP('Données projet'!$B$10,Paramètres!$A$1:$I$89,3,0)*0.475*44/12</f>
        <v>1.8715117688003027</v>
      </c>
      <c r="AW101" s="21">
        <f>EXP(-LN(2)/2)*AW100+(1-EXP(-LN(2)/2))/(LN(2)/2)*AQ101*AT101*VLOOKUP('Données projet'!$B$10,Paramètres!$A$1:$I$89,3,0)*0.475*44/12</f>
        <v>3.1698101514916465E-10</v>
      </c>
      <c r="AX101" s="21">
        <f t="shared" si="60"/>
        <v>3.4873267884891392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265.28736000000026</v>
      </c>
      <c r="BF101" s="13">
        <f t="shared" si="91"/>
        <v>63.848105500970064</v>
      </c>
      <c r="BG101" s="20">
        <f t="shared" si="61"/>
        <v>573.24426908085661</v>
      </c>
      <c r="BH101" s="59">
        <f t="shared" si="62"/>
        <v>866.57760241418987</v>
      </c>
      <c r="BI101" s="59">
        <f ca="1">AVERAGE(OFFSET($BH$3,0,0,'Données projet'!$E$11+1,1))-AVERAGE(OFFSET($H$3,0,0,'Données projet'!$E$11+1,1))</f>
        <v>269.19146943657933</v>
      </c>
      <c r="BJ101" s="59">
        <f t="shared" si="92"/>
        <v>185.94138814570965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0.4714017800355691</v>
      </c>
      <c r="BR101" s="21">
        <f>EXP(-LN(2)/2)*BR100+(1-EXP(-LN(2)/2))/(LN(2)/2)*BL101*BO101*VLOOKUP('Données projet'!$B$11,Paramètres!$A$1:$I$89,3,0)*0.475*44/12</f>
        <v>3.6026746118606693E-10</v>
      </c>
      <c r="BS101" s="22">
        <f t="shared" si="63"/>
        <v>0.47140178039583658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315.60048000000029</v>
      </c>
      <c r="CA101" s="13">
        <f t="shared" si="93"/>
        <v>74.43721171731093</v>
      </c>
      <c r="CB101" s="20">
        <f t="shared" si="64"/>
        <v>679.31564640765021</v>
      </c>
      <c r="CC101" s="59">
        <f t="shared" si="65"/>
        <v>972.64897974098358</v>
      </c>
      <c r="CD101" s="59">
        <f ca="1">AVERAGE(OFFSET($CC$3,0,0,'Données projet'!$E$12+1,1))-AVERAGE(OFFSET($H$3,0,0,'Données projet'!$E$12+1,1))</f>
        <v>335.12015893291874</v>
      </c>
      <c r="CE101" s="59">
        <f t="shared" si="94"/>
        <v>224.76596283033166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0.56080556590438402</v>
      </c>
      <c r="CM101" s="21">
        <f>EXP(-LN(2)/2)*CM100+(1-EXP(-LN(2)/2))/(LN(2)/2)*CG101*CJ101*VLOOKUP('Données projet'!$B$12,Paramètres!$A$1:$I$89,3,0)*0.475*44/12</f>
        <v>4.2859404865239071E-10</v>
      </c>
      <c r="CN101" s="22">
        <f t="shared" si="66"/>
        <v>0.56080556633297807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4.9000000000000004</v>
      </c>
      <c r="CT101" s="12">
        <f>IF('Données projet'!$A$140&gt;35,CT100+CS101-DB100,IF(A101&lt;'Données projet'!$A$140,$CQ$205^A101,IF(A101='Données projet'!$A$140,'Données projet'!$B$140,CT100+CS101-DB100)))</f>
        <v>293.20000000000027</v>
      </c>
      <c r="CU101" s="17">
        <f>CT101*VLOOKUP('Données projet'!$B$13,Paramètres!$A$1:$I$89,3,0)*VLOOKUP('Données projet'!$B$13,Paramètres!$A$1:$I$89,5,0)</f>
        <v>283.58304000000027</v>
      </c>
      <c r="CV101" s="13">
        <f t="shared" si="95"/>
        <v>67.723646968605209</v>
      </c>
      <c r="CW101" s="20">
        <f t="shared" si="67"/>
        <v>611.85914647032121</v>
      </c>
      <c r="CX101" s="59">
        <f t="shared" si="68"/>
        <v>905.19247980365458</v>
      </c>
      <c r="CY101" s="59">
        <f ca="1">AVERAGE(OFFSET($CX$3,0,0,'Données projet'!$E$13+1,1))-AVERAGE(OFFSET($H$3,0,0,'Données projet'!$E$13+1,1))</f>
        <v>293.19327646293601</v>
      </c>
      <c r="CZ101" s="59">
        <f t="shared" si="96"/>
        <v>200.0769581869605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0.50391224762422882</v>
      </c>
      <c r="DH101" s="21">
        <f>EXP(-LN(2)/2)*DH100+(1-EXP(-LN(2)/2))/(LN(2)/2)*DB101*DE101*VLOOKUP('Données projet'!$B$13,Paramètres!$A$1:$I$89,3,0)*0.475*44/12</f>
        <v>3.851134929920025E-10</v>
      </c>
      <c r="DI101" s="22">
        <f t="shared" si="69"/>
        <v>0.50391224800934231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-2.7193891583010558E-13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246.59447135626942</v>
      </c>
      <c r="T102" s="59">
        <f t="shared" si="88"/>
        <v>262.00382544285367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1.8968607449386357</v>
      </c>
      <c r="AB102" s="21">
        <f>EXP(-LN(2)/2)*AB101+(1-EXP(-LN(2)/2))/(LN(2)/2)*V102*Y102*VLOOKUP('Données projet'!$B$9,Paramètres!$A$1:$I$89,3,0)*0.475*44/12</f>
        <v>9.7667747642806219E-10</v>
      </c>
      <c r="AC102" s="22">
        <f t="shared" si="57"/>
        <v>1.8968607459153131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195.73441209602686</v>
      </c>
      <c r="AO102" s="59">
        <f t="shared" si="90"/>
        <v>219.19129224309006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1.5841298723918202</v>
      </c>
      <c r="AV102" s="21">
        <f>EXP(-LN(2)/25)*AV101+(1-EXP(-LN(2)/25))/(LN(2)/25)*Calculateur!AQ102*Calculateur!AS102*VLOOKUP('Données projet'!$B$10,Paramètres!$A$1:$I$89,3,0)*0.475*44/12</f>
        <v>1.8203351810639319</v>
      </c>
      <c r="AW102" s="21">
        <f>EXP(-LN(2)/2)*AW101+(1-EXP(-LN(2)/2))/(LN(2)/2)*AQ102*AT102*VLOOKUP('Données projet'!$B$10,Paramètres!$A$1:$I$89,3,0)*0.475*44/12</f>
        <v>2.2413942531937008E-10</v>
      </c>
      <c r="AX102" s="21">
        <f t="shared" si="60"/>
        <v>3.4044650536798913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269.72088000000025</v>
      </c>
      <c r="BF102" s="13">
        <f t="shared" si="91"/>
        <v>64.790029413947011</v>
      </c>
      <c r="BG102" s="20">
        <f t="shared" si="61"/>
        <v>582.60650056262477</v>
      </c>
      <c r="BH102" s="59">
        <f t="shared" si="62"/>
        <v>875.93983389595815</v>
      </c>
      <c r="BI102" s="59">
        <f ca="1">AVERAGE(OFFSET($BH$3,0,0,'Données projet'!$E$11+1,1))-AVERAGE(OFFSET($H$3,0,0,'Données projet'!$E$11+1,1))</f>
        <v>269.19146943657933</v>
      </c>
      <c r="BJ102" s="59">
        <f t="shared" si="92"/>
        <v>185.94138814570965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0.45851127357055427</v>
      </c>
      <c r="BR102" s="21">
        <f>EXP(-LN(2)/2)*BR101+(1-EXP(-LN(2)/2))/(LN(2)/2)*BL102*BO102*VLOOKUP('Données projet'!$B$11,Paramètres!$A$1:$I$89,3,0)*0.475*44/12</f>
        <v>2.5474756484552923E-10</v>
      </c>
      <c r="BS102" s="22">
        <f t="shared" si="63"/>
        <v>0.45851127382530182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320.87484000000029</v>
      </c>
      <c r="CA102" s="13">
        <f t="shared" si="93"/>
        <v>75.535352205297713</v>
      </c>
      <c r="CB102" s="20">
        <f t="shared" si="64"/>
        <v>690.41441809089395</v>
      </c>
      <c r="CC102" s="59">
        <f t="shared" si="65"/>
        <v>983.74775142422732</v>
      </c>
      <c r="CD102" s="59">
        <f ca="1">AVERAGE(OFFSET($CC$3,0,0,'Données projet'!$E$12+1,1))-AVERAGE(OFFSET($H$3,0,0,'Données projet'!$E$12+1,1))</f>
        <v>335.12015893291874</v>
      </c>
      <c r="CE102" s="59">
        <f t="shared" si="94"/>
        <v>224.76596283033166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0.54547030821324571</v>
      </c>
      <c r="CM102" s="21">
        <f>EXP(-LN(2)/2)*CM101+(1-EXP(-LN(2)/2))/(LN(2)/2)*CG102*CJ102*VLOOKUP('Données projet'!$B$12,Paramètres!$A$1:$I$89,3,0)*0.475*44/12</f>
        <v>3.0306175817830253E-10</v>
      </c>
      <c r="CN102" s="22">
        <f t="shared" si="66"/>
        <v>0.54547030851630751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4.9000000000000004</v>
      </c>
      <c r="CT102" s="12">
        <f>IF('Données projet'!$A$140&gt;35,CT101+CS102-DB101,IF(A102&lt;'Données projet'!$A$140,$CQ$205^A102,IF(A102='Données projet'!$A$140,'Données projet'!$B$140,CT101+CS102-DB101)))</f>
        <v>298.10000000000025</v>
      </c>
      <c r="CU102" s="17">
        <f>CT102*VLOOKUP('Données projet'!$B$13,Paramètres!$A$1:$I$89,3,0)*VLOOKUP('Données projet'!$B$13,Paramètres!$A$1:$I$89,5,0)</f>
        <v>288.32232000000022</v>
      </c>
      <c r="CV102" s="13">
        <f t="shared" si="95"/>
        <v>68.722745094590678</v>
      </c>
      <c r="CW102" s="20">
        <f t="shared" si="67"/>
        <v>621.85348837307913</v>
      </c>
      <c r="CX102" s="59">
        <f t="shared" si="68"/>
        <v>915.1868217064125</v>
      </c>
      <c r="CY102" s="59">
        <f ca="1">AVERAGE(OFFSET($CX$3,0,0,'Données projet'!$E$13+1,1))-AVERAGE(OFFSET($H$3,0,0,'Données projet'!$E$13+1,1))</f>
        <v>293.19327646293601</v>
      </c>
      <c r="CZ102" s="59">
        <f t="shared" si="96"/>
        <v>200.0769581869605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0.49013274071335089</v>
      </c>
      <c r="DH102" s="21">
        <f>EXP(-LN(2)/2)*DH101+(1-EXP(-LN(2)/2))/(LN(2)/2)*DB102*DE102*VLOOKUP('Données projet'!$B$13,Paramètres!$A$1:$I$89,3,0)*0.475*44/12</f>
        <v>2.7231636242108291E-10</v>
      </c>
      <c r="DI102" s="22">
        <f t="shared" si="69"/>
        <v>0.49013274098566723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-2.7193891583010558E-13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246.59447135626942</v>
      </c>
      <c r="T103" s="59">
        <f t="shared" si="88"/>
        <v>262.00382544285367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1.8449909881167175</v>
      </c>
      <c r="AB103" s="21">
        <f>EXP(-LN(2)/2)*AB102+(1-EXP(-LN(2)/2))/(LN(2)/2)*V103*Y103*VLOOKUP('Données projet'!$B$9,Paramètres!$A$1:$I$89,3,0)*0.475*44/12</f>
        <v>6.9061526661444722E-10</v>
      </c>
      <c r="AC103" s="22">
        <f t="shared" si="57"/>
        <v>1.8449909888073328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195.73441209602686</v>
      </c>
      <c r="AO103" s="59">
        <f t="shared" si="90"/>
        <v>219.19129224309006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1.5530660518180321</v>
      </c>
      <c r="AV103" s="21">
        <f>EXP(-LN(2)/25)*AV102+(1-EXP(-LN(2)/25))/(LN(2)/25)*Calculateur!AQ103*Calculateur!AS103*VLOOKUP('Données projet'!$B$10,Paramètres!$A$1:$I$89,3,0)*0.475*44/12</f>
        <v>1.770558019810472</v>
      </c>
      <c r="AW103" s="21">
        <f>EXP(-LN(2)/2)*AW102+(1-EXP(-LN(2)/2))/(LN(2)/2)*AQ103*AT103*VLOOKUP('Données projet'!$B$10,Paramètres!$A$1:$I$89,3,0)*0.475*44/12</f>
        <v>1.5849050757458233E-10</v>
      </c>
      <c r="AX103" s="21">
        <f t="shared" si="60"/>
        <v>3.3236240717869947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274.15440000000018</v>
      </c>
      <c r="BF103" s="13">
        <f t="shared" si="91"/>
        <v>65.730152764515836</v>
      </c>
      <c r="BG103" s="20">
        <f t="shared" si="61"/>
        <v>591.96559606486528</v>
      </c>
      <c r="BH103" s="59">
        <f t="shared" si="62"/>
        <v>885.29892939819865</v>
      </c>
      <c r="BI103" s="59">
        <f ca="1">AVERAGE(OFFSET($BH$3,0,0,'Données projet'!$E$11+1,1))-AVERAGE(OFFSET($H$3,0,0,'Données projet'!$E$11+1,1))</f>
        <v>269.19146943657933</v>
      </c>
      <c r="BJ103" s="59">
        <f t="shared" si="92"/>
        <v>185.94138814570965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0.44597325868270754</v>
      </c>
      <c r="BR103" s="21">
        <f>EXP(-LN(2)/2)*BR102+(1-EXP(-LN(2)/2))/(LN(2)/2)*BL103*BO103*VLOOKUP('Données projet'!$B$11,Paramètres!$A$1:$I$89,3,0)*0.475*44/12</f>
        <v>1.8013373059303346E-10</v>
      </c>
      <c r="BS103" s="22">
        <f t="shared" si="63"/>
        <v>0.44597325886284128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326.14920000000023</v>
      </c>
      <c r="CA103" s="13">
        <f t="shared" si="93"/>
        <v>76.631393510479697</v>
      </c>
      <c r="CB103" s="20">
        <f t="shared" si="64"/>
        <v>701.50953369741922</v>
      </c>
      <c r="CC103" s="59">
        <f t="shared" si="65"/>
        <v>994.84286703075259</v>
      </c>
      <c r="CD103" s="59">
        <f ca="1">AVERAGE(OFFSET($CC$3,0,0,'Données projet'!$E$12+1,1))-AVERAGE(OFFSET($H$3,0,0,'Données projet'!$E$12+1,1))</f>
        <v>335.12015893291874</v>
      </c>
      <c r="CE103" s="59">
        <f t="shared" si="94"/>
        <v>224.76596283033166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0.53055439395011772</v>
      </c>
      <c r="CM103" s="21">
        <f>EXP(-LN(2)/2)*CM102+(1-EXP(-LN(2)/2))/(LN(2)/2)*CG103*CJ103*VLOOKUP('Données projet'!$B$12,Paramètres!$A$1:$I$89,3,0)*0.475*44/12</f>
        <v>2.1429702432619535E-10</v>
      </c>
      <c r="CN103" s="22">
        <f t="shared" si="66"/>
        <v>0.53055439416441474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303</v>
      </c>
      <c r="CR103" s="12">
        <f>VLOOKUP(A103,'Données projet'!$A$139:$I$159,9,0)</f>
        <v>4.9000000000000004</v>
      </c>
      <c r="CS103" s="12">
        <f t="array" ref="CS103">INDEX(CR:CR,MIN(IF(ISNUMBER(CR103:CR299),ROW(CR103:CR299),"")))</f>
        <v>4.9000000000000004</v>
      </c>
      <c r="CT103" s="12">
        <f>IF('Données projet'!$A$140&gt;35,CT102+CS103-DB102,IF(A103&lt;'Données projet'!$A$140,$CQ$205^A103,IF(A103='Données projet'!$A$140,'Données projet'!$B$140,CT102+CS103-DB102)))</f>
        <v>303.00000000000023</v>
      </c>
      <c r="CU103" s="17">
        <f>CT103*VLOOKUP('Données projet'!$B$13,Paramètres!$A$1:$I$89,3,0)*VLOOKUP('Données projet'!$B$13,Paramètres!$A$1:$I$89,5,0)</f>
        <v>293.06160000000023</v>
      </c>
      <c r="CV103" s="13">
        <f t="shared" si="95"/>
        <v>69.719933365116617</v>
      </c>
      <c r="CW103" s="20">
        <f t="shared" si="67"/>
        <v>631.84450394424505</v>
      </c>
      <c r="CX103" s="59">
        <f t="shared" si="68"/>
        <v>925.17783727757842</v>
      </c>
      <c r="CY103" s="59">
        <f ca="1">AVERAGE(OFFSET($CX$3,0,0,'Données projet'!$E$13+1,1))-AVERAGE(OFFSET($H$3,0,0,'Données projet'!$E$13+1,1))</f>
        <v>293.19327646293601</v>
      </c>
      <c r="CZ103" s="59">
        <f t="shared" si="96"/>
        <v>200.0769581869605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42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0.4767300351435837</v>
      </c>
      <c r="DH103" s="21">
        <f>EXP(-LN(2)/2)*DH102+(1-EXP(-LN(2)/2))/(LN(2)/2)*DB103*DE103*VLOOKUP('Données projet'!$B$13,Paramètres!$A$1:$I$89,3,0)*0.475*44/12</f>
        <v>1.9255674649600125E-10</v>
      </c>
      <c r="DI103" s="22">
        <f t="shared" si="69"/>
        <v>0.47673003533614045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-2.7193891583010558E-13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246.59447135626942</v>
      </c>
      <c r="T104" s="59">
        <f t="shared" si="88"/>
        <v>262.00382544285367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1.7945396125228066</v>
      </c>
      <c r="AB104" s="21">
        <f>EXP(-LN(2)/2)*AB103+(1-EXP(-LN(2)/2))/(LN(2)/2)*V104*Y104*VLOOKUP('Données projet'!$B$9,Paramètres!$A$1:$I$89,3,0)*0.475*44/12</f>
        <v>4.883387382140311E-10</v>
      </c>
      <c r="AC104" s="22">
        <f t="shared" si="57"/>
        <v>1.7945396130111453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195.73441209602686</v>
      </c>
      <c r="AO104" s="59">
        <f t="shared" si="90"/>
        <v>219.19129224309006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1.5226113738186364</v>
      </c>
      <c r="AV104" s="21">
        <f>EXP(-LN(2)/25)*AV103+(1-EXP(-LN(2)/25))/(LN(2)/25)*Calculateur!AQ104*Calculateur!AS104*VLOOKUP('Données projet'!$B$10,Paramètres!$A$1:$I$89,3,0)*0.475*44/12</f>
        <v>1.7221420176491551</v>
      </c>
      <c r="AW104" s="21">
        <f>EXP(-LN(2)/2)*AW103+(1-EXP(-LN(2)/2))/(LN(2)/2)*AQ104*AT104*VLOOKUP('Données projet'!$B$10,Paramètres!$A$1:$I$89,3,0)*0.475*44/12</f>
        <v>1.1206971265968504E-10</v>
      </c>
      <c r="AX104" s="21">
        <f t="shared" si="60"/>
        <v>3.2447533915798616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240.13392000000016</v>
      </c>
      <c r="BF104" s="13">
        <f t="shared" si="91"/>
        <v>58.468343087048616</v>
      </c>
      <c r="BG104" s="20">
        <f t="shared" si="61"/>
        <v>520.06560820994321</v>
      </c>
      <c r="BH104" s="59">
        <f t="shared" si="62"/>
        <v>813.39894154327658</v>
      </c>
      <c r="BI104" s="59">
        <f ca="1">AVERAGE(OFFSET($BH$3,0,0,'Données projet'!$E$11+1,1))-AVERAGE(OFFSET($H$3,0,0,'Données projet'!$E$11+1,1))</f>
        <v>269.19146943657933</v>
      </c>
      <c r="BJ104" s="59">
        <f t="shared" si="92"/>
        <v>185.94138814570965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0.43377809647131449</v>
      </c>
      <c r="BR104" s="21">
        <f>EXP(-LN(2)/2)*BR103+(1-EXP(-LN(2)/2))/(LN(2)/2)*BL104*BO104*VLOOKUP('Données projet'!$B$11,Paramètres!$A$1:$I$89,3,0)*0.475*44/12</f>
        <v>1.2737378242276461E-10</v>
      </c>
      <c r="BS104" s="22">
        <f t="shared" si="63"/>
        <v>0.43377809659868827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285.67656000000022</v>
      </c>
      <c r="CA104" s="13">
        <f t="shared" si="93"/>
        <v>68.16522430825907</v>
      </c>
      <c r="CB104" s="20">
        <f t="shared" si="64"/>
        <v>616.2744410035516</v>
      </c>
      <c r="CC104" s="59">
        <f t="shared" si="65"/>
        <v>909.60777433688486</v>
      </c>
      <c r="CD104" s="59">
        <f ca="1">AVERAGE(OFFSET($CC$3,0,0,'Données projet'!$E$12+1,1))-AVERAGE(OFFSET($H$3,0,0,'Données projet'!$E$12+1,1))</f>
        <v>335.12015893291874</v>
      </c>
      <c r="CE104" s="59">
        <f t="shared" si="94"/>
        <v>224.76596283033166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0.51604635614690875</v>
      </c>
      <c r="CM104" s="21">
        <f>EXP(-LN(2)/2)*CM103+(1-EXP(-LN(2)/2))/(LN(2)/2)*CG104*CJ104*VLOOKUP('Données projet'!$B$12,Paramètres!$A$1:$I$89,3,0)*0.475*44/12</f>
        <v>1.5153087908915127E-10</v>
      </c>
      <c r="CN104" s="22">
        <f t="shared" si="66"/>
        <v>0.51604635629843965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4.4000000000000004</v>
      </c>
      <c r="CT104" s="12">
        <f>IF('Données projet'!$A$140&gt;35,CT103+CS104-DB103,IF(A104&lt;'Données projet'!$A$140,$CQ$205^A104,IF(A104='Données projet'!$A$140,'Données projet'!$B$140,CT103+CS104-DB103)))</f>
        <v>265.4000000000002</v>
      </c>
      <c r="CU104" s="17">
        <f>CT104*VLOOKUP('Données projet'!$B$13,Paramètres!$A$1:$I$89,3,0)*VLOOKUP('Données projet'!$B$13,Paramètres!$A$1:$I$89,5,0)</f>
        <v>256.69488000000018</v>
      </c>
      <c r="CV104" s="13">
        <f t="shared" si="95"/>
        <v>62.017336223177551</v>
      </c>
      <c r="CW104" s="20">
        <f t="shared" si="67"/>
        <v>555.09044325536786</v>
      </c>
      <c r="CX104" s="59">
        <f t="shared" si="68"/>
        <v>848.42377658870123</v>
      </c>
      <c r="CY104" s="59">
        <f ca="1">AVERAGE(OFFSET($CX$3,0,0,'Données projet'!$E$13+1,1))-AVERAGE(OFFSET($H$3,0,0,'Données projet'!$E$13+1,1))</f>
        <v>293.19327646293601</v>
      </c>
      <c r="CZ104" s="59">
        <f t="shared" si="96"/>
        <v>200.0769581869605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0.46369382726243941</v>
      </c>
      <c r="DH104" s="21">
        <f>EXP(-LN(2)/2)*DH103+(1-EXP(-LN(2)/2))/(LN(2)/2)*DB104*DE104*VLOOKUP('Données projet'!$B$13,Paramètres!$A$1:$I$89,3,0)*0.475*44/12</f>
        <v>1.3615818121054146E-10</v>
      </c>
      <c r="DI104" s="22">
        <f t="shared" si="69"/>
        <v>0.4636938273985976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-2.7193891583010558E-13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246.59447135626942</v>
      </c>
      <c r="T105" s="59">
        <f t="shared" si="88"/>
        <v>262.00382544285367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1.7454678324476336</v>
      </c>
      <c r="AB105" s="21">
        <f>EXP(-LN(2)/2)*AB104+(1-EXP(-LN(2)/2))/(LN(2)/2)*V105*Y105*VLOOKUP('Données projet'!$B$9,Paramètres!$A$1:$I$89,3,0)*0.475*44/12</f>
        <v>3.4530763330722361E-10</v>
      </c>
      <c r="AC105" s="22">
        <f t="shared" si="57"/>
        <v>1.7454678327929412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195.73441209602686</v>
      </c>
      <c r="AO105" s="59">
        <f t="shared" si="90"/>
        <v>219.19129224309006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1.4927538934792894</v>
      </c>
      <c r="AV105" s="21">
        <f>EXP(-LN(2)/25)*AV104+(1-EXP(-LN(2)/25))/(LN(2)/25)*Calculateur!AQ105*Calculateur!AS105*VLOOKUP('Données projet'!$B$10,Paramètres!$A$1:$I$89,3,0)*0.475*44/12</f>
        <v>1.6750499536130263</v>
      </c>
      <c r="AW105" s="21">
        <f>EXP(-LN(2)/2)*AW104+(1-EXP(-LN(2)/2))/(LN(2)/2)*AQ105*AT105*VLOOKUP('Données projet'!$B$10,Paramètres!$A$1:$I$89,3,0)*0.475*44/12</f>
        <v>7.9245253787291163E-11</v>
      </c>
      <c r="AX105" s="21">
        <f t="shared" si="60"/>
        <v>3.1678038471715606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244.11504000000016</v>
      </c>
      <c r="BF105" s="13">
        <f t="shared" si="91"/>
        <v>59.324023461759062</v>
      </c>
      <c r="BG105" s="20">
        <f t="shared" si="61"/>
        <v>528.48970219589739</v>
      </c>
      <c r="BH105" s="59">
        <f t="shared" si="62"/>
        <v>821.82303552923076</v>
      </c>
      <c r="BI105" s="59">
        <f ca="1">AVERAGE(OFFSET($BH$3,0,0,'Données projet'!$E$11+1,1))-AVERAGE(OFFSET($H$3,0,0,'Données projet'!$E$11+1,1))</f>
        <v>269.19146943657933</v>
      </c>
      <c r="BJ105" s="59">
        <f t="shared" si="92"/>
        <v>185.94138814570965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0.42191641161190774</v>
      </c>
      <c r="BR105" s="21">
        <f>EXP(-LN(2)/2)*BR104+(1-EXP(-LN(2)/2))/(LN(2)/2)*BL105*BO105*VLOOKUP('Données projet'!$B$11,Paramètres!$A$1:$I$89,3,0)*0.475*44/12</f>
        <v>9.0066865296516732E-11</v>
      </c>
      <c r="BS105" s="22">
        <f t="shared" si="63"/>
        <v>0.42191641170197458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290.41272000000021</v>
      </c>
      <c r="CA105" s="13">
        <f t="shared" si="93"/>
        <v>69.162817905044847</v>
      </c>
      <c r="CB105" s="20">
        <f t="shared" si="64"/>
        <v>626.26072851795345</v>
      </c>
      <c r="CC105" s="59">
        <f t="shared" si="65"/>
        <v>919.59406185128682</v>
      </c>
      <c r="CD105" s="59">
        <f ca="1">AVERAGE(OFFSET($CC$3,0,0,'Données projet'!$E$12+1,1))-AVERAGE(OFFSET($H$3,0,0,'Données projet'!$E$12+1,1))</f>
        <v>335.12015893291874</v>
      </c>
      <c r="CE105" s="59">
        <f t="shared" si="94"/>
        <v>224.76596283033166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0.50193504140037315</v>
      </c>
      <c r="CM105" s="21">
        <f>EXP(-LN(2)/2)*CM104+(1-EXP(-LN(2)/2))/(LN(2)/2)*CG105*CJ105*VLOOKUP('Données projet'!$B$12,Paramètres!$A$1:$I$89,3,0)*0.475*44/12</f>
        <v>1.0714851216309768E-10</v>
      </c>
      <c r="CN105" s="22">
        <f t="shared" si="66"/>
        <v>0.50193504150752166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4.4000000000000004</v>
      </c>
      <c r="CT105" s="12">
        <f>IF('Données projet'!$A$140&gt;35,CT104+CS105-DB104,IF(A105&lt;'Données projet'!$A$140,$CQ$205^A105,IF(A105='Données projet'!$A$140,'Données projet'!$B$140,CT104+CS105-DB104)))</f>
        <v>269.80000000000018</v>
      </c>
      <c r="CU105" s="17">
        <f>CT105*VLOOKUP('Données projet'!$B$13,Paramètres!$A$1:$I$89,3,0)*VLOOKUP('Données projet'!$B$13,Paramètres!$A$1:$I$89,5,0)</f>
        <v>260.95056000000022</v>
      </c>
      <c r="CV105" s="13">
        <f t="shared" si="95"/>
        <v>62.924955880176995</v>
      </c>
      <c r="CW105" s="20">
        <f t="shared" si="67"/>
        <v>564.0831901579752</v>
      </c>
      <c r="CX105" s="59">
        <f t="shared" si="68"/>
        <v>857.41652349130845</v>
      </c>
      <c r="CY105" s="59">
        <f ca="1">AVERAGE(OFFSET($CX$3,0,0,'Données projet'!$E$13+1,1))-AVERAGE(OFFSET($H$3,0,0,'Données projet'!$E$13+1,1))</f>
        <v>293.19327646293601</v>
      </c>
      <c r="CZ105" s="59">
        <f t="shared" si="96"/>
        <v>200.0769581869605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0.45101409517134944</v>
      </c>
      <c r="DH105" s="21">
        <f>EXP(-LN(2)/2)*DH104+(1-EXP(-LN(2)/2))/(LN(2)/2)*DB105*DE105*VLOOKUP('Données projet'!$B$13,Paramètres!$A$1:$I$89,3,0)*0.475*44/12</f>
        <v>9.6278373248000626E-11</v>
      </c>
      <c r="DI105" s="22">
        <f t="shared" si="69"/>
        <v>0.45101409526762781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-2.7193891583010558E-13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246.59447135626942</v>
      </c>
      <c r="T106" s="59">
        <f t="shared" si="88"/>
        <v>262.00382544285367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1.6977379227791891</v>
      </c>
      <c r="AB106" s="21">
        <f>EXP(-LN(2)/2)*AB105+(1-EXP(-LN(2)/2))/(LN(2)/2)*V106*Y106*VLOOKUP('Données projet'!$B$9,Paramètres!$A$1:$I$89,3,0)*0.475*44/12</f>
        <v>2.4416936910701555E-10</v>
      </c>
      <c r="AC106" s="22">
        <f t="shared" si="57"/>
        <v>1.6977379230233585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195.73441209602686</v>
      </c>
      <c r="AO106" s="59">
        <f t="shared" si="90"/>
        <v>219.19129224309006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1.4634819001181323</v>
      </c>
      <c r="AV106" s="21">
        <f>EXP(-LN(2)/25)*AV105+(1-EXP(-LN(2)/25))/(LN(2)/25)*Calculateur!AQ106*Calculateur!AS106*VLOOKUP('Données projet'!$B$10,Paramètres!$A$1:$I$89,3,0)*0.475*44/12</f>
        <v>1.6292456245444293</v>
      </c>
      <c r="AW106" s="21">
        <f>EXP(-LN(2)/2)*AW105+(1-EXP(-LN(2)/2))/(LN(2)/2)*AQ106*AT106*VLOOKUP('Données projet'!$B$10,Paramètres!$A$1:$I$89,3,0)*0.475*44/12</f>
        <v>5.6034856329842519E-11</v>
      </c>
      <c r="AX106" s="21">
        <f t="shared" si="60"/>
        <v>3.0927275247185961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248.09616000000014</v>
      </c>
      <c r="BF106" s="13">
        <f t="shared" si="91"/>
        <v>60.178080967364686</v>
      </c>
      <c r="BG106" s="20">
        <f t="shared" si="61"/>
        <v>536.91096968482714</v>
      </c>
      <c r="BH106" s="59">
        <f t="shared" si="62"/>
        <v>830.24430301816051</v>
      </c>
      <c r="BI106" s="59">
        <f ca="1">AVERAGE(OFFSET($BH$3,0,0,'Données projet'!$E$11+1,1))-AVERAGE(OFFSET($H$3,0,0,'Données projet'!$E$11+1,1))</f>
        <v>269.19146943657933</v>
      </c>
      <c r="BJ106" s="59">
        <f t="shared" si="92"/>
        <v>185.94138814570965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0.41037908514876031</v>
      </c>
      <c r="BR106" s="21">
        <f>EXP(-LN(2)/2)*BR105+(1-EXP(-LN(2)/2))/(LN(2)/2)*BL106*BO106*VLOOKUP('Données projet'!$B$11,Paramètres!$A$1:$I$89,3,0)*0.475*44/12</f>
        <v>6.3686891211382306E-11</v>
      </c>
      <c r="BS106" s="22">
        <f t="shared" si="63"/>
        <v>0.4103790852124472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295.14888000000013</v>
      </c>
      <c r="CA106" s="13">
        <f t="shared" si="93"/>
        <v>70.158519482479406</v>
      </c>
      <c r="CB106" s="20">
        <f t="shared" si="64"/>
        <v>636.24372076531847</v>
      </c>
      <c r="CC106" s="59">
        <f t="shared" si="65"/>
        <v>929.57705409865184</v>
      </c>
      <c r="CD106" s="59">
        <f ca="1">AVERAGE(OFFSET($CC$3,0,0,'Données projet'!$E$12+1,1))-AVERAGE(OFFSET($H$3,0,0,'Données projet'!$E$12+1,1))</f>
        <v>335.12015893291874</v>
      </c>
      <c r="CE106" s="59">
        <f t="shared" si="94"/>
        <v>224.76596283033166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0.48820960129766333</v>
      </c>
      <c r="CM106" s="21">
        <f>EXP(-LN(2)/2)*CM105+(1-EXP(-LN(2)/2))/(LN(2)/2)*CG106*CJ106*VLOOKUP('Données projet'!$B$12,Paramètres!$A$1:$I$89,3,0)*0.475*44/12</f>
        <v>7.5765439544575634E-11</v>
      </c>
      <c r="CN106" s="22">
        <f t="shared" si="66"/>
        <v>0.48820960137342878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4.4000000000000004</v>
      </c>
      <c r="CT106" s="12">
        <f>IF('Données projet'!$A$140&gt;35,CT105+CS106-DB105,IF(A106&lt;'Données projet'!$A$140,$CQ$205^A106,IF(A106='Données projet'!$A$140,'Données projet'!$B$140,CT105+CS106-DB105)))</f>
        <v>274.20000000000016</v>
      </c>
      <c r="CU106" s="17">
        <f>CT106*VLOOKUP('Données projet'!$B$13,Paramètres!$A$1:$I$89,3,0)*VLOOKUP('Données projet'!$B$13,Paramètres!$A$1:$I$89,5,0)</f>
        <v>265.20624000000015</v>
      </c>
      <c r="CV106" s="13">
        <f t="shared" si="95"/>
        <v>63.8308541608965</v>
      </c>
      <c r="CW106" s="20">
        <f t="shared" si="67"/>
        <v>573.072938996895</v>
      </c>
      <c r="CX106" s="59">
        <f t="shared" si="68"/>
        <v>866.40627233022838</v>
      </c>
      <c r="CY106" s="59">
        <f ca="1">AVERAGE(OFFSET($CX$3,0,0,'Données projet'!$E$13+1,1))-AVERAGE(OFFSET($H$3,0,0,'Données projet'!$E$13+1,1))</f>
        <v>293.19327646293601</v>
      </c>
      <c r="CZ106" s="59">
        <f t="shared" si="96"/>
        <v>200.0769581869605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0.43868109102108843</v>
      </c>
      <c r="DH106" s="21">
        <f>EXP(-LN(2)/2)*DH105+(1-EXP(-LN(2)/2))/(LN(2)/2)*DB106*DE106*VLOOKUP('Données projet'!$B$13,Paramètres!$A$1:$I$89,3,0)*0.475*44/12</f>
        <v>6.8079090605270728E-11</v>
      </c>
      <c r="DI106" s="22">
        <f t="shared" si="69"/>
        <v>0.43868109108916753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-2.7193891583010558E-13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246.59447135626942</v>
      </c>
      <c r="T107" s="59">
        <f t="shared" si="88"/>
        <v>262.00382544285367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1.651313190000635</v>
      </c>
      <c r="AB107" s="21">
        <f>EXP(-LN(2)/2)*AB106+(1-EXP(-LN(2)/2))/(LN(2)/2)*V107*Y107*VLOOKUP('Données projet'!$B$9,Paramètres!$A$1:$I$89,3,0)*0.475*44/12</f>
        <v>1.726538166536118E-10</v>
      </c>
      <c r="AC107" s="22">
        <f t="shared" si="57"/>
        <v>1.6513131901732889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195.73441209602686</v>
      </c>
      <c r="AO107" s="59">
        <f t="shared" si="90"/>
        <v>219.19129224309006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1.4347839126926343</v>
      </c>
      <c r="AV107" s="21">
        <f>EXP(-LN(2)/25)*AV106+(1-EXP(-LN(2)/25))/(LN(2)/25)*Calculateur!AQ107*Calculateur!AS107*VLOOKUP('Données projet'!$B$10,Paramètres!$A$1:$I$89,3,0)*0.475*44/12</f>
        <v>1.5846938172629581</v>
      </c>
      <c r="AW107" s="21">
        <f>EXP(-LN(2)/2)*AW106+(1-EXP(-LN(2)/2))/(LN(2)/2)*AQ107*AT107*VLOOKUP('Données projet'!$B$10,Paramètres!$A$1:$I$89,3,0)*0.475*44/12</f>
        <v>3.9622626893645581E-11</v>
      </c>
      <c r="AX107" s="21">
        <f t="shared" si="60"/>
        <v>3.0194777299952147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252.07728000000014</v>
      </c>
      <c r="BF107" s="13">
        <f t="shared" si="91"/>
        <v>61.030544652155044</v>
      </c>
      <c r="BG107" s="20">
        <f t="shared" si="61"/>
        <v>545.32946126917022</v>
      </c>
      <c r="BH107" s="59">
        <f t="shared" si="62"/>
        <v>838.66279460250348</v>
      </c>
      <c r="BI107" s="59">
        <f ca="1">AVERAGE(OFFSET($BH$3,0,0,'Données projet'!$E$11+1,1))-AVERAGE(OFFSET($H$3,0,0,'Données projet'!$E$11+1,1))</f>
        <v>269.19146943657933</v>
      </c>
      <c r="BJ107" s="59">
        <f t="shared" si="92"/>
        <v>185.94138814570965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0.39915724748446929</v>
      </c>
      <c r="BR107" s="21">
        <f>EXP(-LN(2)/2)*BR106+(1-EXP(-LN(2)/2))/(LN(2)/2)*BL107*BO107*VLOOKUP('Données projet'!$B$11,Paramètres!$A$1:$I$89,3,0)*0.475*44/12</f>
        <v>4.5033432648258366E-11</v>
      </c>
      <c r="BS107" s="22">
        <f t="shared" si="63"/>
        <v>0.39915724752950271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299.88504000000012</v>
      </c>
      <c r="CA107" s="13">
        <f t="shared" si="93"/>
        <v>71.152362906464646</v>
      </c>
      <c r="CB107" s="20">
        <f t="shared" si="64"/>
        <v>646.22347672875947</v>
      </c>
      <c r="CC107" s="59">
        <f t="shared" si="65"/>
        <v>939.55681006209284</v>
      </c>
      <c r="CD107" s="59">
        <f ca="1">AVERAGE(OFFSET($CC$3,0,0,'Données projet'!$E$12+1,1))-AVERAGE(OFFSET($H$3,0,0,'Données projet'!$E$12+1,1))</f>
        <v>335.12015893291874</v>
      </c>
      <c r="CE107" s="59">
        <f t="shared" si="94"/>
        <v>224.76596283033166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0.47485948407635159</v>
      </c>
      <c r="CM107" s="21">
        <f>EXP(-LN(2)/2)*CM106+(1-EXP(-LN(2)/2))/(LN(2)/2)*CG107*CJ107*VLOOKUP('Données projet'!$B$12,Paramètres!$A$1:$I$89,3,0)*0.475*44/12</f>
        <v>5.3574256081548838E-11</v>
      </c>
      <c r="CN107" s="22">
        <f t="shared" si="66"/>
        <v>0.47485948412992585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4.4000000000000004</v>
      </c>
      <c r="CT107" s="12">
        <f>IF('Données projet'!$A$140&gt;35,CT106+CS107-DB106,IF(A107&lt;'Données projet'!$A$140,$CQ$205^A107,IF(A107='Données projet'!$A$140,'Données projet'!$B$140,CT106+CS107-DB106)))</f>
        <v>278.60000000000014</v>
      </c>
      <c r="CU107" s="17">
        <f>CT107*VLOOKUP('Données projet'!$B$13,Paramètres!$A$1:$I$89,3,0)*VLOOKUP('Données projet'!$B$13,Paramètres!$A$1:$I$89,5,0)</f>
        <v>269.46192000000013</v>
      </c>
      <c r="CV107" s="13">
        <f t="shared" si="95"/>
        <v>64.735061876839112</v>
      </c>
      <c r="CW107" s="20">
        <f t="shared" si="67"/>
        <v>582.05974343549497</v>
      </c>
      <c r="CX107" s="59">
        <f t="shared" si="68"/>
        <v>875.39307676882822</v>
      </c>
      <c r="CY107" s="59">
        <f ca="1">AVERAGE(OFFSET($CX$3,0,0,'Données projet'!$E$13+1,1))-AVERAGE(OFFSET($H$3,0,0,'Données projet'!$E$13+1,1))</f>
        <v>293.19327646293601</v>
      </c>
      <c r="CZ107" s="59">
        <f t="shared" si="96"/>
        <v>200.0769581869605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0.42668533351788079</v>
      </c>
      <c r="DH107" s="21">
        <f>EXP(-LN(2)/2)*DH106+(1-EXP(-LN(2)/2))/(LN(2)/2)*DB107*DE107*VLOOKUP('Données projet'!$B$13,Paramètres!$A$1:$I$89,3,0)*0.475*44/12</f>
        <v>4.8139186624000313E-11</v>
      </c>
      <c r="DI107" s="22">
        <f t="shared" si="69"/>
        <v>0.42668533356601995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-2.7193891583010558E-13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246.59447135626942</v>
      </c>
      <c r="T108" s="59">
        <f t="shared" si="88"/>
        <v>262.00382544285367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1.6061579439812812</v>
      </c>
      <c r="AB108" s="21">
        <f>EXP(-LN(2)/2)*AB107+(1-EXP(-LN(2)/2))/(LN(2)/2)*V108*Y108*VLOOKUP('Données projet'!$B$9,Paramètres!$A$1:$I$89,3,0)*0.475*44/12</f>
        <v>1.2208468455350777E-10</v>
      </c>
      <c r="AC108" s="22">
        <f t="shared" si="57"/>
        <v>1.606157944103366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195.73441209602686</v>
      </c>
      <c r="AO108" s="59">
        <f t="shared" si="90"/>
        <v>219.19129224309006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1.4066486752965064</v>
      </c>
      <c r="AV108" s="21">
        <f>EXP(-LN(2)/25)*AV107+(1-EXP(-LN(2)/25))/(LN(2)/25)*Calculateur!AQ108*Calculateur!AS108*VLOOKUP('Données projet'!$B$10,Paramètres!$A$1:$I$89,3,0)*0.475*44/12</f>
        <v>1.5413602814944765</v>
      </c>
      <c r="AW108" s="21">
        <f>EXP(-LN(2)/2)*AW107+(1-EXP(-LN(2)/2))/(LN(2)/2)*AQ108*AT108*VLOOKUP('Données projet'!$B$10,Paramètres!$A$1:$I$89,3,0)*0.475*44/12</f>
        <v>2.801742816492126E-11</v>
      </c>
      <c r="AX108" s="21">
        <f t="shared" si="60"/>
        <v>2.9480089568190007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256.05840000000006</v>
      </c>
      <c r="BF108" s="13">
        <f t="shared" si="91"/>
        <v>61.881442594256484</v>
      </c>
      <c r="BG108" s="20">
        <f t="shared" si="61"/>
        <v>553.74522585166358</v>
      </c>
      <c r="BH108" s="59">
        <f t="shared" si="62"/>
        <v>847.07855918499695</v>
      </c>
      <c r="BI108" s="59">
        <f ca="1">AVERAGE(OFFSET($BH$3,0,0,'Données projet'!$E$11+1,1))-AVERAGE(OFFSET($H$3,0,0,'Données projet'!$E$11+1,1))</f>
        <v>269.19146943657933</v>
      </c>
      <c r="BJ108" s="59">
        <f t="shared" si="92"/>
        <v>185.94138814570965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0.38824227156123914</v>
      </c>
      <c r="BR108" s="21">
        <f>EXP(-LN(2)/2)*BR107+(1-EXP(-LN(2)/2))/(LN(2)/2)*BL108*BO108*VLOOKUP('Données projet'!$B$11,Paramètres!$A$1:$I$89,3,0)*0.475*44/12</f>
        <v>3.1843445605691153E-11</v>
      </c>
      <c r="BS108" s="22">
        <f t="shared" si="63"/>
        <v>0.38824227159308261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304.6212000000001</v>
      </c>
      <c r="CA108" s="13">
        <f t="shared" si="93"/>
        <v>72.144380911839463</v>
      </c>
      <c r="CB108" s="20">
        <f t="shared" si="64"/>
        <v>656.20005342145384</v>
      </c>
      <c r="CC108" s="59">
        <f t="shared" si="65"/>
        <v>949.53338675478722</v>
      </c>
      <c r="CD108" s="59">
        <f ca="1">AVERAGE(OFFSET($CC$3,0,0,'Données projet'!$E$12+1,1))-AVERAGE(OFFSET($H$3,0,0,'Données projet'!$E$12+1,1))</f>
        <v>335.12015893291874</v>
      </c>
      <c r="CE108" s="59">
        <f t="shared" si="94"/>
        <v>224.76596283033166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0.46187442651250882</v>
      </c>
      <c r="CM108" s="21">
        <f>EXP(-LN(2)/2)*CM107+(1-EXP(-LN(2)/2))/(LN(2)/2)*CG108*CJ108*VLOOKUP('Données projet'!$B$12,Paramètres!$A$1:$I$89,3,0)*0.475*44/12</f>
        <v>3.7882719772287817E-11</v>
      </c>
      <c r="CN108" s="22">
        <f t="shared" si="66"/>
        <v>0.46187442655039151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4.4000000000000004</v>
      </c>
      <c r="CT108" s="12">
        <f>IF('Données projet'!$A$140&gt;35,CT107+CS108-DB107,IF(A108&lt;'Données projet'!$A$140,$CQ$205^A108,IF(A108='Données projet'!$A$140,'Données projet'!$B$140,CT107+CS108-DB107)))</f>
        <v>283.00000000000011</v>
      </c>
      <c r="CU108" s="17">
        <f>CT108*VLOOKUP('Données projet'!$B$13,Paramètres!$A$1:$I$89,3,0)*VLOOKUP('Données projet'!$B$13,Paramètres!$A$1:$I$89,5,0)</f>
        <v>273.71760000000012</v>
      </c>
      <c r="CV108" s="13">
        <f t="shared" si="95"/>
        <v>65.637608810456669</v>
      </c>
      <c r="CW108" s="20">
        <f t="shared" si="67"/>
        <v>591.04365534487897</v>
      </c>
      <c r="CX108" s="59">
        <f t="shared" si="68"/>
        <v>884.37698867821223</v>
      </c>
      <c r="CY108" s="59">
        <f ca="1">AVERAGE(OFFSET($CX$3,0,0,'Données projet'!$E$13+1,1))-AVERAGE(OFFSET($H$3,0,0,'Données projet'!$E$13+1,1))</f>
        <v>293.19327646293601</v>
      </c>
      <c r="CZ108" s="59">
        <f t="shared" si="96"/>
        <v>200.0769581869605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0.41501760063442783</v>
      </c>
      <c r="DH108" s="21">
        <f>EXP(-LN(2)/2)*DH107+(1-EXP(-LN(2)/2))/(LN(2)/2)*DB108*DE108*VLOOKUP('Données projet'!$B$13,Paramètres!$A$1:$I$89,3,0)*0.475*44/12</f>
        <v>3.4039545302635364E-11</v>
      </c>
      <c r="DI108" s="22">
        <f t="shared" si="69"/>
        <v>0.41501760066846738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-2.7193891583010558E-13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246.59447135626942</v>
      </c>
      <c r="T109" s="59">
        <f t="shared" si="88"/>
        <v>262.00382544285367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1.5622374705389377</v>
      </c>
      <c r="AB109" s="21">
        <f>EXP(-LN(2)/2)*AB108+(1-EXP(-LN(2)/2))/(LN(2)/2)*V109*Y109*VLOOKUP('Données projet'!$B$9,Paramètres!$A$1:$I$89,3,0)*0.475*44/12</f>
        <v>8.6326908326805902E-11</v>
      </c>
      <c r="AC109" s="22">
        <f t="shared" si="57"/>
        <v>1.5622374706252646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195.73441209602686</v>
      </c>
      <c r="AO109" s="59">
        <f t="shared" si="90"/>
        <v>219.19129224309006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1.3790651527449163</v>
      </c>
      <c r="AV109" s="21">
        <f>EXP(-LN(2)/25)*AV108+(1-EXP(-LN(2)/25))/(LN(2)/25)*Calculateur!AQ109*Calculateur!AS109*VLOOKUP('Données projet'!$B$10,Paramètres!$A$1:$I$89,3,0)*0.475*44/12</f>
        <v>1.4992117035403956</v>
      </c>
      <c r="AW109" s="21">
        <f>EXP(-LN(2)/2)*AW108+(1-EXP(-LN(2)/2))/(LN(2)/2)*AQ109*AT109*VLOOKUP('Données projet'!$B$10,Paramètres!$A$1:$I$89,3,0)*0.475*44/12</f>
        <v>1.9811313446822791E-11</v>
      </c>
      <c r="AX109" s="21">
        <f t="shared" si="60"/>
        <v>2.8782768563051229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260.03952000000004</v>
      </c>
      <c r="BF109" s="13">
        <f t="shared" si="91"/>
        <v>62.730801948604871</v>
      </c>
      <c r="BG109" s="20">
        <f t="shared" si="61"/>
        <v>562.15831072715355</v>
      </c>
      <c r="BH109" s="59">
        <f t="shared" si="62"/>
        <v>855.49164406048681</v>
      </c>
      <c r="BI109" s="59">
        <f ca="1">AVERAGE(OFFSET($BH$3,0,0,'Données projet'!$E$11+1,1))-AVERAGE(OFFSET($H$3,0,0,'Données projet'!$E$11+1,1))</f>
        <v>269.19146943657933</v>
      </c>
      <c r="BJ109" s="59">
        <f t="shared" si="92"/>
        <v>185.94138814570965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0.37762576622862332</v>
      </c>
      <c r="BR109" s="21">
        <f>EXP(-LN(2)/2)*BR108+(1-EXP(-LN(2)/2))/(LN(2)/2)*BL109*BO109*VLOOKUP('Données projet'!$B$11,Paramètres!$A$1:$I$89,3,0)*0.475*44/12</f>
        <v>2.2516716324129183E-11</v>
      </c>
      <c r="BS109" s="22">
        <f t="shared" si="63"/>
        <v>0.37762576625114003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309.35736000000009</v>
      </c>
      <c r="CA109" s="13">
        <f t="shared" si="93"/>
        <v>73.134605157142232</v>
      </c>
      <c r="CB109" s="20">
        <f t="shared" si="64"/>
        <v>666.17350598202279</v>
      </c>
      <c r="CC109" s="59">
        <f t="shared" si="65"/>
        <v>959.50683931535605</v>
      </c>
      <c r="CD109" s="59">
        <f ca="1">AVERAGE(OFFSET($CC$3,0,0,'Données projet'!$E$12+1,1))-AVERAGE(OFFSET($H$3,0,0,'Données projet'!$E$12+1,1))</f>
        <v>335.12015893291874</v>
      </c>
      <c r="CE109" s="59">
        <f t="shared" si="94"/>
        <v>224.76596283033166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0.44924444603060382</v>
      </c>
      <c r="CM109" s="21">
        <f>EXP(-LN(2)/2)*CM108+(1-EXP(-LN(2)/2))/(LN(2)/2)*CG109*CJ109*VLOOKUP('Données projet'!$B$12,Paramètres!$A$1:$I$89,3,0)*0.475*44/12</f>
        <v>2.6787128040774419E-11</v>
      </c>
      <c r="CN109" s="22">
        <f t="shared" si="66"/>
        <v>0.44924444605739094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4.4000000000000004</v>
      </c>
      <c r="CT109" s="12">
        <f>IF('Données projet'!$A$140&gt;35,CT108+CS109-DB108,IF(A109&lt;'Données projet'!$A$140,$CQ$205^A109,IF(A109='Données projet'!$A$140,'Données projet'!$B$140,CT108+CS109-DB108)))</f>
        <v>287.40000000000009</v>
      </c>
      <c r="CU109" s="17">
        <f>CT109*VLOOKUP('Données projet'!$B$13,Paramètres!$A$1:$I$89,3,0)*VLOOKUP('Données projet'!$B$13,Paramètres!$A$1:$I$89,5,0)</f>
        <v>277.9732800000001</v>
      </c>
      <c r="CV109" s="13">
        <f t="shared" si="95"/>
        <v>66.538523764973192</v>
      </c>
      <c r="CW109" s="20">
        <f t="shared" si="67"/>
        <v>600.02472489066179</v>
      </c>
      <c r="CX109" s="59">
        <f t="shared" si="68"/>
        <v>893.35805822399516</v>
      </c>
      <c r="CY109" s="59">
        <f ca="1">AVERAGE(OFFSET($CX$3,0,0,'Données projet'!$E$13+1,1))-AVERAGE(OFFSET($H$3,0,0,'Données projet'!$E$13+1,1))</f>
        <v>293.19327646293601</v>
      </c>
      <c r="CZ109" s="59">
        <f t="shared" si="96"/>
        <v>200.0769581869605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0.40366892252025233</v>
      </c>
      <c r="DH109" s="21">
        <f>EXP(-LN(2)/2)*DH108+(1-EXP(-LN(2)/2))/(LN(2)/2)*DB109*DE109*VLOOKUP('Données projet'!$B$13,Paramètres!$A$1:$I$89,3,0)*0.475*44/12</f>
        <v>2.4069593312000156E-11</v>
      </c>
      <c r="DI109" s="22">
        <f t="shared" si="69"/>
        <v>0.40366892254432191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-2.7193891583010558E-13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246.59447135626942</v>
      </c>
      <c r="T110" s="59">
        <f t="shared" si="88"/>
        <v>262.00382544285367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1.5195180047525525</v>
      </c>
      <c r="AB110" s="21">
        <f>EXP(-LN(2)/2)*AB109+(1-EXP(-LN(2)/2))/(LN(2)/2)*V110*Y110*VLOOKUP('Données projet'!$B$9,Paramètres!$A$1:$I$89,3,0)*0.475*44/12</f>
        <v>6.1042342276753887E-11</v>
      </c>
      <c r="AC110" s="22">
        <f t="shared" si="57"/>
        <v>1.5195180048135948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195.73441209602686</v>
      </c>
      <c r="AO110" s="59">
        <f t="shared" si="90"/>
        <v>219.19129224309006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1.3520225262462753</v>
      </c>
      <c r="AV110" s="21">
        <f>EXP(-LN(2)/25)*AV109+(1-EXP(-LN(2)/25))/(LN(2)/25)*Calculateur!AQ110*Calculateur!AS110*VLOOKUP('Données projet'!$B$10,Paramètres!$A$1:$I$89,3,0)*0.475*44/12</f>
        <v>1.4582156806669664</v>
      </c>
      <c r="AW110" s="21">
        <f>EXP(-LN(2)/2)*AW109+(1-EXP(-LN(2)/2))/(LN(2)/2)*AQ110*AT110*VLOOKUP('Données projet'!$B$10,Paramètres!$A$1:$I$89,3,0)*0.475*44/12</f>
        <v>1.400871408246063E-11</v>
      </c>
      <c r="AX110" s="21">
        <f t="shared" si="60"/>
        <v>2.8102382069272505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264.02064000000007</v>
      </c>
      <c r="BF110" s="13">
        <f t="shared" si="91"/>
        <v>63.578648990959174</v>
      </c>
      <c r="BG110" s="20">
        <f t="shared" si="61"/>
        <v>570.56876165925394</v>
      </c>
      <c r="BH110" s="59">
        <f t="shared" si="62"/>
        <v>863.90209499258731</v>
      </c>
      <c r="BI110" s="59">
        <f ca="1">AVERAGE(OFFSET($BH$3,0,0,'Données projet'!$E$11+1,1))-AVERAGE(OFFSET($H$3,0,0,'Données projet'!$E$11+1,1))</f>
        <v>269.19146943657933</v>
      </c>
      <c r="BJ110" s="59">
        <f t="shared" si="92"/>
        <v>185.94138814570965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0.36729956979262562</v>
      </c>
      <c r="BR110" s="21">
        <f>EXP(-LN(2)/2)*BR109+(1-EXP(-LN(2)/2))/(LN(2)/2)*BL110*BO110*VLOOKUP('Données projet'!$B$11,Paramètres!$A$1:$I$89,3,0)*0.475*44/12</f>
        <v>1.5921722802845577E-11</v>
      </c>
      <c r="BS110" s="22">
        <f t="shared" si="63"/>
        <v>0.36729956980854733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314.09352000000007</v>
      </c>
      <c r="CA110" s="13">
        <f t="shared" si="93"/>
        <v>74.123066275924515</v>
      </c>
      <c r="CB110" s="20">
        <f t="shared" si="64"/>
        <v>676.14388776390194</v>
      </c>
      <c r="CC110" s="59">
        <f t="shared" si="65"/>
        <v>969.47722109723532</v>
      </c>
      <c r="CD110" s="59">
        <f ca="1">AVERAGE(OFFSET($CC$3,0,0,'Données projet'!$E$12+1,1))-AVERAGE(OFFSET($H$3,0,0,'Données projet'!$E$12+1,1))</f>
        <v>335.12015893291874</v>
      </c>
      <c r="CE110" s="59">
        <f t="shared" si="94"/>
        <v>224.76596283033166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0.43695983302915831</v>
      </c>
      <c r="CM110" s="21">
        <f>EXP(-LN(2)/2)*CM109+(1-EXP(-LN(2)/2))/(LN(2)/2)*CG110*CJ110*VLOOKUP('Données projet'!$B$12,Paramètres!$A$1:$I$89,3,0)*0.475*44/12</f>
        <v>1.8941359886143908E-11</v>
      </c>
      <c r="CN110" s="22">
        <f t="shared" si="66"/>
        <v>0.43695983304809966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4.4000000000000004</v>
      </c>
      <c r="CT110" s="12">
        <f>IF('Données projet'!$A$140&gt;35,CT109+CS110-DB109,IF(A110&lt;'Données projet'!$A$140,$CQ$205^A110,IF(A110='Données projet'!$A$140,'Données projet'!$B$140,CT109+CS110-DB109)))</f>
        <v>291.80000000000007</v>
      </c>
      <c r="CU110" s="17">
        <f>CT110*VLOOKUP('Données projet'!$B$13,Paramètres!$A$1:$I$89,3,0)*VLOOKUP('Données projet'!$B$13,Paramètres!$A$1:$I$89,5,0)</f>
        <v>282.22896000000009</v>
      </c>
      <c r="CV110" s="13">
        <f t="shared" si="95"/>
        <v>67.437834611070414</v>
      </c>
      <c r="CW110" s="20">
        <f t="shared" si="67"/>
        <v>609.00300061428106</v>
      </c>
      <c r="CX110" s="59">
        <f t="shared" si="68"/>
        <v>902.33633394761432</v>
      </c>
      <c r="CY110" s="59">
        <f ca="1">AVERAGE(OFFSET($CX$3,0,0,'Données projet'!$E$13+1,1))-AVERAGE(OFFSET($H$3,0,0,'Données projet'!$E$13+1,1))</f>
        <v>293.19327646293601</v>
      </c>
      <c r="CZ110" s="59">
        <f t="shared" si="96"/>
        <v>200.0769581869605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0.39263057460591</v>
      </c>
      <c r="DH110" s="21">
        <f>EXP(-LN(2)/2)*DH109+(1-EXP(-LN(2)/2))/(LN(2)/2)*DB110*DE110*VLOOKUP('Données projet'!$B$13,Paramètres!$A$1:$I$89,3,0)*0.475*44/12</f>
        <v>1.7019772651317682E-11</v>
      </c>
      <c r="DI110" s="22">
        <f t="shared" si="69"/>
        <v>0.39263057462292977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-2.7193891583010558E-13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246.59447135626942</v>
      </c>
      <c r="T111" s="59">
        <f t="shared" si="88"/>
        <v>262.00382544285367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1.477966705004615</v>
      </c>
      <c r="AB111" s="21">
        <f>EXP(-LN(2)/2)*AB110+(1-EXP(-LN(2)/2))/(LN(2)/2)*V111*Y111*VLOOKUP('Données projet'!$B$9,Paramètres!$A$1:$I$89,3,0)*0.475*44/12</f>
        <v>4.3163454163402951E-11</v>
      </c>
      <c r="AC111" s="22">
        <f t="shared" si="57"/>
        <v>1.4779667050477785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195.73441209602686</v>
      </c>
      <c r="AO111" s="59">
        <f t="shared" si="90"/>
        <v>219.19129224309006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1.3255101891588992</v>
      </c>
      <c r="AV111" s="21">
        <f>EXP(-LN(2)/25)*AV110+(1-EXP(-LN(2)/25))/(LN(2)/25)*Calculateur!AQ111*Calculateur!AS111*VLOOKUP('Données projet'!$B$10,Paramètres!$A$1:$I$89,3,0)*0.475*44/12</f>
        <v>1.4183406961948983</v>
      </c>
      <c r="AW111" s="21">
        <f>EXP(-LN(2)/2)*AW110+(1-EXP(-LN(2)/2))/(LN(2)/2)*AQ111*AT111*VLOOKUP('Données projet'!$B$10,Paramètres!$A$1:$I$89,3,0)*0.475*44/12</f>
        <v>9.9056567234113953E-12</v>
      </c>
      <c r="AX111" s="21">
        <f t="shared" si="60"/>
        <v>2.7438508853637034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268.00176000000005</v>
      </c>
      <c r="BF111" s="13">
        <f t="shared" si="91"/>
        <v>64.425009159185578</v>
      </c>
      <c r="BG111" s="20">
        <f t="shared" si="61"/>
        <v>578.97662295224825</v>
      </c>
      <c r="BH111" s="59">
        <f t="shared" si="62"/>
        <v>872.30995628558162</v>
      </c>
      <c r="BI111" s="59">
        <f ca="1">AVERAGE(OFFSET($BH$3,0,0,'Données projet'!$E$11+1,1))-AVERAGE(OFFSET($H$3,0,0,'Données projet'!$E$11+1,1))</f>
        <v>269.19146943657933</v>
      </c>
      <c r="BJ111" s="59">
        <f t="shared" si="92"/>
        <v>185.94138814570965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0.35725574374120139</v>
      </c>
      <c r="BR111" s="21">
        <f>EXP(-LN(2)/2)*BR110+(1-EXP(-LN(2)/2))/(LN(2)/2)*BL111*BO111*VLOOKUP('Données projet'!$B$11,Paramètres!$A$1:$I$89,3,0)*0.475*44/12</f>
        <v>1.1258358162064591E-11</v>
      </c>
      <c r="BS111" s="22">
        <f t="shared" si="63"/>
        <v>0.35725574375245978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318.82968000000005</v>
      </c>
      <c r="CA111" s="13">
        <f t="shared" si="93"/>
        <v>75.109793924882169</v>
      </c>
      <c r="CB111" s="20">
        <f t="shared" si="64"/>
        <v>686.11125041916978</v>
      </c>
      <c r="CC111" s="59">
        <f t="shared" si="65"/>
        <v>979.44458375250315</v>
      </c>
      <c r="CD111" s="59">
        <f ca="1">AVERAGE(OFFSET($CC$3,0,0,'Données projet'!$E$12+1,1))-AVERAGE(OFFSET($H$3,0,0,'Données projet'!$E$12+1,1))</f>
        <v>335.12015893291874</v>
      </c>
      <c r="CE111" s="59">
        <f t="shared" si="94"/>
        <v>224.76596283033166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0.42501114341625706</v>
      </c>
      <c r="CM111" s="21">
        <f>EXP(-LN(2)/2)*CM110+(1-EXP(-LN(2)/2))/(LN(2)/2)*CG111*CJ111*VLOOKUP('Données projet'!$B$12,Paramètres!$A$1:$I$89,3,0)*0.475*44/12</f>
        <v>1.339356402038721E-11</v>
      </c>
      <c r="CN111" s="22">
        <f t="shared" si="66"/>
        <v>0.42501114342965063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4.4000000000000004</v>
      </c>
      <c r="CT111" s="12">
        <f>IF('Données projet'!$A$140&gt;35,CT110+CS111-DB110,IF(A111&lt;'Données projet'!$A$140,$CQ$205^A111,IF(A111='Données projet'!$A$140,'Données projet'!$B$140,CT110+CS111-DB110)))</f>
        <v>296.20000000000005</v>
      </c>
      <c r="CU111" s="17">
        <f>CT111*VLOOKUP('Données projet'!$B$13,Paramètres!$A$1:$I$89,3,0)*VLOOKUP('Données projet'!$B$13,Paramètres!$A$1:$I$89,5,0)</f>
        <v>286.48464000000007</v>
      </c>
      <c r="CV111" s="13">
        <f t="shared" si="95"/>
        <v>68.33556833067756</v>
      </c>
      <c r="CW111" s="20">
        <f t="shared" si="67"/>
        <v>617.97852950926347</v>
      </c>
      <c r="CX111" s="59">
        <f t="shared" si="68"/>
        <v>911.31186284259684</v>
      </c>
      <c r="CY111" s="59">
        <f ca="1">AVERAGE(OFFSET($CX$3,0,0,'Données projet'!$E$13+1,1))-AVERAGE(OFFSET($H$3,0,0,'Données projet'!$E$13+1,1))</f>
        <v>293.19327646293601</v>
      </c>
      <c r="CZ111" s="59">
        <f t="shared" si="96"/>
        <v>200.0769581869605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0.38189407089576682</v>
      </c>
      <c r="DH111" s="21">
        <f>EXP(-LN(2)/2)*DH110+(1-EXP(-LN(2)/2))/(LN(2)/2)*DB111*DE111*VLOOKUP('Données projet'!$B$13,Paramètres!$A$1:$I$89,3,0)*0.475*44/12</f>
        <v>1.2034796656000078E-11</v>
      </c>
      <c r="DI111" s="22">
        <f t="shared" si="69"/>
        <v>0.38189407090780164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-2.7193891583010558E-13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246.59447135626942</v>
      </c>
      <c r="T112" s="59">
        <f t="shared" si="88"/>
        <v>262.00382544285367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1.4375516277333726</v>
      </c>
      <c r="AB112" s="21">
        <f>EXP(-LN(2)/2)*AB111+(1-EXP(-LN(2)/2))/(LN(2)/2)*V112*Y112*VLOOKUP('Données projet'!$B$9,Paramètres!$A$1:$I$89,3,0)*0.475*44/12</f>
        <v>3.0521171138376943E-11</v>
      </c>
      <c r="AC112" s="22">
        <f t="shared" si="57"/>
        <v>1.4375516277638938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195.73441209602686</v>
      </c>
      <c r="AO112" s="59">
        <f t="shared" si="90"/>
        <v>219.19129224309006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1.2995177428308777</v>
      </c>
      <c r="AV112" s="21">
        <f>EXP(-LN(2)/25)*AV111+(1-EXP(-LN(2)/25))/(LN(2)/25)*Calculateur!AQ112*Calculateur!AS112*VLOOKUP('Données projet'!$B$10,Paramètres!$A$1:$I$89,3,0)*0.475*44/12</f>
        <v>1.3795560952701533</v>
      </c>
      <c r="AW112" s="21">
        <f>EXP(-LN(2)/2)*AW111+(1-EXP(-LN(2)/2))/(LN(2)/2)*AQ112*AT112*VLOOKUP('Données projet'!$B$10,Paramètres!$A$1:$I$89,3,0)*0.475*44/12</f>
        <v>7.0043570412303149E-12</v>
      </c>
      <c r="AX112" s="21">
        <f t="shared" si="60"/>
        <v>2.6790738381080352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271.98288000000002</v>
      </c>
      <c r="BF112" s="13">
        <f t="shared" si="91"/>
        <v>65.269907092018755</v>
      </c>
      <c r="BG112" s="20">
        <f t="shared" si="61"/>
        <v>587.38193751859933</v>
      </c>
      <c r="BH112" s="59">
        <f t="shared" si="62"/>
        <v>880.7152708519327</v>
      </c>
      <c r="BI112" s="59">
        <f ca="1">AVERAGE(OFFSET($BH$3,0,0,'Données projet'!$E$11+1,1))-AVERAGE(OFFSET($H$3,0,0,'Données projet'!$E$11+1,1))</f>
        <v>269.19146943657933</v>
      </c>
      <c r="BJ112" s="59">
        <f t="shared" si="92"/>
        <v>185.94138814570965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0.3474865666413352</v>
      </c>
      <c r="BR112" s="21">
        <f>EXP(-LN(2)/2)*BR111+(1-EXP(-LN(2)/2))/(LN(2)/2)*BL112*BO112*VLOOKUP('Données projet'!$B$11,Paramètres!$A$1:$I$89,3,0)*0.475*44/12</f>
        <v>7.9608614014227883E-12</v>
      </c>
      <c r="BS112" s="22">
        <f t="shared" si="63"/>
        <v>0.34748656664929606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323.56583999999998</v>
      </c>
      <c r="CA112" s="13">
        <f t="shared" si="93"/>
        <v>76.09481682904439</v>
      </c>
      <c r="CB112" s="20">
        <f t="shared" si="64"/>
        <v>696.07564397725218</v>
      </c>
      <c r="CC112" s="59">
        <f t="shared" si="65"/>
        <v>989.40897731058544</v>
      </c>
      <c r="CD112" s="59">
        <f ca="1">AVERAGE(OFFSET($CC$3,0,0,'Données projet'!$E$12+1,1))-AVERAGE(OFFSET($H$3,0,0,'Données projet'!$E$12+1,1))</f>
        <v>335.12015893291874</v>
      </c>
      <c r="CE112" s="59">
        <f t="shared" si="94"/>
        <v>224.76596283033166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0.41338919134917484</v>
      </c>
      <c r="CM112" s="21">
        <f>EXP(-LN(2)/2)*CM111+(1-EXP(-LN(2)/2))/(LN(2)/2)*CG112*CJ112*VLOOKUP('Données projet'!$B$12,Paramètres!$A$1:$I$89,3,0)*0.475*44/12</f>
        <v>9.4706799430719542E-12</v>
      </c>
      <c r="CN112" s="22">
        <f t="shared" si="66"/>
        <v>0.41338919135864555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4.4000000000000004</v>
      </c>
      <c r="CT112" s="12">
        <f>IF('Données projet'!$A$140&gt;35,CT111+CS112-DB111,IF(A112&lt;'Données projet'!$A$140,$CQ$205^A112,IF(A112='Données projet'!$A$140,'Données projet'!$B$140,CT111+CS112-DB111)))</f>
        <v>300.60000000000002</v>
      </c>
      <c r="CU112" s="17">
        <f>CT112*VLOOKUP('Données projet'!$B$13,Paramètres!$A$1:$I$89,3,0)*VLOOKUP('Données projet'!$B$13,Paramètres!$A$1:$I$89,5,0)</f>
        <v>290.74032000000005</v>
      </c>
      <c r="CV112" s="13">
        <f t="shared" si="95"/>
        <v>69.231751058085564</v>
      </c>
      <c r="CW112" s="20">
        <f t="shared" si="67"/>
        <v>626.95135709283238</v>
      </c>
      <c r="CX112" s="59">
        <f t="shared" si="68"/>
        <v>920.28469042616575</v>
      </c>
      <c r="CY112" s="59">
        <f ca="1">AVERAGE(OFFSET($CX$3,0,0,'Données projet'!$E$13+1,1))-AVERAGE(OFFSET($H$3,0,0,'Données projet'!$E$13+1,1))</f>
        <v>293.19327646293601</v>
      </c>
      <c r="CZ112" s="59">
        <f t="shared" si="96"/>
        <v>200.0769581869605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0.37145115744418572</v>
      </c>
      <c r="DH112" s="21">
        <f>EXP(-LN(2)/2)*DH111+(1-EXP(-LN(2)/2))/(LN(2)/2)*DB112*DE112*VLOOKUP('Données projet'!$B$13,Paramètres!$A$1:$I$89,3,0)*0.475*44/12</f>
        <v>8.509886325658841E-12</v>
      </c>
      <c r="DI112" s="22">
        <f t="shared" si="69"/>
        <v>0.37145115745269558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-2.7193891583010558E-13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246.59447135626942</v>
      </c>
      <c r="T113" s="59">
        <f t="shared" si="88"/>
        <v>262.00382544285367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1.398241702875449</v>
      </c>
      <c r="AB113" s="21">
        <f>EXP(-LN(2)/2)*AB112+(1-EXP(-LN(2)/2))/(LN(2)/2)*V113*Y113*VLOOKUP('Données projet'!$B$9,Paramètres!$A$1:$I$89,3,0)*0.475*44/12</f>
        <v>2.1581727081701476E-11</v>
      </c>
      <c r="AC113" s="22">
        <f t="shared" si="57"/>
        <v>1.3982417028970306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195.73441209602686</v>
      </c>
      <c r="AO113" s="59">
        <f t="shared" si="90"/>
        <v>219.19129224309006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1.274034992521522</v>
      </c>
      <c r="AV113" s="21">
        <f>EXP(-LN(2)/25)*AV112+(1-EXP(-LN(2)/25))/(LN(2)/25)*Calculateur!AQ113*Calculateur!AS113*VLOOKUP('Données projet'!$B$10,Paramètres!$A$1:$I$89,3,0)*0.475*44/12</f>
        <v>1.3418320612972889</v>
      </c>
      <c r="AW113" s="21">
        <f>EXP(-LN(2)/2)*AW112+(1-EXP(-LN(2)/2))/(LN(2)/2)*AQ113*AT113*VLOOKUP('Données projet'!$B$10,Paramètres!$A$1:$I$89,3,0)*0.475*44/12</f>
        <v>4.9528283617056977E-12</v>
      </c>
      <c r="AX113" s="21">
        <f t="shared" si="60"/>
        <v>2.6158670538237638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275.964</v>
      </c>
      <c r="BF113" s="13">
        <f t="shared" si="91"/>
        <v>66.113366665488911</v>
      </c>
      <c r="BG113" s="20">
        <f t="shared" si="61"/>
        <v>595.7847469423931</v>
      </c>
      <c r="BH113" s="59">
        <f t="shared" si="62"/>
        <v>889.11808027572647</v>
      </c>
      <c r="BI113" s="59">
        <f ca="1">AVERAGE(OFFSET($BH$3,0,0,'Données projet'!$E$11+1,1))-AVERAGE(OFFSET($H$3,0,0,'Données projet'!$E$11+1,1))</f>
        <v>269.19146943657933</v>
      </c>
      <c r="BJ113" s="59">
        <f t="shared" si="92"/>
        <v>185.94138814570965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0.33798452820300356</v>
      </c>
      <c r="BR113" s="21">
        <f>EXP(-LN(2)/2)*BR112+(1-EXP(-LN(2)/2))/(LN(2)/2)*BL113*BO113*VLOOKUP('Données projet'!$B$11,Paramètres!$A$1:$I$89,3,0)*0.475*44/12</f>
        <v>5.6291790810322957E-12</v>
      </c>
      <c r="BS113" s="22">
        <f t="shared" si="63"/>
        <v>0.33798452820863273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328.30200000000002</v>
      </c>
      <c r="CA113" s="13">
        <f t="shared" si="93"/>
        <v>77.078162824242838</v>
      </c>
      <c r="CB113" s="20">
        <f t="shared" si="64"/>
        <v>706.03711691888964</v>
      </c>
      <c r="CC113" s="59">
        <f t="shared" si="65"/>
        <v>999.37045025222301</v>
      </c>
      <c r="CD113" s="59">
        <f ca="1">AVERAGE(OFFSET($CC$3,0,0,'Données projet'!$E$12+1,1))-AVERAGE(OFFSET($H$3,0,0,'Données projet'!$E$12+1,1))</f>
        <v>335.12015893291874</v>
      </c>
      <c r="CE113" s="59">
        <f t="shared" si="94"/>
        <v>224.76596283033166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0.40208504217253888</v>
      </c>
      <c r="CM113" s="21">
        <f>EXP(-LN(2)/2)*CM112+(1-EXP(-LN(2)/2))/(LN(2)/2)*CG113*CJ113*VLOOKUP('Données projet'!$B$12,Paramètres!$A$1:$I$89,3,0)*0.475*44/12</f>
        <v>6.6967820101936048E-12</v>
      </c>
      <c r="CN113" s="22">
        <f t="shared" si="66"/>
        <v>0.40208504217923569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305</v>
      </c>
      <c r="CR113" s="12">
        <f>VLOOKUP(A113,'Données projet'!$A$139:$I$159,9,0)</f>
        <v>4.4000000000000004</v>
      </c>
      <c r="CS113" s="12">
        <f t="array" ref="CS113">INDEX(CR:CR,MIN(IF(ISNUMBER(CR113:CR309),ROW(CR113:CR309),"")))</f>
        <v>4.4000000000000004</v>
      </c>
      <c r="CT113" s="12">
        <f>IF('Données projet'!$A$140&gt;35,CT112+CS113-DB112,IF(A113&lt;'Données projet'!$A$140,$CQ$205^A113,IF(A113='Données projet'!$A$140,'Données projet'!$B$140,CT112+CS113-DB112)))</f>
        <v>305</v>
      </c>
      <c r="CU113" s="17">
        <f>CT113*VLOOKUP('Données projet'!$B$13,Paramètres!$A$1:$I$89,3,0)*VLOOKUP('Données projet'!$B$13,Paramètres!$A$1:$I$89,5,0)</f>
        <v>294.99599999999998</v>
      </c>
      <c r="CV113" s="13">
        <f t="shared" si="95"/>
        <v>70.126408118585388</v>
      </c>
      <c r="CW113" s="20">
        <f t="shared" si="67"/>
        <v>635.9215274732029</v>
      </c>
      <c r="CX113" s="59">
        <f t="shared" si="68"/>
        <v>929.25486080653627</v>
      </c>
      <c r="CY113" s="59">
        <f ca="1">AVERAGE(OFFSET($CX$3,0,0,'Données projet'!$E$13+1,1))-AVERAGE(OFFSET($H$3,0,0,'Données projet'!$E$13+1,1))</f>
        <v>293.19327646293601</v>
      </c>
      <c r="CZ113" s="59">
        <f t="shared" si="96"/>
        <v>200.0769581869605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39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0.36129380601010708</v>
      </c>
      <c r="DH113" s="21">
        <f>EXP(-LN(2)/2)*DH112+(1-EXP(-LN(2)/2))/(LN(2)/2)*DB113*DE113*VLOOKUP('Données projet'!$B$13,Paramètres!$A$1:$I$89,3,0)*0.475*44/12</f>
        <v>6.0173983280000391E-12</v>
      </c>
      <c r="DI113" s="22">
        <f t="shared" si="69"/>
        <v>0.36129380601612449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-2.7193891583010558E-13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246.59447135626942</v>
      </c>
      <c r="T114" s="59">
        <f t="shared" si="88"/>
        <v>262.00382544285367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1.3600067099799844</v>
      </c>
      <c r="AB114" s="21">
        <f>EXP(-LN(2)/2)*AB113+(1-EXP(-LN(2)/2))/(LN(2)/2)*V114*Y114*VLOOKUP('Données projet'!$B$9,Paramètres!$A$1:$I$89,3,0)*0.475*44/12</f>
        <v>1.5260585569188472E-11</v>
      </c>
      <c r="AC114" s="22">
        <f t="shared" si="57"/>
        <v>1.3600067099952451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195.73441209602686</v>
      </c>
      <c r="AO114" s="59">
        <f t="shared" si="90"/>
        <v>219.19129224309006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1.2490519434027896</v>
      </c>
      <c r="AV114" s="21">
        <f>EXP(-LN(2)/25)*AV113+(1-EXP(-LN(2)/25))/(LN(2)/25)*Calculateur!AQ114*Calculateur!AS114*VLOOKUP('Données projet'!$B$10,Paramètres!$A$1:$I$89,3,0)*0.475*44/12</f>
        <v>1.3051395930172334</v>
      </c>
      <c r="AW114" s="21">
        <f>EXP(-LN(2)/2)*AW113+(1-EXP(-LN(2)/2))/(LN(2)/2)*AQ114*AT114*VLOOKUP('Données projet'!$B$10,Paramètres!$A$1:$I$89,3,0)*0.475*44/12</f>
        <v>3.5021785206151575E-12</v>
      </c>
      <c r="AX114" s="21">
        <f t="shared" si="60"/>
        <v>2.554191536423525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244.02455999999998</v>
      </c>
      <c r="BF114" s="13">
        <f t="shared" si="91"/>
        <v>59.304594314969279</v>
      </c>
      <c r="BG114" s="20">
        <f t="shared" si="61"/>
        <v>528.29827709857148</v>
      </c>
      <c r="BH114" s="59">
        <f t="shared" si="62"/>
        <v>821.63161043190485</v>
      </c>
      <c r="BI114" s="59">
        <f ca="1">AVERAGE(OFFSET($BH$3,0,0,'Données projet'!$E$11+1,1))-AVERAGE(OFFSET($H$3,0,0,'Données projet'!$E$11+1,1))</f>
        <v>269.19146943657933</v>
      </c>
      <c r="BJ114" s="59">
        <f t="shared" si="92"/>
        <v>185.94138814570965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0.32874232350545857</v>
      </c>
      <c r="BR114" s="21">
        <f>EXP(-LN(2)/2)*BR113+(1-EXP(-LN(2)/2))/(LN(2)/2)*BL114*BO114*VLOOKUP('Données projet'!$B$11,Paramètres!$A$1:$I$89,3,0)*0.475*44/12</f>
        <v>3.9804307007113941E-12</v>
      </c>
      <c r="BS114" s="22">
        <f t="shared" si="63"/>
        <v>0.32874232350943899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290.30507999999998</v>
      </c>
      <c r="CA114" s="13">
        <f t="shared" si="93"/>
        <v>69.140166465323489</v>
      </c>
      <c r="CB114" s="20">
        <f t="shared" si="64"/>
        <v>626.03380426043839</v>
      </c>
      <c r="CC114" s="59">
        <f t="shared" si="65"/>
        <v>919.36713759377176</v>
      </c>
      <c r="CD114" s="59">
        <f ca="1">AVERAGE(OFFSET($CC$3,0,0,'Données projet'!$E$12+1,1))-AVERAGE(OFFSET($H$3,0,0,'Données projet'!$E$12+1,1))</f>
        <v>335.12015893291874</v>
      </c>
      <c r="CE114" s="59">
        <f t="shared" si="94"/>
        <v>224.76596283033166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0.39109000554959739</v>
      </c>
      <c r="CM114" s="21">
        <f>EXP(-LN(2)/2)*CM113+(1-EXP(-LN(2)/2))/(LN(2)/2)*CG114*CJ114*VLOOKUP('Données projet'!$B$12,Paramètres!$A$1:$I$89,3,0)*0.475*44/12</f>
        <v>4.7353399715359771E-12</v>
      </c>
      <c r="CN114" s="22">
        <f t="shared" si="66"/>
        <v>0.39109000555433271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3.7</v>
      </c>
      <c r="CT114" s="12">
        <f>IF('Données projet'!$A$140&gt;35,CT113+CS114-DB113,IF(A114&lt;'Données projet'!$A$140,$CQ$205^A114,IF(A114='Données projet'!$A$140,'Données projet'!$B$140,CT113+CS114-DB113)))</f>
        <v>269.7</v>
      </c>
      <c r="CU114" s="17">
        <f>CT114*VLOOKUP('Données projet'!$B$13,Paramètres!$A$1:$I$89,3,0)*VLOOKUP('Données projet'!$B$13,Paramètres!$A$1:$I$89,5,0)</f>
        <v>260.85383999999999</v>
      </c>
      <c r="CV114" s="13">
        <f t="shared" si="95"/>
        <v>62.904347395903763</v>
      </c>
      <c r="CW114" s="20">
        <f t="shared" si="67"/>
        <v>563.87884304786564</v>
      </c>
      <c r="CX114" s="59">
        <f t="shared" si="68"/>
        <v>857.21217638119901</v>
      </c>
      <c r="CY114" s="59">
        <f ca="1">AVERAGE(OFFSET($CX$3,0,0,'Données projet'!$E$13+1,1))-AVERAGE(OFFSET($H$3,0,0,'Données projet'!$E$13+1,1))</f>
        <v>293.19327646293601</v>
      </c>
      <c r="CZ114" s="59">
        <f t="shared" si="96"/>
        <v>200.0769581869605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0.35141420788514521</v>
      </c>
      <c r="DH114" s="21">
        <f>EXP(-LN(2)/2)*DH113+(1-EXP(-LN(2)/2))/(LN(2)/2)*DB114*DE114*VLOOKUP('Données projet'!$B$13,Paramètres!$A$1:$I$89,3,0)*0.475*44/12</f>
        <v>4.2549431628294205E-12</v>
      </c>
      <c r="DI114" s="22">
        <f t="shared" si="69"/>
        <v>0.35141420788940014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-2.7193891583010558E-13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246.59447135626942</v>
      </c>
      <c r="T115" s="59">
        <f t="shared" si="88"/>
        <v>262.00382544285367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1.3228172549759372</v>
      </c>
      <c r="AB115" s="21">
        <f>EXP(-LN(2)/2)*AB114+(1-EXP(-LN(2)/2))/(LN(2)/2)*V115*Y115*VLOOKUP('Données projet'!$B$9,Paramètres!$A$1:$I$89,3,0)*0.475*44/12</f>
        <v>1.0790863540850738E-11</v>
      </c>
      <c r="AC115" s="22">
        <f t="shared" si="57"/>
        <v>1.3228172549867281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195.73441209602686</v>
      </c>
      <c r="AO115" s="59">
        <f t="shared" si="90"/>
        <v>219.19129224309006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1.2245587966391203</v>
      </c>
      <c r="AV115" s="21">
        <f>EXP(-LN(2)/25)*AV114+(1-EXP(-LN(2)/25))/(LN(2)/25)*Calculateur!AQ115*Calculateur!AS115*VLOOKUP('Données projet'!$B$10,Paramètres!$A$1:$I$89,3,0)*0.475*44/12</f>
        <v>1.2694504822118688</v>
      </c>
      <c r="AW115" s="21">
        <f>EXP(-LN(2)/2)*AW114+(1-EXP(-LN(2)/2))/(LN(2)/2)*AQ115*AT115*VLOOKUP('Données projet'!$B$10,Paramètres!$A$1:$I$89,3,0)*0.475*44/12</f>
        <v>2.4764141808528488E-12</v>
      </c>
      <c r="AX115" s="21">
        <f t="shared" si="60"/>
        <v>2.4940092788534654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247.37231999999997</v>
      </c>
      <c r="BF115" s="13">
        <f t="shared" si="91"/>
        <v>60.022917171131049</v>
      </c>
      <c r="BG115" s="20">
        <f t="shared" si="61"/>
        <v>535.38003807305324</v>
      </c>
      <c r="BH115" s="59">
        <f t="shared" si="62"/>
        <v>828.71337140638661</v>
      </c>
      <c r="BI115" s="59">
        <f ca="1">AVERAGE(OFFSET($BH$3,0,0,'Données projet'!$E$11+1,1))-AVERAGE(OFFSET($H$3,0,0,'Données projet'!$E$11+1,1))</f>
        <v>269.19146943657933</v>
      </c>
      <c r="BJ115" s="59">
        <f t="shared" si="92"/>
        <v>185.94138814570965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0.31975284738139437</v>
      </c>
      <c r="BR115" s="21">
        <f>EXP(-LN(2)/2)*BR114+(1-EXP(-LN(2)/2))/(LN(2)/2)*BL115*BO115*VLOOKUP('Données projet'!$B$11,Paramètres!$A$1:$I$89,3,0)*0.475*44/12</f>
        <v>2.8145895405161479E-12</v>
      </c>
      <c r="BS115" s="22">
        <f t="shared" si="63"/>
        <v>0.31975284738420895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294.28775999999993</v>
      </c>
      <c r="CA115" s="13">
        <f t="shared" si="93"/>
        <v>69.977622018717796</v>
      </c>
      <c r="CB115" s="20">
        <f t="shared" si="64"/>
        <v>634.42887368260006</v>
      </c>
      <c r="CC115" s="59">
        <f t="shared" si="65"/>
        <v>927.76220701593343</v>
      </c>
      <c r="CD115" s="59">
        <f ca="1">AVERAGE(OFFSET($CC$3,0,0,'Données projet'!$E$12+1,1))-AVERAGE(OFFSET($H$3,0,0,'Données projet'!$E$12+1,1))</f>
        <v>335.12015893291874</v>
      </c>
      <c r="CE115" s="59">
        <f t="shared" si="94"/>
        <v>224.76596283033166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0.38039562878131411</v>
      </c>
      <c r="CM115" s="21">
        <f>EXP(-LN(2)/2)*CM114+(1-EXP(-LN(2)/2))/(LN(2)/2)*CG115*CJ115*VLOOKUP('Données projet'!$B$12,Paramètres!$A$1:$I$89,3,0)*0.475*44/12</f>
        <v>3.3483910050968024E-12</v>
      </c>
      <c r="CN115" s="22">
        <f t="shared" si="66"/>
        <v>0.38039562878466249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3.7</v>
      </c>
      <c r="CT115" s="12">
        <f>IF('Données projet'!$A$140&gt;35,CT114+CS115-DB114,IF(A115&lt;'Données projet'!$A$140,$CQ$205^A115,IF(A115='Données projet'!$A$140,'Données projet'!$B$140,CT114+CS115-DB114)))</f>
        <v>273.39999999999998</v>
      </c>
      <c r="CU115" s="17">
        <f>CT115*VLOOKUP('Données projet'!$B$13,Paramètres!$A$1:$I$89,3,0)*VLOOKUP('Données projet'!$B$13,Paramètres!$A$1:$I$89,5,0)</f>
        <v>264.43248</v>
      </c>
      <c r="CV115" s="13">
        <f t="shared" si="95"/>
        <v>63.666272015882349</v>
      </c>
      <c r="CW115" s="20">
        <f t="shared" si="67"/>
        <v>571.43865976099494</v>
      </c>
      <c r="CX115" s="59">
        <f t="shared" si="68"/>
        <v>864.77199309432831</v>
      </c>
      <c r="CY115" s="59">
        <f ca="1">AVERAGE(OFFSET($CX$3,0,0,'Données projet'!$E$13+1,1))-AVERAGE(OFFSET($H$3,0,0,'Données projet'!$E$13+1,1))</f>
        <v>293.19327646293601</v>
      </c>
      <c r="CZ115" s="59">
        <f t="shared" si="96"/>
        <v>200.0769581869605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0.34180476789045589</v>
      </c>
      <c r="DH115" s="21">
        <f>EXP(-LN(2)/2)*DH114+(1-EXP(-LN(2)/2))/(LN(2)/2)*DB115*DE115*VLOOKUP('Données projet'!$B$13,Paramètres!$A$1:$I$89,3,0)*0.475*44/12</f>
        <v>3.0086991640000196E-12</v>
      </c>
      <c r="DI115" s="22">
        <f t="shared" si="69"/>
        <v>0.34180476789346459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-2.7193891583010558E-13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246.59447135626942</v>
      </c>
      <c r="T116" s="59">
        <f t="shared" si="88"/>
        <v>262.00382544285367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1.2866447475746841</v>
      </c>
      <c r="AB116" s="21">
        <f>EXP(-LN(2)/2)*AB115+(1-EXP(-LN(2)/2))/(LN(2)/2)*V116*Y116*VLOOKUP('Données projet'!$B$9,Paramètres!$A$1:$I$89,3,0)*0.475*44/12</f>
        <v>7.6302927845942359E-12</v>
      </c>
      <c r="AC116" s="22">
        <f t="shared" si="57"/>
        <v>1.2866447475823144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195.73441209602686</v>
      </c>
      <c r="AO116" s="59">
        <f t="shared" si="90"/>
        <v>219.19129224309006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1.2005459455441421</v>
      </c>
      <c r="AV116" s="21">
        <f>EXP(-LN(2)/25)*AV115+(1-EXP(-LN(2)/25))/(LN(2)/25)*Calculateur!AQ116*Calculateur!AS116*VLOOKUP('Données projet'!$B$10,Paramètres!$A$1:$I$89,3,0)*0.475*44/12</f>
        <v>1.2347372920182857</v>
      </c>
      <c r="AW116" s="21">
        <f>EXP(-LN(2)/2)*AW115+(1-EXP(-LN(2)/2))/(LN(2)/2)*AQ116*AT116*VLOOKUP('Données projet'!$B$10,Paramètres!$A$1:$I$89,3,0)*0.475*44/12</f>
        <v>1.7510892603075787E-12</v>
      </c>
      <c r="AX116" s="21">
        <f t="shared" si="60"/>
        <v>2.4352832375641786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250.72007999999994</v>
      </c>
      <c r="BF116" s="13">
        <f t="shared" si="91"/>
        <v>60.740109326032758</v>
      </c>
      <c r="BG116" s="20">
        <f t="shared" si="61"/>
        <v>542.45982974284027</v>
      </c>
      <c r="BH116" s="59">
        <f t="shared" si="62"/>
        <v>835.79316307617364</v>
      </c>
      <c r="BI116" s="59">
        <f ca="1">AVERAGE(OFFSET($BH$3,0,0,'Données projet'!$E$11+1,1))-AVERAGE(OFFSET($H$3,0,0,'Données projet'!$E$11+1,1))</f>
        <v>269.19146943657933</v>
      </c>
      <c r="BJ116" s="59">
        <f t="shared" si="92"/>
        <v>185.94138814570965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0.31100918895467872</v>
      </c>
      <c r="BR116" s="21">
        <f>EXP(-LN(2)/2)*BR115+(1-EXP(-LN(2)/2))/(LN(2)/2)*BL116*BO116*VLOOKUP('Données projet'!$B$11,Paramètres!$A$1:$I$89,3,0)*0.475*44/12</f>
        <v>1.9902153503556971E-12</v>
      </c>
      <c r="BS116" s="22">
        <f t="shared" si="63"/>
        <v>0.31100918895666896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298.27043999999995</v>
      </c>
      <c r="CA116" s="13">
        <f t="shared" si="93"/>
        <v>70.813759345855971</v>
      </c>
      <c r="CB116" s="20">
        <f t="shared" si="64"/>
        <v>642.82164719403238</v>
      </c>
      <c r="CC116" s="59">
        <f t="shared" si="65"/>
        <v>936.15498052736575</v>
      </c>
      <c r="CD116" s="59">
        <f ca="1">AVERAGE(OFFSET($CC$3,0,0,'Données projet'!$E$12+1,1))-AVERAGE(OFFSET($H$3,0,0,'Données projet'!$E$12+1,1))</f>
        <v>335.12015893291874</v>
      </c>
      <c r="CE116" s="59">
        <f t="shared" si="94"/>
        <v>224.76596283033166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0.36999369030815238</v>
      </c>
      <c r="CM116" s="21">
        <f>EXP(-LN(2)/2)*CM115+(1-EXP(-LN(2)/2))/(LN(2)/2)*CG116*CJ116*VLOOKUP('Données projet'!$B$12,Paramètres!$A$1:$I$89,3,0)*0.475*44/12</f>
        <v>2.3676699857679885E-12</v>
      </c>
      <c r="CN116" s="22">
        <f t="shared" si="66"/>
        <v>0.36999369031052004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3.7</v>
      </c>
      <c r="CT116" s="12">
        <f>IF('Données projet'!$A$140&gt;35,CT115+CS116-DB115,IF(A116&lt;'Données projet'!$A$140,$CQ$205^A116,IF(A116='Données projet'!$A$140,'Données projet'!$B$140,CT115+CS116-DB115)))</f>
        <v>277.09999999999997</v>
      </c>
      <c r="CU116" s="17">
        <f>CT116*VLOOKUP('Données projet'!$B$13,Paramètres!$A$1:$I$89,3,0)*VLOOKUP('Données projet'!$B$13,Paramètres!$A$1:$I$89,5,0)</f>
        <v>268.01111999999995</v>
      </c>
      <c r="CV116" s="13">
        <f t="shared" si="95"/>
        <v>64.426997301716909</v>
      </c>
      <c r="CW116" s="20">
        <f t="shared" si="67"/>
        <v>578.99638763382347</v>
      </c>
      <c r="CX116" s="59">
        <f t="shared" si="68"/>
        <v>872.32972096715685</v>
      </c>
      <c r="CY116" s="59">
        <f ca="1">AVERAGE(OFFSET($CX$3,0,0,'Données projet'!$E$13+1,1))-AVERAGE(OFFSET($H$3,0,0,'Données projet'!$E$13+1,1))</f>
        <v>293.19327646293601</v>
      </c>
      <c r="CZ116" s="59">
        <f t="shared" si="96"/>
        <v>200.0769581869605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0.33245809853775982</v>
      </c>
      <c r="DH116" s="21">
        <f>EXP(-LN(2)/2)*DH115+(1-EXP(-LN(2)/2))/(LN(2)/2)*DB116*DE116*VLOOKUP('Données projet'!$B$13,Paramètres!$A$1:$I$89,3,0)*0.475*44/12</f>
        <v>2.1274715814147102E-12</v>
      </c>
      <c r="DI116" s="22">
        <f t="shared" si="69"/>
        <v>0.33245809853988728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-2.7193891583010558E-13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246.59447135626942</v>
      </c>
      <c r="T117" s="59">
        <f t="shared" si="88"/>
        <v>262.00382544285367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1.2514613792905478</v>
      </c>
      <c r="AB117" s="21">
        <f>EXP(-LN(2)/2)*AB116+(1-EXP(-LN(2)/2))/(LN(2)/2)*V117*Y117*VLOOKUP('Données projet'!$B$9,Paramètres!$A$1:$I$89,3,0)*0.475*44/12</f>
        <v>5.3954317704253689E-12</v>
      </c>
      <c r="AC117" s="22">
        <f t="shared" si="57"/>
        <v>1.2514613792959433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195.73441209602686</v>
      </c>
      <c r="AO117" s="59">
        <f t="shared" si="90"/>
        <v>219.19129224309006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1.1770039718127434</v>
      </c>
      <c r="AV117" s="21">
        <f>EXP(-LN(2)/25)*AV116+(1-EXP(-LN(2)/25))/(LN(2)/25)*Calculateur!AQ117*Calculateur!AS117*VLOOKUP('Données projet'!$B$10,Paramètres!$A$1:$I$89,3,0)*0.475*44/12</f>
        <v>1.2009733358360335</v>
      </c>
      <c r="AW117" s="21">
        <f>EXP(-LN(2)/2)*AW116+(1-EXP(-LN(2)/2))/(LN(2)/2)*AQ117*AT117*VLOOKUP('Données projet'!$B$10,Paramètres!$A$1:$I$89,3,0)*0.475*44/12</f>
        <v>1.2382070904264244E-12</v>
      </c>
      <c r="AX117" s="21">
        <f t="shared" si="60"/>
        <v>2.3779773076500152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254.06783999999996</v>
      </c>
      <c r="BF117" s="13">
        <f t="shared" si="91"/>
        <v>61.456187622750718</v>
      </c>
      <c r="BG117" s="20">
        <f t="shared" si="61"/>
        <v>549.53768144295748</v>
      </c>
      <c r="BH117" s="59">
        <f t="shared" si="62"/>
        <v>842.87101477629085</v>
      </c>
      <c r="BI117" s="59">
        <f ca="1">AVERAGE(OFFSET($BH$3,0,0,'Données projet'!$E$11+1,1))-AVERAGE(OFFSET($H$3,0,0,'Données projet'!$E$11+1,1))</f>
        <v>269.19146943657933</v>
      </c>
      <c r="BJ117" s="59">
        <f t="shared" si="92"/>
        <v>185.94138814570965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0.30250462632745062</v>
      </c>
      <c r="BR117" s="21">
        <f>EXP(-LN(2)/2)*BR116+(1-EXP(-LN(2)/2))/(LN(2)/2)*BL117*BO117*VLOOKUP('Données projet'!$B$11,Paramètres!$A$1:$I$89,3,0)*0.475*44/12</f>
        <v>1.4072947702580739E-12</v>
      </c>
      <c r="BS117" s="22">
        <f t="shared" si="63"/>
        <v>0.30250462632885794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302.25311999999991</v>
      </c>
      <c r="CA117" s="13">
        <f t="shared" si="93"/>
        <v>71.648598083211411</v>
      </c>
      <c r="CB117" s="20">
        <f t="shared" si="64"/>
        <v>651.21215899492643</v>
      </c>
      <c r="CC117" s="59">
        <f t="shared" si="65"/>
        <v>944.5454923282598</v>
      </c>
      <c r="CD117" s="59">
        <f ca="1">AVERAGE(OFFSET($CC$3,0,0,'Données projet'!$E$12+1,1))-AVERAGE(OFFSET($H$3,0,0,'Données projet'!$E$12+1,1))</f>
        <v>335.12015893291874</v>
      </c>
      <c r="CE117" s="59">
        <f t="shared" si="94"/>
        <v>224.76596283033166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0.3598761933895534</v>
      </c>
      <c r="CM117" s="21">
        <f>EXP(-LN(2)/2)*CM116+(1-EXP(-LN(2)/2))/(LN(2)/2)*CG117*CJ117*VLOOKUP('Données projet'!$B$12,Paramètres!$A$1:$I$89,3,0)*0.475*44/12</f>
        <v>1.6741955025484012E-12</v>
      </c>
      <c r="CN117" s="22">
        <f t="shared" si="66"/>
        <v>0.35987619339122762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3.7</v>
      </c>
      <c r="CT117" s="12">
        <f>IF('Données projet'!$A$140&gt;35,CT116+CS117-DB116,IF(A117&lt;'Données projet'!$A$140,$CQ$205^A117,IF(A117='Données projet'!$A$140,'Données projet'!$B$140,CT116+CS117-DB116)))</f>
        <v>280.79999999999995</v>
      </c>
      <c r="CU117" s="17">
        <f>CT117*VLOOKUP('Données projet'!$B$13,Paramètres!$A$1:$I$89,3,0)*VLOOKUP('Données projet'!$B$13,Paramètres!$A$1:$I$89,5,0)</f>
        <v>271.58975999999996</v>
      </c>
      <c r="CV117" s="13">
        <f t="shared" si="95"/>
        <v>65.186541118848126</v>
      </c>
      <c r="CW117" s="20">
        <f t="shared" si="67"/>
        <v>586.55205778199377</v>
      </c>
      <c r="CX117" s="59">
        <f t="shared" si="68"/>
        <v>879.88539111532714</v>
      </c>
      <c r="CY117" s="59">
        <f ca="1">AVERAGE(OFFSET($CX$3,0,0,'Données projet'!$E$13+1,1))-AVERAGE(OFFSET($H$3,0,0,'Données projet'!$E$13+1,1))</f>
        <v>293.19327646293601</v>
      </c>
      <c r="CZ117" s="59">
        <f t="shared" si="96"/>
        <v>200.0769581869605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0.32336701435003323</v>
      </c>
      <c r="DH117" s="21">
        <f>EXP(-LN(2)/2)*DH116+(1-EXP(-LN(2)/2))/(LN(2)/2)*DB117*DE117*VLOOKUP('Données projet'!$B$13,Paramètres!$A$1:$I$89,3,0)*0.475*44/12</f>
        <v>1.5043495820000098E-12</v>
      </c>
      <c r="DI117" s="22">
        <f t="shared" si="69"/>
        <v>0.32336701435153758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-2.7193891583010558E-13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246.59447135626942</v>
      </c>
      <c r="T118" s="59">
        <f t="shared" si="88"/>
        <v>262.00382544285367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1.217240102062354</v>
      </c>
      <c r="AB118" s="21">
        <f>EXP(-LN(2)/2)*AB117+(1-EXP(-LN(2)/2))/(LN(2)/2)*V118*Y118*VLOOKUP('Données projet'!$B$9,Paramètres!$A$1:$I$89,3,0)*0.475*44/12</f>
        <v>3.8151463922971179E-12</v>
      </c>
      <c r="AC118" s="22">
        <f t="shared" si="57"/>
        <v>1.2172401020661692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195.73441209602686</v>
      </c>
      <c r="AO118" s="59">
        <f t="shared" si="90"/>
        <v>219.19129224309006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1.1539236418270313</v>
      </c>
      <c r="AV118" s="21">
        <f>EXP(-LN(2)/25)*AV117+(1-EXP(-LN(2)/25))/(LN(2)/25)*Calculateur!AQ118*Calculateur!AS118*VLOOKUP('Données projet'!$B$10,Paramètres!$A$1:$I$89,3,0)*0.475*44/12</f>
        <v>1.1681326568111543</v>
      </c>
      <c r="AW118" s="21">
        <f>EXP(-LN(2)/2)*AW117+(1-EXP(-LN(2)/2))/(LN(2)/2)*AQ118*AT118*VLOOKUP('Données projet'!$B$10,Paramètres!$A$1:$I$89,3,0)*0.475*44/12</f>
        <v>8.7554463015378937E-13</v>
      </c>
      <c r="AX118" s="21">
        <f t="shared" si="60"/>
        <v>2.3220562986390614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257.41559999999993</v>
      </c>
      <c r="BF118" s="13">
        <f t="shared" si="91"/>
        <v>62.171168434977119</v>
      </c>
      <c r="BG118" s="20">
        <f t="shared" si="61"/>
        <v>556.61362169091831</v>
      </c>
      <c r="BH118" s="59">
        <f t="shared" si="62"/>
        <v>849.94695502425157</v>
      </c>
      <c r="BI118" s="59">
        <f ca="1">AVERAGE(OFFSET($BH$3,0,0,'Données projet'!$E$11+1,1))-AVERAGE(OFFSET($H$3,0,0,'Données projet'!$E$11+1,1))</f>
        <v>269.19146943657933</v>
      </c>
      <c r="BJ118" s="59">
        <f t="shared" si="92"/>
        <v>185.94138814570965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0.29423262141249956</v>
      </c>
      <c r="BR118" s="21">
        <f>EXP(-LN(2)/2)*BR117+(1-EXP(-LN(2)/2))/(LN(2)/2)*BL118*BO118*VLOOKUP('Données projet'!$B$11,Paramètres!$A$1:$I$89,3,0)*0.475*44/12</f>
        <v>9.9510767517784854E-13</v>
      </c>
      <c r="BS118" s="22">
        <f t="shared" si="63"/>
        <v>0.29423262141349465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306.23579999999993</v>
      </c>
      <c r="CA118" s="13">
        <f t="shared" si="93"/>
        <v>72.482157320027014</v>
      </c>
      <c r="CB118" s="20">
        <f t="shared" si="64"/>
        <v>659.60044233238023</v>
      </c>
      <c r="CC118" s="59">
        <f t="shared" si="65"/>
        <v>952.93377566571348</v>
      </c>
      <c r="CD118" s="59">
        <f ca="1">AVERAGE(OFFSET($CC$3,0,0,'Données projet'!$E$12+1,1))-AVERAGE(OFFSET($H$3,0,0,'Données projet'!$E$12+1,1))</f>
        <v>335.12015893291874</v>
      </c>
      <c r="CE118" s="59">
        <f t="shared" si="94"/>
        <v>224.76596283033166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0.35003535995624957</v>
      </c>
      <c r="CM118" s="21">
        <f>EXP(-LN(2)/2)*CM117+(1-EXP(-LN(2)/2))/(LN(2)/2)*CG118*CJ118*VLOOKUP('Données projet'!$B$12,Paramètres!$A$1:$I$89,3,0)*0.475*44/12</f>
        <v>1.1838349928839943E-12</v>
      </c>
      <c r="CN118" s="22">
        <f t="shared" si="66"/>
        <v>0.3500353599574334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3.7</v>
      </c>
      <c r="CT118" s="12">
        <f>IF('Données projet'!$A$140&gt;35,CT117+CS118-DB117,IF(A118&lt;'Données projet'!$A$140,$CQ$205^A118,IF(A118='Données projet'!$A$140,'Données projet'!$B$140,CT117+CS118-DB117)))</f>
        <v>284.49999999999994</v>
      </c>
      <c r="CU118" s="17">
        <f>CT118*VLOOKUP('Données projet'!$B$13,Paramètres!$A$1:$I$89,3,0)*VLOOKUP('Données projet'!$B$13,Paramètres!$A$1:$I$89,5,0)</f>
        <v>275.16839999999996</v>
      </c>
      <c r="CV118" s="13">
        <f t="shared" si="95"/>
        <v>65.944920834841611</v>
      </c>
      <c r="CW118" s="20">
        <f t="shared" si="67"/>
        <v>594.10570045401585</v>
      </c>
      <c r="CX118" s="59">
        <f t="shared" si="68"/>
        <v>887.43903378734922</v>
      </c>
      <c r="CY118" s="59">
        <f ca="1">AVERAGE(OFFSET($CX$3,0,0,'Données projet'!$E$13+1,1))-AVERAGE(OFFSET($H$3,0,0,'Données projet'!$E$13+1,1))</f>
        <v>293.19327646293601</v>
      </c>
      <c r="CZ118" s="59">
        <f t="shared" si="96"/>
        <v>200.0769581869605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0.31452452633749933</v>
      </c>
      <c r="DH118" s="21">
        <f>EXP(-LN(2)/2)*DH117+(1-EXP(-LN(2)/2))/(LN(2)/2)*DB118*DE118*VLOOKUP('Données projet'!$B$13,Paramètres!$A$1:$I$89,3,0)*0.475*44/12</f>
        <v>1.0637357907073551E-12</v>
      </c>
      <c r="DI118" s="22">
        <f t="shared" si="69"/>
        <v>0.31452452633856309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-2.7193891583010558E-13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246.59447135626942</v>
      </c>
      <c r="T119" s="59">
        <f t="shared" si="88"/>
        <v>262.00382544285367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1.1839546074595839</v>
      </c>
      <c r="AB119" s="21">
        <f>EXP(-LN(2)/2)*AB118+(1-EXP(-LN(2)/2))/(LN(2)/2)*V119*Y119*VLOOKUP('Données projet'!$B$9,Paramètres!$A$1:$I$89,3,0)*0.475*44/12</f>
        <v>2.6977158852126844E-12</v>
      </c>
      <c r="AC119" s="22">
        <f t="shared" si="57"/>
        <v>1.1839546074622815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195.73441209602686</v>
      </c>
      <c r="AO119" s="59">
        <f t="shared" si="90"/>
        <v>219.19129224309006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1.1312959030347278</v>
      </c>
      <c r="AV119" s="21">
        <f>EXP(-LN(2)/25)*AV118+(1-EXP(-LN(2)/25))/(LN(2)/25)*Calculateur!AQ119*Calculateur!AS119*VLOOKUP('Données projet'!$B$10,Paramètres!$A$1:$I$89,3,0)*0.475*44/12</f>
        <v>1.1361900078812266</v>
      </c>
      <c r="AW119" s="21">
        <f>EXP(-LN(2)/2)*AW118+(1-EXP(-LN(2)/2))/(LN(2)/2)*AQ119*AT119*VLOOKUP('Données projet'!$B$10,Paramètres!$A$1:$I$89,3,0)*0.475*44/12</f>
        <v>6.1910354521321221E-13</v>
      </c>
      <c r="AX119" s="21">
        <f t="shared" si="60"/>
        <v>2.2674859109165735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260.76335999999992</v>
      </c>
      <c r="BF119" s="13">
        <f t="shared" si="91"/>
        <v>62.885067686031952</v>
      </c>
      <c r="BG119" s="20">
        <f t="shared" si="61"/>
        <v>563.68767821983886</v>
      </c>
      <c r="BH119" s="59">
        <f t="shared" si="62"/>
        <v>857.02101155317223</v>
      </c>
      <c r="BI119" s="59">
        <f ca="1">AVERAGE(OFFSET($BH$3,0,0,'Données projet'!$E$11+1,1))-AVERAGE(OFFSET($H$3,0,0,'Données projet'!$E$11+1,1))</f>
        <v>269.19146943657933</v>
      </c>
      <c r="BJ119" s="59">
        <f t="shared" si="92"/>
        <v>185.94138814570965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0.28618681490695369</v>
      </c>
      <c r="BR119" s="21">
        <f>EXP(-LN(2)/2)*BR118+(1-EXP(-LN(2)/2))/(LN(2)/2)*BL119*BO119*VLOOKUP('Données projet'!$B$11,Paramètres!$A$1:$I$89,3,0)*0.475*44/12</f>
        <v>7.0364738512903697E-13</v>
      </c>
      <c r="BS119" s="22">
        <f t="shared" si="63"/>
        <v>0.28618681490765735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310.21847999999994</v>
      </c>
      <c r="CA119" s="13">
        <f t="shared" si="93"/>
        <v>73.314455620479976</v>
      </c>
      <c r="CB119" s="20">
        <f t="shared" si="64"/>
        <v>667.98652953900239</v>
      </c>
      <c r="CC119" s="59">
        <f t="shared" si="65"/>
        <v>961.31986287233576</v>
      </c>
      <c r="CD119" s="59">
        <f ca="1">AVERAGE(OFFSET($CC$3,0,0,'Données projet'!$E$12+1,1))-AVERAGE(OFFSET($H$3,0,0,'Données projet'!$E$12+1,1))</f>
        <v>335.12015893291874</v>
      </c>
      <c r="CE119" s="59">
        <f t="shared" si="94"/>
        <v>224.76596283033166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0.34046362463068636</v>
      </c>
      <c r="CM119" s="21">
        <f>EXP(-LN(2)/2)*CM118+(1-EXP(-LN(2)/2))/(LN(2)/2)*CG119*CJ119*VLOOKUP('Données projet'!$B$12,Paramètres!$A$1:$I$89,3,0)*0.475*44/12</f>
        <v>8.370977512742006E-13</v>
      </c>
      <c r="CN119" s="22">
        <f t="shared" si="66"/>
        <v>0.34046362463152346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3.7</v>
      </c>
      <c r="CT119" s="12">
        <f>IF('Données projet'!$A$140&gt;35,CT118+CS119-DB118,IF(A119&lt;'Données projet'!$A$140,$CQ$205^A119,IF(A119='Données projet'!$A$140,'Données projet'!$B$140,CT118+CS119-DB118)))</f>
        <v>288.19999999999993</v>
      </c>
      <c r="CU119" s="17">
        <f>CT119*VLOOKUP('Données projet'!$B$13,Paramètres!$A$1:$I$89,3,0)*VLOOKUP('Données projet'!$B$13,Paramètres!$A$1:$I$89,5,0)</f>
        <v>278.74703999999997</v>
      </c>
      <c r="CV119" s="13">
        <f t="shared" si="95"/>
        <v>66.702153339553263</v>
      </c>
      <c r="CW119" s="20">
        <f t="shared" si="67"/>
        <v>601.65734506638853</v>
      </c>
      <c r="CX119" s="59">
        <f t="shared" si="68"/>
        <v>894.9906783997219</v>
      </c>
      <c r="CY119" s="59">
        <f ca="1">AVERAGE(OFFSET($CX$3,0,0,'Données projet'!$E$13+1,1))-AVERAGE(OFFSET($H$3,0,0,'Données projet'!$E$13+1,1))</f>
        <v>293.19327646293601</v>
      </c>
      <c r="CZ119" s="59">
        <f t="shared" si="96"/>
        <v>200.0769581869605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0.30592383662467443</v>
      </c>
      <c r="DH119" s="21">
        <f>EXP(-LN(2)/2)*DH118+(1-EXP(-LN(2)/2))/(LN(2)/2)*DB119*DE119*VLOOKUP('Données projet'!$B$13,Paramètres!$A$1:$I$89,3,0)*0.475*44/12</f>
        <v>7.5217479100000489E-13</v>
      </c>
      <c r="DI119" s="22">
        <f t="shared" si="69"/>
        <v>0.3059238366254266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-2.7193891583010558E-13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246.59447135626942</v>
      </c>
      <c r="T120" s="59">
        <f t="shared" si="88"/>
        <v>262.00382544285367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1.1515793064571347</v>
      </c>
      <c r="AB120" s="21">
        <f>EXP(-LN(2)/2)*AB119+(1-EXP(-LN(2)/2))/(LN(2)/2)*V120*Y120*VLOOKUP('Données projet'!$B$9,Paramètres!$A$1:$I$89,3,0)*0.475*44/12</f>
        <v>1.907573196148559E-12</v>
      </c>
      <c r="AC120" s="22">
        <f t="shared" si="57"/>
        <v>1.1515793064590423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195.73441209602686</v>
      </c>
      <c r="AO120" s="59">
        <f t="shared" si="90"/>
        <v>219.19129224309006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1.1091118803985835</v>
      </c>
      <c r="AV120" s="21">
        <f>EXP(-LN(2)/25)*AV119+(1-EXP(-LN(2)/25))/(LN(2)/25)*Calculateur!AQ120*Calculateur!AS120*VLOOKUP('Données projet'!$B$10,Paramètres!$A$1:$I$89,3,0)*0.475*44/12</f>
        <v>1.1051208323660788</v>
      </c>
      <c r="AW120" s="21">
        <f>EXP(-LN(2)/2)*AW119+(1-EXP(-LN(2)/2))/(LN(2)/2)*AQ120*AT120*VLOOKUP('Données projet'!$B$10,Paramètres!$A$1:$I$89,3,0)*0.475*44/12</f>
        <v>4.3777231507689468E-13</v>
      </c>
      <c r="AX120" s="21">
        <f t="shared" si="60"/>
        <v>2.2142327127651003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264.11111999999991</v>
      </c>
      <c r="BF120" s="13">
        <f t="shared" si="91"/>
        <v>63.59790086687066</v>
      </c>
      <c r="BG120" s="20">
        <f t="shared" si="61"/>
        <v>570.75987800979954</v>
      </c>
      <c r="BH120" s="59">
        <f t="shared" si="62"/>
        <v>864.09321134313291</v>
      </c>
      <c r="BI120" s="59">
        <f ca="1">AVERAGE(OFFSET($BH$3,0,0,'Données projet'!$E$11+1,1))-AVERAGE(OFFSET($H$3,0,0,'Données projet'!$E$11+1,1))</f>
        <v>269.19146943657933</v>
      </c>
      <c r="BJ120" s="59">
        <f t="shared" si="92"/>
        <v>185.94138814570965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0.27836102140341251</v>
      </c>
      <c r="BR120" s="21">
        <f>EXP(-LN(2)/2)*BR119+(1-EXP(-LN(2)/2))/(LN(2)/2)*BL120*BO120*VLOOKUP('Données projet'!$B$11,Paramètres!$A$1:$I$89,3,0)*0.475*44/12</f>
        <v>4.9755383758892427E-13</v>
      </c>
      <c r="BS120" s="22">
        <f t="shared" si="63"/>
        <v>0.27836102140391006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314.2011599999999</v>
      </c>
      <c r="CA120" s="13">
        <f t="shared" si="93"/>
        <v>74.145511044675843</v>
      </c>
      <c r="CB120" s="20">
        <f t="shared" si="64"/>
        <v>676.37045206947698</v>
      </c>
      <c r="CC120" s="59">
        <f t="shared" si="65"/>
        <v>969.70378540281035</v>
      </c>
      <c r="CD120" s="59">
        <f ca="1">AVERAGE(OFFSET($CC$3,0,0,'Données projet'!$E$12+1,1))-AVERAGE(OFFSET($H$3,0,0,'Données projet'!$E$12+1,1))</f>
        <v>335.12015893291874</v>
      </c>
      <c r="CE120" s="59">
        <f t="shared" si="94"/>
        <v>224.76596283033166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0.33115362891095634</v>
      </c>
      <c r="CM120" s="21">
        <f>EXP(-LN(2)/2)*CM119+(1-EXP(-LN(2)/2))/(LN(2)/2)*CG120*CJ120*VLOOKUP('Données projet'!$B$12,Paramètres!$A$1:$I$89,3,0)*0.475*44/12</f>
        <v>5.9191749644199714E-13</v>
      </c>
      <c r="CN120" s="22">
        <f t="shared" si="66"/>
        <v>0.33115362891154826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3.7</v>
      </c>
      <c r="CT120" s="12">
        <f>IF('Données projet'!$A$140&gt;35,CT119+CS120-DB119,IF(A120&lt;'Données projet'!$A$140,$CQ$205^A120,IF(A120='Données projet'!$A$140,'Données projet'!$B$140,CT119+CS120-DB119)))</f>
        <v>291.89999999999992</v>
      </c>
      <c r="CU120" s="17">
        <f>CT120*VLOOKUP('Données projet'!$B$13,Paramètres!$A$1:$I$89,3,0)*VLOOKUP('Données projet'!$B$13,Paramètres!$A$1:$I$89,5,0)</f>
        <v>282.32567999999992</v>
      </c>
      <c r="CV120" s="13">
        <f t="shared" si="95"/>
        <v>67.458255064230045</v>
      </c>
      <c r="CW120" s="20">
        <f t="shared" si="67"/>
        <v>609.20702023686715</v>
      </c>
      <c r="CX120" s="59">
        <f t="shared" si="68"/>
        <v>902.54035357020052</v>
      </c>
      <c r="CY120" s="59">
        <f ca="1">AVERAGE(OFFSET($CX$3,0,0,'Données projet'!$E$13+1,1))-AVERAGE(OFFSET($H$3,0,0,'Données projet'!$E$13+1,1))</f>
        <v>293.19327646293601</v>
      </c>
      <c r="CZ120" s="59">
        <f t="shared" si="96"/>
        <v>200.0769581869605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0.29755833322433733</v>
      </c>
      <c r="DH120" s="21">
        <f>EXP(-LN(2)/2)*DH119+(1-EXP(-LN(2)/2))/(LN(2)/2)*DB120*DE120*VLOOKUP('Données projet'!$B$13,Paramètres!$A$1:$I$89,3,0)*0.475*44/12</f>
        <v>5.3186789535367756E-13</v>
      </c>
      <c r="DI120" s="22">
        <f t="shared" si="69"/>
        <v>0.29755833322486919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-2.7193891583010558E-13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246.59447135626942</v>
      </c>
      <c r="T121" s="59">
        <f t="shared" si="88"/>
        <v>262.00382544285367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1.1200893097631406</v>
      </c>
      <c r="AB121" s="21">
        <f>EXP(-LN(2)/2)*AB120+(1-EXP(-LN(2)/2))/(LN(2)/2)*V121*Y121*VLOOKUP('Données projet'!$B$9,Paramètres!$A$1:$I$89,3,0)*0.475*44/12</f>
        <v>1.3488579426063422E-12</v>
      </c>
      <c r="AC121" s="22">
        <f t="shared" si="57"/>
        <v>1.1200893097644895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195.73441209602686</v>
      </c>
      <c r="AO121" s="59">
        <f t="shared" si="90"/>
        <v>219.19129224309006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1.0873628729154163</v>
      </c>
      <c r="AV121" s="21">
        <f>EXP(-LN(2)/25)*AV120+(1-EXP(-LN(2)/25))/(LN(2)/25)*Calculateur!AQ121*Calculateur!AS121*VLOOKUP('Données projet'!$B$10,Paramètres!$A$1:$I$89,3,0)*0.475*44/12</f>
        <v>1.0749012450892497</v>
      </c>
      <c r="AW121" s="21">
        <f>EXP(-LN(2)/2)*AW120+(1-EXP(-LN(2)/2))/(LN(2)/2)*AQ121*AT121*VLOOKUP('Données projet'!$B$10,Paramètres!$A$1:$I$89,3,0)*0.475*44/12</f>
        <v>3.095517726066061E-13</v>
      </c>
      <c r="AX121" s="21">
        <f t="shared" si="60"/>
        <v>2.1622641180049755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267.45887999999991</v>
      </c>
      <c r="BF121" s="13">
        <f t="shared" si="91"/>
        <v>64.309683053152384</v>
      </c>
      <c r="BG121" s="20">
        <f t="shared" si="61"/>
        <v>577.83024731757359</v>
      </c>
      <c r="BH121" s="59">
        <f t="shared" si="62"/>
        <v>871.16358065090685</v>
      </c>
      <c r="BI121" s="59">
        <f ca="1">AVERAGE(OFFSET($BH$3,0,0,'Données projet'!$E$11+1,1))-AVERAGE(OFFSET($H$3,0,0,'Données projet'!$E$11+1,1))</f>
        <v>269.19146943657933</v>
      </c>
      <c r="BJ121" s="59">
        <f t="shared" si="92"/>
        <v>185.94138814570965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0.27074922463476631</v>
      </c>
      <c r="BR121" s="21">
        <f>EXP(-LN(2)/2)*BR120+(1-EXP(-LN(2)/2))/(LN(2)/2)*BL121*BO121*VLOOKUP('Données projet'!$B$11,Paramètres!$A$1:$I$89,3,0)*0.475*44/12</f>
        <v>3.5182369256451848E-13</v>
      </c>
      <c r="BS121" s="22">
        <f t="shared" si="63"/>
        <v>0.27074922463511814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318.18383999999986</v>
      </c>
      <c r="CA121" s="13">
        <f t="shared" si="93"/>
        <v>74.975341168547914</v>
      </c>
      <c r="CB121" s="20">
        <f t="shared" si="64"/>
        <v>684.75224053522061</v>
      </c>
      <c r="CC121" s="59">
        <f t="shared" si="65"/>
        <v>978.08557386855387</v>
      </c>
      <c r="CD121" s="59">
        <f ca="1">AVERAGE(OFFSET($CC$3,0,0,'Données projet'!$E$12+1,1))-AVERAGE(OFFSET($H$3,0,0,'Données projet'!$E$12+1,1))</f>
        <v>335.12015893291874</v>
      </c>
      <c r="CE121" s="59">
        <f t="shared" si="94"/>
        <v>224.76596283033166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0.32209821551377377</v>
      </c>
      <c r="CM121" s="21">
        <f>EXP(-LN(2)/2)*CM120+(1-EXP(-LN(2)/2))/(LN(2)/2)*CG121*CJ121*VLOOKUP('Données projet'!$B$12,Paramètres!$A$1:$I$89,3,0)*0.475*44/12</f>
        <v>4.185488756371003E-13</v>
      </c>
      <c r="CN121" s="22">
        <f t="shared" si="66"/>
        <v>0.32209821551419232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3.7</v>
      </c>
      <c r="CT121" s="12">
        <f>IF('Données projet'!$A$140&gt;35,CT120+CS121-DB120,IF(A121&lt;'Données projet'!$A$140,$CQ$205^A121,IF(A121='Données projet'!$A$140,'Données projet'!$B$140,CT120+CS121-DB120)))</f>
        <v>295.59999999999991</v>
      </c>
      <c r="CU121" s="17">
        <f>CT121*VLOOKUP('Données projet'!$B$13,Paramètres!$A$1:$I$89,3,0)*VLOOKUP('Données projet'!$B$13,Paramètres!$A$1:$I$89,5,0)</f>
        <v>285.90431999999993</v>
      </c>
      <c r="CV121" s="13">
        <f t="shared" si="95"/>
        <v>68.21324199961451</v>
      </c>
      <c r="CW121" s="20">
        <f t="shared" si="67"/>
        <v>616.75475381599517</v>
      </c>
      <c r="CX121" s="59">
        <f t="shared" si="68"/>
        <v>910.08808714932843</v>
      </c>
      <c r="CY121" s="59">
        <f ca="1">AVERAGE(OFFSET($CX$3,0,0,'Données projet'!$E$13+1,1))-AVERAGE(OFFSET($H$3,0,0,'Données projet'!$E$13+1,1))</f>
        <v>293.19327646293601</v>
      </c>
      <c r="CZ121" s="59">
        <f t="shared" si="96"/>
        <v>200.0769581869605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0.28942158495440518</v>
      </c>
      <c r="DH121" s="21">
        <f>EXP(-LN(2)/2)*DH120+(1-EXP(-LN(2)/2))/(LN(2)/2)*DB121*DE121*VLOOKUP('Données projet'!$B$13,Paramètres!$A$1:$I$89,3,0)*0.475*44/12</f>
        <v>3.7608739550000244E-13</v>
      </c>
      <c r="DI121" s="22">
        <f t="shared" si="69"/>
        <v>0.28942158495478126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-2.7193891583010558E-13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246.59447135626942</v>
      </c>
      <c r="T122" s="59">
        <f t="shared" si="88"/>
        <v>262.00382544285367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1.0894604086847306</v>
      </c>
      <c r="AB122" s="21">
        <f>EXP(-LN(2)/2)*AB121+(1-EXP(-LN(2)/2))/(LN(2)/2)*V122*Y122*VLOOKUP('Données projet'!$B$9,Paramètres!$A$1:$I$89,3,0)*0.475*44/12</f>
        <v>9.5378659807427948E-13</v>
      </c>
      <c r="AC122" s="22">
        <f t="shared" si="57"/>
        <v>1.0894604086856843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195.73441209602686</v>
      </c>
      <c r="AO122" s="59">
        <f t="shared" si="90"/>
        <v>219.19129224309006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1.0660403502034095</v>
      </c>
      <c r="AV122" s="21">
        <f>EXP(-LN(2)/25)*AV121+(1-EXP(-LN(2)/25))/(LN(2)/25)*Calculateur!AQ122*Calculateur!AS122*VLOOKUP('Données projet'!$B$10,Paramètres!$A$1:$I$89,3,0)*0.475*44/12</f>
        <v>1.0455080140156843</v>
      </c>
      <c r="AW122" s="21">
        <f>EXP(-LN(2)/2)*AW121+(1-EXP(-LN(2)/2))/(LN(2)/2)*AQ122*AT122*VLOOKUP('Données projet'!$B$10,Paramètres!$A$1:$I$89,3,0)*0.475*44/12</f>
        <v>2.1888615753844734E-13</v>
      </c>
      <c r="AX122" s="21">
        <f t="shared" si="60"/>
        <v>2.1115483642193129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270.8066399999999</v>
      </c>
      <c r="BF122" s="13">
        <f t="shared" si="91"/>
        <v>65.020428921429911</v>
      </c>
      <c r="BG122" s="20">
        <f t="shared" si="61"/>
        <v>584.89881170482352</v>
      </c>
      <c r="BH122" s="59">
        <f t="shared" si="62"/>
        <v>878.23214503815689</v>
      </c>
      <c r="BI122" s="59">
        <f ca="1">AVERAGE(OFFSET($BH$3,0,0,'Données projet'!$E$11+1,1))-AVERAGE(OFFSET($H$3,0,0,'Données projet'!$E$11+1,1))</f>
        <v>269.19146943657933</v>
      </c>
      <c r="BJ122" s="59">
        <f t="shared" si="92"/>
        <v>185.94138814570965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0.26334557284904569</v>
      </c>
      <c r="BR122" s="21">
        <f>EXP(-LN(2)/2)*BR121+(1-EXP(-LN(2)/2))/(LN(2)/2)*BL122*BO122*VLOOKUP('Données projet'!$B$11,Paramètres!$A$1:$I$89,3,0)*0.475*44/12</f>
        <v>2.4877691879446213E-13</v>
      </c>
      <c r="BS122" s="22">
        <f t="shared" si="63"/>
        <v>0.2633455728492945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322.16651999999988</v>
      </c>
      <c r="CA122" s="13">
        <f t="shared" si="93"/>
        <v>75.803963102731601</v>
      </c>
      <c r="CB122" s="20">
        <f t="shared" si="64"/>
        <v>693.13192473725724</v>
      </c>
      <c r="CC122" s="59">
        <f t="shared" si="65"/>
        <v>986.46525807059061</v>
      </c>
      <c r="CD122" s="59">
        <f ca="1">AVERAGE(OFFSET($CC$3,0,0,'Données projet'!$E$12+1,1))-AVERAGE(OFFSET($H$3,0,0,'Données projet'!$E$12+1,1))</f>
        <v>335.12015893291874</v>
      </c>
      <c r="CE122" s="59">
        <f t="shared" si="94"/>
        <v>224.76596283033166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0.31329042287214065</v>
      </c>
      <c r="CM122" s="21">
        <f>EXP(-LN(2)/2)*CM121+(1-EXP(-LN(2)/2))/(LN(2)/2)*CG122*CJ122*VLOOKUP('Données projet'!$B$12,Paramètres!$A$1:$I$89,3,0)*0.475*44/12</f>
        <v>2.9595874822099857E-13</v>
      </c>
      <c r="CN122" s="22">
        <f t="shared" si="66"/>
        <v>0.31329042287243664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3.7</v>
      </c>
      <c r="CT122" s="12">
        <f>IF('Données projet'!$A$140&gt;35,CT121+CS122-DB121,IF(A122&lt;'Données projet'!$A$140,$CQ$205^A122,IF(A122='Données projet'!$A$140,'Données projet'!$B$140,CT121+CS122-DB121)))</f>
        <v>299.2999999999999</v>
      </c>
      <c r="CU122" s="17">
        <f>CT122*VLOOKUP('Données projet'!$B$13,Paramètres!$A$1:$I$89,3,0)*VLOOKUP('Données projet'!$B$13,Paramètres!$A$1:$I$89,5,0)</f>
        <v>289.48295999999993</v>
      </c>
      <c r="CV122" s="13">
        <f t="shared" si="95"/>
        <v>68.967129713117529</v>
      </c>
      <c r="CW122" s="20">
        <f t="shared" si="67"/>
        <v>624.3005729170128</v>
      </c>
      <c r="CX122" s="59">
        <f t="shared" si="68"/>
        <v>917.63390625034617</v>
      </c>
      <c r="CY122" s="59">
        <f ca="1">AVERAGE(OFFSET($CX$3,0,0,'Données projet'!$E$13+1,1))-AVERAGE(OFFSET($H$3,0,0,'Données projet'!$E$13+1,1))</f>
        <v>293.19327646293601</v>
      </c>
      <c r="CZ122" s="59">
        <f t="shared" si="96"/>
        <v>200.0769581869605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0.28150733649380727</v>
      </c>
      <c r="DH122" s="21">
        <f>EXP(-LN(2)/2)*DH121+(1-EXP(-LN(2)/2))/(LN(2)/2)*DB122*DE122*VLOOKUP('Données projet'!$B$13,Paramètres!$A$1:$I$89,3,0)*0.475*44/12</f>
        <v>2.6593394767683878E-13</v>
      </c>
      <c r="DI122" s="22">
        <f t="shared" si="69"/>
        <v>0.28150733649407322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-2.7193891583010558E-13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246.59447135626942</v>
      </c>
      <c r="T123" s="59">
        <f t="shared" si="88"/>
        <v>262.00382544285367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1.0596690565170137</v>
      </c>
      <c r="AB123" s="21">
        <f>EXP(-LN(2)/2)*AB122+(1-EXP(-LN(2)/2))/(LN(2)/2)*V123*Y123*VLOOKUP('Données projet'!$B$9,Paramètres!$A$1:$I$89,3,0)*0.475*44/12</f>
        <v>6.7442897130317111E-13</v>
      </c>
      <c r="AC123" s="22">
        <f t="shared" si="57"/>
        <v>1.0596690565176881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195.73441209602686</v>
      </c>
      <c r="AO123" s="59">
        <f t="shared" si="90"/>
        <v>219.19129224309006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1.0451359491563303</v>
      </c>
      <c r="AV123" s="21">
        <f>EXP(-LN(2)/25)*AV122+(1-EXP(-LN(2)/25))/(LN(2)/25)*Calculateur!AQ123*Calculateur!AS123*VLOOKUP('Données projet'!$B$10,Paramètres!$A$1:$I$89,3,0)*0.475*44/12</f>
        <v>1.0169185423915486</v>
      </c>
      <c r="AW123" s="21">
        <f>EXP(-LN(2)/2)*AW122+(1-EXP(-LN(2)/2))/(LN(2)/2)*AQ123*AT123*VLOOKUP('Données projet'!$B$10,Paramètres!$A$1:$I$89,3,0)*0.475*44/12</f>
        <v>1.5477588630330305E-13</v>
      </c>
      <c r="AX123" s="21">
        <f t="shared" si="60"/>
        <v>2.0620544915480337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274.1543999999999</v>
      </c>
      <c r="BF123" s="13">
        <f t="shared" si="91"/>
        <v>65.730152764515779</v>
      </c>
      <c r="BG123" s="20">
        <f t="shared" si="61"/>
        <v>591.96559606486471</v>
      </c>
      <c r="BH123" s="59">
        <f t="shared" si="62"/>
        <v>885.29892939819797</v>
      </c>
      <c r="BI123" s="59">
        <f ca="1">AVERAGE(OFFSET($BH$3,0,0,'Données projet'!$E$11+1,1))-AVERAGE(OFFSET($H$3,0,0,'Données projet'!$E$11+1,1))</f>
        <v>269.19146943657933</v>
      </c>
      <c r="BJ123" s="59">
        <f t="shared" si="92"/>
        <v>185.94138814570965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0.25614437431074677</v>
      </c>
      <c r="BR123" s="21">
        <f>EXP(-LN(2)/2)*BR122+(1-EXP(-LN(2)/2))/(LN(2)/2)*BL123*BO123*VLOOKUP('Données projet'!$B$11,Paramètres!$A$1:$I$89,3,0)*0.475*44/12</f>
        <v>1.7591184628225924E-13</v>
      </c>
      <c r="BS123" s="22">
        <f t="shared" si="63"/>
        <v>0.25614437431092268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326.14919999999989</v>
      </c>
      <c r="CA123" s="13">
        <f t="shared" si="93"/>
        <v>76.631393510479626</v>
      </c>
      <c r="CB123" s="20">
        <f t="shared" si="64"/>
        <v>701.50953369741853</v>
      </c>
      <c r="CC123" s="59">
        <f t="shared" si="65"/>
        <v>994.8428670307519</v>
      </c>
      <c r="CD123" s="59">
        <f ca="1">AVERAGE(OFFSET($CC$3,0,0,'Données projet'!$E$12+1,1))-AVERAGE(OFFSET($H$3,0,0,'Données projet'!$E$12+1,1))</f>
        <v>335.12015893291874</v>
      </c>
      <c r="CE123" s="59">
        <f t="shared" si="94"/>
        <v>224.76596283033166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0.30472347978347464</v>
      </c>
      <c r="CM123" s="21">
        <f>EXP(-LN(2)/2)*CM122+(1-EXP(-LN(2)/2))/(LN(2)/2)*CG123*CJ123*VLOOKUP('Données projet'!$B$12,Paramètres!$A$1:$I$89,3,0)*0.475*44/12</f>
        <v>2.0927443781855015E-13</v>
      </c>
      <c r="CN123" s="22">
        <f t="shared" si="66"/>
        <v>0.30472347978368391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303</v>
      </c>
      <c r="CR123" s="12">
        <f>VLOOKUP(A123,'Données projet'!$A$139:$I$159,9,0)</f>
        <v>3.7</v>
      </c>
      <c r="CS123" s="12">
        <f t="array" ref="CS123">INDEX(CR:CR,MIN(IF(ISNUMBER(CR123:CR319),ROW(CR123:CR319),"")))</f>
        <v>3.7</v>
      </c>
      <c r="CT123" s="12">
        <f>IF('Données projet'!$A$140&gt;35,CT122+CS123-DB122,IF(A123&lt;'Données projet'!$A$140,$CQ$205^A123,IF(A123='Données projet'!$A$140,'Données projet'!$B$140,CT122+CS123-DB122)))</f>
        <v>302.99999999999989</v>
      </c>
      <c r="CU123" s="17">
        <f>CT123*VLOOKUP('Données projet'!$B$13,Paramètres!$A$1:$I$89,3,0)*VLOOKUP('Données projet'!$B$13,Paramètres!$A$1:$I$89,5,0)</f>
        <v>293.06159999999988</v>
      </c>
      <c r="CV123" s="13">
        <f t="shared" si="95"/>
        <v>69.719933365116546</v>
      </c>
      <c r="CW123" s="20">
        <f t="shared" si="67"/>
        <v>631.84450394424448</v>
      </c>
      <c r="CX123" s="59">
        <f t="shared" si="68"/>
        <v>925.17783727757774</v>
      </c>
      <c r="CY123" s="59">
        <f ca="1">AVERAGE(OFFSET($CX$3,0,0,'Données projet'!$E$13+1,1))-AVERAGE(OFFSET($H$3,0,0,'Données projet'!$E$13+1,1))</f>
        <v>293.19327646293601</v>
      </c>
      <c r="CZ123" s="59">
        <f t="shared" si="96"/>
        <v>200.0769581869605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303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0.27380950357355666</v>
      </c>
      <c r="DH123" s="21">
        <f>EXP(-LN(2)/2)*DH122+(1-EXP(-LN(2)/2))/(LN(2)/2)*DB123*DE123*VLOOKUP('Données projet'!$B$13,Paramètres!$A$1:$I$89,3,0)*0.475*44/12</f>
        <v>1.8804369775000122E-13</v>
      </c>
      <c r="DI123" s="22">
        <f t="shared" si="69"/>
        <v>0.27380950357374467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-2.7193891583010558E-13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246.59447135626942</v>
      </c>
      <c r="T124" s="59">
        <f t="shared" si="88"/>
        <v>262.00382544285367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1.0306923504409822</v>
      </c>
      <c r="AB124" s="21">
        <f>EXP(-LN(2)/2)*AB123+(1-EXP(-LN(2)/2))/(LN(2)/2)*V124*Y124*VLOOKUP('Données projet'!$B$9,Paramètres!$A$1:$I$89,3,0)*0.475*44/12</f>
        <v>4.7689329903713974E-13</v>
      </c>
      <c r="AC124" s="22">
        <f t="shared" si="57"/>
        <v>1.0306923504414591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195.73441209602686</v>
      </c>
      <c r="AO124" s="59">
        <f t="shared" si="90"/>
        <v>219.19129224309006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1.0246414706633589</v>
      </c>
      <c r="AV124" s="21">
        <f>EXP(-LN(2)/25)*AV123+(1-EXP(-LN(2)/25))/(LN(2)/25)*Calculateur!AQ124*Calculateur!AS124*VLOOKUP('Données projet'!$B$10,Paramètres!$A$1:$I$89,3,0)*0.475*44/12</f>
        <v>0.98911085137242971</v>
      </c>
      <c r="AW124" s="21">
        <f>EXP(-LN(2)/2)*AW123+(1-EXP(-LN(2)/2))/(LN(2)/2)*AQ124*AT124*VLOOKUP('Données projet'!$B$10,Paramètres!$A$1:$I$89,3,0)*0.475*44/12</f>
        <v>1.0944307876922367E-13</v>
      </c>
      <c r="AX124" s="21">
        <f t="shared" si="60"/>
        <v>2.0137523220358977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-1.0286385077051818E-13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269.19146943657933</v>
      </c>
      <c r="BJ124" s="59">
        <f t="shared" si="92"/>
        <v>185.94138814570965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0.24914009292517217</v>
      </c>
      <c r="BR124" s="21">
        <f>EXP(-LN(2)/2)*BR123+(1-EXP(-LN(2)/2))/(LN(2)/2)*BL124*BO124*VLOOKUP('Données projet'!$B$11,Paramètres!$A$1:$I$89,3,0)*0.475*44/12</f>
        <v>1.2438845939723107E-13</v>
      </c>
      <c r="BS124" s="22">
        <f t="shared" si="63"/>
        <v>0.24914009292529657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-1.223725121235475E-13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335.12015893291874</v>
      </c>
      <c r="CE124" s="59">
        <f t="shared" si="94"/>
        <v>224.76596283033166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0.2963908002040842</v>
      </c>
      <c r="CM124" s="21">
        <f>EXP(-LN(2)/2)*CM123+(1-EXP(-LN(2)/2))/(LN(2)/2)*CG124*CJ124*VLOOKUP('Données projet'!$B$12,Paramètres!$A$1:$I$89,3,0)*0.475*44/12</f>
        <v>1.4797937411049928E-13</v>
      </c>
      <c r="CN124" s="22">
        <f t="shared" si="66"/>
        <v>0.2963908002042322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-1.0995790944434703E-13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293.19327646293601</v>
      </c>
      <c r="CZ124" s="59">
        <f t="shared" si="96"/>
        <v>200.0769581869605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0.26632216829932176</v>
      </c>
      <c r="DH124" s="21">
        <f>EXP(-LN(2)/2)*DH123+(1-EXP(-LN(2)/2))/(LN(2)/2)*DB124*DE124*VLOOKUP('Données projet'!$B$13,Paramètres!$A$1:$I$89,3,0)*0.475*44/12</f>
        <v>1.3296697383841939E-13</v>
      </c>
      <c r="DI124" s="22">
        <f t="shared" si="69"/>
        <v>0.26632216829945471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-2.7193891583010558E-13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246.59447135626942</v>
      </c>
      <c r="T125" s="59">
        <f t="shared" si="88"/>
        <v>262.00382544285367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1.0025080139164184</v>
      </c>
      <c r="AB125" s="21">
        <f>EXP(-LN(2)/2)*AB124+(1-EXP(-LN(2)/2))/(LN(2)/2)*V125*Y125*VLOOKUP('Données projet'!$B$9,Paramètres!$A$1:$I$89,3,0)*0.475*44/12</f>
        <v>3.3721448565158556E-13</v>
      </c>
      <c r="AC125" s="22">
        <f t="shared" si="57"/>
        <v>1.0025080139167557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195.73441209602686</v>
      </c>
      <c r="AO125" s="59">
        <f t="shared" si="90"/>
        <v>219.19129224309006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1.0045488763932369</v>
      </c>
      <c r="AV125" s="21">
        <f>EXP(-LN(2)/25)*AV124+(1-EXP(-LN(2)/25))/(LN(2)/25)*Calculateur!AQ125*Calculateur!AS125*VLOOKUP('Données projet'!$B$10,Paramètres!$A$1:$I$89,3,0)*0.475*44/12</f>
        <v>0.9620635631265716</v>
      </c>
      <c r="AW125" s="21">
        <f>EXP(-LN(2)/2)*AW124+(1-EXP(-LN(2)/2))/(LN(2)/2)*AQ125*AT125*VLOOKUP('Données projet'!$B$10,Paramètres!$A$1:$I$89,3,0)*0.475*44/12</f>
        <v>7.7387943151651526E-14</v>
      </c>
      <c r="AX125" s="21">
        <f t="shared" si="60"/>
        <v>1.9666124395198861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-1.0286385077051818E-13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269.19146943657933</v>
      </c>
      <c r="BJ125" s="59">
        <f t="shared" si="92"/>
        <v>185.94138814570965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0.24232734398242525</v>
      </c>
      <c r="BR125" s="21">
        <f>EXP(-LN(2)/2)*BR124+(1-EXP(-LN(2)/2))/(LN(2)/2)*BL125*BO125*VLOOKUP('Données projet'!$B$11,Paramètres!$A$1:$I$89,3,0)*0.475*44/12</f>
        <v>8.7955923141129621E-14</v>
      </c>
      <c r="BS125" s="22">
        <f t="shared" si="63"/>
        <v>0.24232734398251321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-1.223725121235475E-13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335.12015893291874</v>
      </c>
      <c r="CE125" s="59">
        <f t="shared" si="94"/>
        <v>224.76596283033166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0.28828597818598872</v>
      </c>
      <c r="CM125" s="21">
        <f>EXP(-LN(2)/2)*CM124+(1-EXP(-LN(2)/2))/(LN(2)/2)*CG125*CJ125*VLOOKUP('Données projet'!$B$12,Paramètres!$A$1:$I$89,3,0)*0.475*44/12</f>
        <v>1.0463721890927507E-13</v>
      </c>
      <c r="CN125" s="22">
        <f t="shared" si="66"/>
        <v>0.28828597818609336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-1.0995790944434703E-13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293.19327646293601</v>
      </c>
      <c r="CZ125" s="59">
        <f t="shared" si="96"/>
        <v>200.0769581869605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0.25903957460190269</v>
      </c>
      <c r="DH125" s="21">
        <f>EXP(-LN(2)/2)*DH124+(1-EXP(-LN(2)/2))/(LN(2)/2)*DB125*DE125*VLOOKUP('Données projet'!$B$13,Paramètres!$A$1:$I$89,3,0)*0.475*44/12</f>
        <v>9.4021848875000611E-14</v>
      </c>
      <c r="DI125" s="22">
        <f t="shared" si="69"/>
        <v>0.25903957460199672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-2.7193891583010558E-13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246.59447135626942</v>
      </c>
      <c r="T126" s="59">
        <f t="shared" si="88"/>
        <v>262.00382544285367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0.97509437955626876</v>
      </c>
      <c r="AB126" s="21">
        <f>EXP(-LN(2)/2)*AB125+(1-EXP(-LN(2)/2))/(LN(2)/2)*V126*Y126*VLOOKUP('Données projet'!$B$9,Paramètres!$A$1:$I$89,3,0)*0.475*44/12</f>
        <v>2.3844664951856987E-13</v>
      </c>
      <c r="AC126" s="22">
        <f t="shared" si="57"/>
        <v>0.97509437955650724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195.73441209602686</v>
      </c>
      <c r="AO126" s="59">
        <f t="shared" si="90"/>
        <v>219.19129224309006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0.98485028564147958</v>
      </c>
      <c r="AV126" s="21">
        <f>EXP(-LN(2)/25)*AV125+(1-EXP(-LN(2)/25))/(LN(2)/25)*Calculateur!AQ126*Calculateur!AS126*VLOOKUP('Données projet'!$B$10,Paramètres!$A$1:$I$89,3,0)*0.475*44/12</f>
        <v>0.93575588440015156</v>
      </c>
      <c r="AW126" s="21">
        <f>EXP(-LN(2)/2)*AW125+(1-EXP(-LN(2)/2))/(LN(2)/2)*AQ126*AT126*VLOOKUP('Données projet'!$B$10,Paramètres!$A$1:$I$89,3,0)*0.475*44/12</f>
        <v>5.4721539384611835E-14</v>
      </c>
      <c r="AX126" s="21">
        <f t="shared" si="60"/>
        <v>1.9206061700416859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-1.0286385077051818E-13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269.19146943657933</v>
      </c>
      <c r="BJ126" s="59">
        <f t="shared" si="92"/>
        <v>185.94138814570965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0.23570089001778466</v>
      </c>
      <c r="BR126" s="21">
        <f>EXP(-LN(2)/2)*BR125+(1-EXP(-LN(2)/2))/(LN(2)/2)*BL126*BO126*VLOOKUP('Données projet'!$B$11,Paramètres!$A$1:$I$89,3,0)*0.475*44/12</f>
        <v>6.2194229698615533E-14</v>
      </c>
      <c r="BS126" s="22">
        <f t="shared" si="63"/>
        <v>0.23570089001784686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-1.223725121235475E-13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335.12015893291874</v>
      </c>
      <c r="CE126" s="59">
        <f t="shared" si="94"/>
        <v>224.76596283033166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0.28040278295219218</v>
      </c>
      <c r="CM126" s="21">
        <f>EXP(-LN(2)/2)*CM125+(1-EXP(-LN(2)/2))/(LN(2)/2)*CG126*CJ126*VLOOKUP('Données projet'!$B$12,Paramètres!$A$1:$I$89,3,0)*0.475*44/12</f>
        <v>7.3989687055249642E-14</v>
      </c>
      <c r="CN126" s="22">
        <f t="shared" si="66"/>
        <v>0.28040278295226617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-1.0995790944434703E-13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293.19327646293601</v>
      </c>
      <c r="CZ126" s="59">
        <f t="shared" si="96"/>
        <v>200.0769581869605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0.25195612381211446</v>
      </c>
      <c r="DH126" s="21">
        <f>EXP(-LN(2)/2)*DH125+(1-EXP(-LN(2)/2))/(LN(2)/2)*DB126*DE126*VLOOKUP('Données projet'!$B$13,Paramètres!$A$1:$I$89,3,0)*0.475*44/12</f>
        <v>6.6483486919209695E-14</v>
      </c>
      <c r="DI126" s="22">
        <f t="shared" si="69"/>
        <v>0.25195612381218097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-2.7193891583010558E-13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246.59447135626942</v>
      </c>
      <c r="T127" s="59">
        <f t="shared" si="88"/>
        <v>262.00382544285367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0.94843037246931783</v>
      </c>
      <c r="AB127" s="21">
        <f>EXP(-LN(2)/2)*AB126+(1-EXP(-LN(2)/2))/(LN(2)/2)*V127*Y127*VLOOKUP('Données projet'!$B$9,Paramètres!$A$1:$I$89,3,0)*0.475*44/12</f>
        <v>1.6860724282579278E-13</v>
      </c>
      <c r="AC127" s="22">
        <f t="shared" si="57"/>
        <v>0.94843037246948647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195.73441209602686</v>
      </c>
      <c r="AO127" s="59">
        <f t="shared" si="90"/>
        <v>219.19129224309006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0.96553797223941029</v>
      </c>
      <c r="AV127" s="21">
        <f>EXP(-LN(2)/25)*AV126+(1-EXP(-LN(2)/25))/(LN(2)/25)*Calculateur!AQ127*Calculateur!AS127*VLOOKUP('Données projet'!$B$10,Paramètres!$A$1:$I$89,3,0)*0.475*44/12</f>
        <v>0.91016759053196616</v>
      </c>
      <c r="AW127" s="21">
        <f>EXP(-LN(2)/2)*AW126+(1-EXP(-LN(2)/2))/(LN(2)/2)*AQ127*AT127*VLOOKUP('Données projet'!$B$10,Paramètres!$A$1:$I$89,3,0)*0.475*44/12</f>
        <v>3.8693971575825763E-14</v>
      </c>
      <c r="AX127" s="21">
        <f t="shared" si="60"/>
        <v>1.8757055627714152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-1.0286385077051818E-13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269.19146943657933</v>
      </c>
      <c r="BJ127" s="59">
        <f t="shared" si="92"/>
        <v>185.94138814570965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0.22925563678527724</v>
      </c>
      <c r="BR127" s="21">
        <f>EXP(-LN(2)/2)*BR126+(1-EXP(-LN(2)/2))/(LN(2)/2)*BL127*BO127*VLOOKUP('Données projet'!$B$11,Paramètres!$A$1:$I$89,3,0)*0.475*44/12</f>
        <v>4.397796157056481E-14</v>
      </c>
      <c r="BS127" s="22">
        <f t="shared" si="63"/>
        <v>0.22925563678532121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-1.223725121235475E-13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335.12015893291874</v>
      </c>
      <c r="CE127" s="59">
        <f t="shared" si="94"/>
        <v>224.76596283033166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0.27273515410662297</v>
      </c>
      <c r="CM127" s="21">
        <f>EXP(-LN(2)/2)*CM126+(1-EXP(-LN(2)/2))/(LN(2)/2)*CG127*CJ127*VLOOKUP('Données projet'!$B$12,Paramètres!$A$1:$I$89,3,0)*0.475*44/12</f>
        <v>5.2318609454637537E-14</v>
      </c>
      <c r="CN127" s="22">
        <f t="shared" si="66"/>
        <v>0.27273515410667526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-1.0995790944434703E-13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293.19327646293601</v>
      </c>
      <c r="CZ127" s="59">
        <f t="shared" si="96"/>
        <v>200.0769581869605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0.2450663703566755</v>
      </c>
      <c r="DH127" s="21">
        <f>EXP(-LN(2)/2)*DH126+(1-EXP(-LN(2)/2))/(LN(2)/2)*DB127*DE127*VLOOKUP('Données projet'!$B$13,Paramètres!$A$1:$I$89,3,0)*0.475*44/12</f>
        <v>4.7010924437500306E-14</v>
      </c>
      <c r="DI127" s="22">
        <f t="shared" si="69"/>
        <v>0.24506637035672252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-2.7193891583010558E-13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246.59447135626942</v>
      </c>
      <c r="T128" s="59">
        <f t="shared" si="88"/>
        <v>262.00382544285367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0.92249549405835873</v>
      </c>
      <c r="AB128" s="21">
        <f>EXP(-LN(2)/2)*AB127+(1-EXP(-LN(2)/2))/(LN(2)/2)*V128*Y128*VLOOKUP('Données projet'!$B$9,Paramètres!$A$1:$I$89,3,0)*0.475*44/12</f>
        <v>1.1922332475928494E-13</v>
      </c>
      <c r="AC128" s="22">
        <f t="shared" si="57"/>
        <v>0.92249549405847797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195.73441209602686</v>
      </c>
      <c r="AO128" s="59">
        <f t="shared" si="90"/>
        <v>219.19129224309006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0.94660436152380745</v>
      </c>
      <c r="AV128" s="21">
        <f>EXP(-LN(2)/25)*AV127+(1-EXP(-LN(2)/25))/(LN(2)/25)*Calculateur!AQ128*Calculateur!AS128*VLOOKUP('Données projet'!$B$10,Paramètres!$A$1:$I$89,3,0)*0.475*44/12</f>
        <v>0.88527900990523622</v>
      </c>
      <c r="AW128" s="21">
        <f>EXP(-LN(2)/2)*AW127+(1-EXP(-LN(2)/2))/(LN(2)/2)*AQ128*AT128*VLOOKUP('Données projet'!$B$10,Paramètres!$A$1:$I$89,3,0)*0.475*44/12</f>
        <v>2.7360769692305918E-14</v>
      </c>
      <c r="AX128" s="21">
        <f t="shared" si="60"/>
        <v>1.831883371429071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-1.0286385077051818E-13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269.19146943657933</v>
      </c>
      <c r="BJ128" s="59">
        <f t="shared" si="92"/>
        <v>185.94138814570965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0.22298662934135388</v>
      </c>
      <c r="BR128" s="21">
        <f>EXP(-LN(2)/2)*BR127+(1-EXP(-LN(2)/2))/(LN(2)/2)*BL128*BO128*VLOOKUP('Données projet'!$B$11,Paramètres!$A$1:$I$89,3,0)*0.475*44/12</f>
        <v>3.1097114849307767E-14</v>
      </c>
      <c r="BS128" s="22">
        <f t="shared" si="63"/>
        <v>0.22298662934138497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-1.223725121235475E-13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335.12015893291874</v>
      </c>
      <c r="CE128" s="59">
        <f t="shared" si="94"/>
        <v>224.76596283033166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0.26527719697505897</v>
      </c>
      <c r="CM128" s="21">
        <f>EXP(-LN(2)/2)*CM127+(1-EXP(-LN(2)/2))/(LN(2)/2)*CG128*CJ128*VLOOKUP('Données projet'!$B$12,Paramètres!$A$1:$I$89,3,0)*0.475*44/12</f>
        <v>3.6994843527624821E-14</v>
      </c>
      <c r="CN128" s="22">
        <f t="shared" si="66"/>
        <v>0.26527719697509594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-1.0995790944434703E-13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293.19327646293601</v>
      </c>
      <c r="CZ128" s="59">
        <f t="shared" si="96"/>
        <v>200.0769581869605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0.2383650175717919</v>
      </c>
      <c r="DH128" s="21">
        <f>EXP(-LN(2)/2)*DH127+(1-EXP(-LN(2)/2))/(LN(2)/2)*DB128*DE128*VLOOKUP('Données projet'!$B$13,Paramètres!$A$1:$I$89,3,0)*0.475*44/12</f>
        <v>3.3241743459604848E-14</v>
      </c>
      <c r="DI128" s="22">
        <f t="shared" si="69"/>
        <v>0.23836501757182516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-2.7193891583010558E-13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246.59447135626942</v>
      </c>
      <c r="T129" s="59">
        <f t="shared" si="88"/>
        <v>262.00382544285367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0.89726980626140329</v>
      </c>
      <c r="AB129" s="21">
        <f>EXP(-LN(2)/2)*AB128+(1-EXP(-LN(2)/2))/(LN(2)/2)*V129*Y129*VLOOKUP('Données projet'!$B$9,Paramètres!$A$1:$I$89,3,0)*0.475*44/12</f>
        <v>8.4303621412896389E-14</v>
      </c>
      <c r="AC129" s="22">
        <f t="shared" si="57"/>
        <v>0.89726980626148756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195.73441209602686</v>
      </c>
      <c r="AO129" s="59">
        <f t="shared" si="90"/>
        <v>219.19129224309006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0.92804202736597541</v>
      </c>
      <c r="AV129" s="21">
        <f>EXP(-LN(2)/25)*AV128+(1-EXP(-LN(2)/25))/(LN(2)/25)*Calculateur!AQ129*Calculateur!AS129*VLOOKUP('Données projet'!$B$10,Paramètres!$A$1:$I$89,3,0)*0.475*44/12</f>
        <v>0.86107100882457777</v>
      </c>
      <c r="AW129" s="21">
        <f>EXP(-LN(2)/2)*AW128+(1-EXP(-LN(2)/2))/(LN(2)/2)*AQ129*AT129*VLOOKUP('Données projet'!$B$10,Paramètres!$A$1:$I$89,3,0)*0.475*44/12</f>
        <v>1.9346985787912882E-14</v>
      </c>
      <c r="AX129" s="21">
        <f t="shared" si="60"/>
        <v>1.7891130361905725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-1.0286385077051818E-13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269.19146943657933</v>
      </c>
      <c r="BJ129" s="59">
        <f t="shared" si="92"/>
        <v>185.94138814570965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0.21688904823565736</v>
      </c>
      <c r="BR129" s="21">
        <f>EXP(-LN(2)/2)*BR128+(1-EXP(-LN(2)/2))/(LN(2)/2)*BL129*BO129*VLOOKUP('Données projet'!$B$11,Paramètres!$A$1:$I$89,3,0)*0.475*44/12</f>
        <v>2.1988980785282405E-14</v>
      </c>
      <c r="BS129" s="22">
        <f t="shared" si="63"/>
        <v>0.21688904823567934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-1.223725121235475E-13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335.12015893291874</v>
      </c>
      <c r="CE129" s="59">
        <f t="shared" si="94"/>
        <v>224.76596283033166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0.25802317807345448</v>
      </c>
      <c r="CM129" s="21">
        <f>EXP(-LN(2)/2)*CM128+(1-EXP(-LN(2)/2))/(LN(2)/2)*CG129*CJ129*VLOOKUP('Données projet'!$B$12,Paramètres!$A$1:$I$89,3,0)*0.475*44/12</f>
        <v>2.6159304727318769E-14</v>
      </c>
      <c r="CN129" s="22">
        <f t="shared" si="66"/>
        <v>0.25802317807348063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-1.0995790944434703E-13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293.19327646293601</v>
      </c>
      <c r="CZ129" s="59">
        <f t="shared" si="96"/>
        <v>200.0769581869605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0.23184691363121976</v>
      </c>
      <c r="DH129" s="21">
        <f>EXP(-LN(2)/2)*DH128+(1-EXP(-LN(2)/2))/(LN(2)/2)*DB129*DE129*VLOOKUP('Données projet'!$B$13,Paramètres!$A$1:$I$89,3,0)*0.475*44/12</f>
        <v>2.3505462218750153E-14</v>
      </c>
      <c r="DI129" s="22">
        <f t="shared" si="69"/>
        <v>0.23184691363124327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-2.7193891583010558E-13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246.59447135626942</v>
      </c>
      <c r="T130" s="59">
        <f t="shared" si="88"/>
        <v>262.00382544285367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0.8727339162238168</v>
      </c>
      <c r="AB130" s="21">
        <f>EXP(-LN(2)/2)*AB129+(1-EXP(-LN(2)/2))/(LN(2)/2)*V130*Y130*VLOOKUP('Données projet'!$B$9,Paramètres!$A$1:$I$89,3,0)*0.475*44/12</f>
        <v>5.9611662379642468E-14</v>
      </c>
      <c r="AC130" s="22">
        <f t="shared" si="57"/>
        <v>0.87273391622387642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195.73441209602686</v>
      </c>
      <c r="AO130" s="59">
        <f t="shared" si="90"/>
        <v>219.19129224309006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0.90984368925907255</v>
      </c>
      <c r="AV130" s="21">
        <f>EXP(-LN(2)/25)*AV129+(1-EXP(-LN(2)/25))/(LN(2)/25)*Calculateur!AQ130*Calculateur!AS130*VLOOKUP('Données projet'!$B$10,Paramètres!$A$1:$I$89,3,0)*0.475*44/12</f>
        <v>0.83752497680651339</v>
      </c>
      <c r="AW130" s="21">
        <f>EXP(-LN(2)/2)*AW129+(1-EXP(-LN(2)/2))/(LN(2)/2)*AQ130*AT130*VLOOKUP('Données projet'!$B$10,Paramètres!$A$1:$I$89,3,0)*0.475*44/12</f>
        <v>1.3680384846152959E-14</v>
      </c>
      <c r="AX130" s="21">
        <f t="shared" si="60"/>
        <v>1.7473686660655998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-1.0286385077051818E-13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269.19146943657933</v>
      </c>
      <c r="BJ130" s="59">
        <f t="shared" si="92"/>
        <v>185.94138814570965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0.21095820580595395</v>
      </c>
      <c r="BR130" s="21">
        <f>EXP(-LN(2)/2)*BR129+(1-EXP(-LN(2)/2))/(LN(2)/2)*BL130*BO130*VLOOKUP('Données projet'!$B$11,Paramètres!$A$1:$I$89,3,0)*0.475*44/12</f>
        <v>1.5548557424653883E-14</v>
      </c>
      <c r="BS130" s="22">
        <f t="shared" si="63"/>
        <v>0.2109582058059695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-1.223725121235475E-13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335.12015893291874</v>
      </c>
      <c r="CE130" s="59">
        <f t="shared" si="94"/>
        <v>224.76596283033166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0.25096752070018663</v>
      </c>
      <c r="CM130" s="21">
        <f>EXP(-LN(2)/2)*CM129+(1-EXP(-LN(2)/2))/(LN(2)/2)*CG130*CJ130*VLOOKUP('Données projet'!$B$12,Paramètres!$A$1:$I$89,3,0)*0.475*44/12</f>
        <v>1.8497421763812411E-14</v>
      </c>
      <c r="CN130" s="22">
        <f t="shared" si="66"/>
        <v>0.25096752070020512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-1.0995790944434703E-13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293.19327646293601</v>
      </c>
      <c r="CZ130" s="59">
        <f t="shared" si="96"/>
        <v>200.0769581869605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0.22550704758567475</v>
      </c>
      <c r="DH130" s="21">
        <f>EXP(-LN(2)/2)*DH129+(1-EXP(-LN(2)/2))/(LN(2)/2)*DB130*DE130*VLOOKUP('Données projet'!$B$13,Paramètres!$A$1:$I$89,3,0)*0.475*44/12</f>
        <v>1.6620871729802424E-14</v>
      </c>
      <c r="DI130" s="22">
        <f t="shared" si="69"/>
        <v>0.22550704758569137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-2.7193891583010558E-13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246.59447135626942</v>
      </c>
      <c r="T131" s="59">
        <f t="shared" si="88"/>
        <v>262.00382544285367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0.84886896138959456</v>
      </c>
      <c r="AB131" s="21">
        <f>EXP(-LN(2)/2)*AB130+(1-EXP(-LN(2)/2))/(LN(2)/2)*V131*Y131*VLOOKUP('Données projet'!$B$9,Paramètres!$A$1:$I$89,3,0)*0.475*44/12</f>
        <v>4.2151810706448194E-14</v>
      </c>
      <c r="AC131" s="22">
        <f t="shared" si="57"/>
        <v>0.84886896138963674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195.73441209602686</v>
      </c>
      <c r="AO131" s="59">
        <f t="shared" si="90"/>
        <v>219.19129224309006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0.89200220946255582</v>
      </c>
      <c r="AV131" s="21">
        <f>EXP(-LN(2)/25)*AV130+(1-EXP(-LN(2)/25))/(LN(2)/25)*Calculateur!AQ131*Calculateur!AS131*VLOOKUP('Données projet'!$B$10,Paramètres!$A$1:$I$89,3,0)*0.475*44/12</f>
        <v>0.81462281227221489</v>
      </c>
      <c r="AW131" s="21">
        <f>EXP(-LN(2)/2)*AW130+(1-EXP(-LN(2)/2))/(LN(2)/2)*AQ131*AT131*VLOOKUP('Données projet'!$B$10,Paramètres!$A$1:$I$89,3,0)*0.475*44/12</f>
        <v>9.6734928939564408E-15</v>
      </c>
      <c r="AX131" s="21">
        <f t="shared" si="60"/>
        <v>1.7066250217347805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-1.0286385077051818E-13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269.19146943657933</v>
      </c>
      <c r="BJ131" s="59">
        <f t="shared" si="92"/>
        <v>185.94138814570965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0.20518954257438024</v>
      </c>
      <c r="BR131" s="21">
        <f>EXP(-LN(2)/2)*BR130+(1-EXP(-LN(2)/2))/(LN(2)/2)*BL131*BO131*VLOOKUP('Données projet'!$B$11,Paramètres!$A$1:$I$89,3,0)*0.475*44/12</f>
        <v>1.0994490392641203E-14</v>
      </c>
      <c r="BS131" s="22">
        <f t="shared" si="63"/>
        <v>0.20518954257439123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-1.223725121235475E-13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335.12015893291874</v>
      </c>
      <c r="CE131" s="59">
        <f t="shared" si="94"/>
        <v>224.76596283033166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0.24410480064883172</v>
      </c>
      <c r="CM131" s="21">
        <f>EXP(-LN(2)/2)*CM130+(1-EXP(-LN(2)/2))/(LN(2)/2)*CG131*CJ131*VLOOKUP('Données projet'!$B$12,Paramètres!$A$1:$I$89,3,0)*0.475*44/12</f>
        <v>1.3079652363659384E-14</v>
      </c>
      <c r="CN131" s="22">
        <f t="shared" si="66"/>
        <v>0.24410480064884479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-1.0995790944434703E-13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293.19327646293601</v>
      </c>
      <c r="CZ131" s="59">
        <f t="shared" si="96"/>
        <v>200.0769581869605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0.21934054551054424</v>
      </c>
      <c r="DH131" s="21">
        <f>EXP(-LN(2)/2)*DH130+(1-EXP(-LN(2)/2))/(LN(2)/2)*DB131*DE131*VLOOKUP('Données projet'!$B$13,Paramètres!$A$1:$I$89,3,0)*0.475*44/12</f>
        <v>1.1752731109375076E-14</v>
      </c>
      <c r="DI131" s="22">
        <f t="shared" si="69"/>
        <v>0.21934054551055598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-2.7193891583010558E-13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246.59447135626942</v>
      </c>
      <c r="T132" s="59">
        <f t="shared" si="88"/>
        <v>262.00382544285367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0.82565659500031752</v>
      </c>
      <c r="AB132" s="21">
        <f>EXP(-LN(2)/2)*AB131+(1-EXP(-LN(2)/2))/(LN(2)/2)*V132*Y132*VLOOKUP('Données projet'!$B$9,Paramètres!$A$1:$I$89,3,0)*0.475*44/12</f>
        <v>2.9805831189821234E-14</v>
      </c>
      <c r="AC132" s="22">
        <f t="shared" ref="AC132:AC153" si="111">SUM(Z132:AB132)</f>
        <v>0.82565659500034727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195.73441209602686</v>
      </c>
      <c r="AO132" s="59">
        <f t="shared" si="90"/>
        <v>219.19129224309006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0.87451059020262067</v>
      </c>
      <c r="AV132" s="21">
        <f>EXP(-LN(2)/25)*AV131+(1-EXP(-LN(2)/25))/(LN(2)/25)*Calculateur!AQ132*Calculateur!AS132*VLOOKUP('Données projet'!$B$10,Paramètres!$A$1:$I$89,3,0)*0.475*44/12</f>
        <v>0.79234690863147927</v>
      </c>
      <c r="AW132" s="21">
        <f>EXP(-LN(2)/2)*AW131+(1-EXP(-LN(2)/2))/(LN(2)/2)*AQ132*AT132*VLOOKUP('Données projet'!$B$10,Paramètres!$A$1:$I$89,3,0)*0.475*44/12</f>
        <v>6.8401924230764794E-15</v>
      </c>
      <c r="AX132" s="21">
        <f t="shared" ref="AX132:AX153" si="114">SUM(AU132:AW132)</f>
        <v>1.6668574988341069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-1.0286385077051818E-13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269.19146943657933</v>
      </c>
      <c r="BJ132" s="59">
        <f t="shared" si="92"/>
        <v>185.94138814570965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0.19957862374223473</v>
      </c>
      <c r="BR132" s="21">
        <f>EXP(-LN(2)/2)*BR131+(1-EXP(-LN(2)/2))/(LN(2)/2)*BL132*BO132*VLOOKUP('Données projet'!$B$11,Paramètres!$A$1:$I$89,3,0)*0.475*44/12</f>
        <v>7.7742787123269417E-15</v>
      </c>
      <c r="BS132" s="22">
        <f t="shared" ref="BS132:BS153" si="117">SUM(BP132:BR132)</f>
        <v>0.1995786237422425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-1.223725121235475E-13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335.12015893291874</v>
      </c>
      <c r="CE132" s="59">
        <f t="shared" si="94"/>
        <v>224.76596283033166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0.23742974203817585</v>
      </c>
      <c r="CM132" s="21">
        <f>EXP(-LN(2)/2)*CM131+(1-EXP(-LN(2)/2))/(LN(2)/2)*CG132*CJ132*VLOOKUP('Données projet'!$B$12,Paramètres!$A$1:$I$89,3,0)*0.475*44/12</f>
        <v>9.2487108819062053E-15</v>
      </c>
      <c r="CN132" s="22">
        <f t="shared" ref="CN132:CN153" si="120">SUM(CK132:CM132)</f>
        <v>0.23742974203818509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-1.0995790944434703E-13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293.19327646293601</v>
      </c>
      <c r="CZ132" s="59">
        <f t="shared" si="96"/>
        <v>200.0769581869605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0.21334266675894042</v>
      </c>
      <c r="DH132" s="21">
        <f>EXP(-LN(2)/2)*DH131+(1-EXP(-LN(2)/2))/(LN(2)/2)*DB132*DE132*VLOOKUP('Données projet'!$B$13,Paramètres!$A$1:$I$89,3,0)*0.475*44/12</f>
        <v>8.3104358649012119E-15</v>
      </c>
      <c r="DI132" s="22">
        <f t="shared" ref="DI132:DI153" si="123">SUM(DF132:DH132)</f>
        <v>0.21334266675894872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-2.7193891583010558E-13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246.59447135626942</v>
      </c>
      <c r="T133" s="59">
        <f t="shared" ref="T133:T196" si="142">$T$3</f>
        <v>262.00382544285367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0.8030789719906406</v>
      </c>
      <c r="AB133" s="21">
        <f>EXP(-LN(2)/2)*AB132+(1-EXP(-LN(2)/2))/(LN(2)/2)*V133*Y133*VLOOKUP('Données projet'!$B$9,Paramètres!$A$1:$I$89,3,0)*0.475*44/12</f>
        <v>2.1075905353224097E-14</v>
      </c>
      <c r="AC133" s="22">
        <f t="shared" si="111"/>
        <v>0.80307897199066169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195.73441209602686</v>
      </c>
      <c r="AO133" s="59">
        <f t="shared" ref="AO133:AO196" si="144">$AO$3</f>
        <v>219.19129224309006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0.85736197092753852</v>
      </c>
      <c r="AV133" s="21">
        <f>EXP(-LN(2)/25)*AV132+(1-EXP(-LN(2)/25))/(LN(2)/25)*Calculateur!AQ133*Calculateur!AS133*VLOOKUP('Données projet'!$B$10,Paramètres!$A$1:$I$89,3,0)*0.475*44/12</f>
        <v>0.77068014074723845</v>
      </c>
      <c r="AW133" s="21">
        <f>EXP(-LN(2)/2)*AW132+(1-EXP(-LN(2)/2))/(LN(2)/2)*AQ133*AT133*VLOOKUP('Données projet'!$B$10,Paramètres!$A$1:$I$89,3,0)*0.475*44/12</f>
        <v>4.8367464469782204E-15</v>
      </c>
      <c r="AX133" s="21">
        <f t="shared" si="114"/>
        <v>1.6280421116747819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-1.0286385077051818E-13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269.19146943657933</v>
      </c>
      <c r="BJ133" s="59">
        <f t="shared" ref="BJ133:BJ196" si="146">$BJ$3</f>
        <v>185.94138814570965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0.19412113578061965</v>
      </c>
      <c r="BR133" s="21">
        <f>EXP(-LN(2)/2)*BR132+(1-EXP(-LN(2)/2))/(LN(2)/2)*BL133*BO133*VLOOKUP('Données projet'!$B$11,Paramètres!$A$1:$I$89,3,0)*0.475*44/12</f>
        <v>5.4972451963206013E-15</v>
      </c>
      <c r="BS133" s="22">
        <f t="shared" si="117"/>
        <v>0.19412113578062515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-1.223725121235475E-13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335.12015893291874</v>
      </c>
      <c r="CE133" s="59">
        <f t="shared" ref="CE133:CE196" si="148">$CE$3</f>
        <v>224.76596283033166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0.23093721325625446</v>
      </c>
      <c r="CM133" s="21">
        <f>EXP(-LN(2)/2)*CM132+(1-EXP(-LN(2)/2))/(LN(2)/2)*CG133*CJ133*VLOOKUP('Données projet'!$B$12,Paramètres!$A$1:$I$89,3,0)*0.475*44/12</f>
        <v>6.5398261818296922E-15</v>
      </c>
      <c r="CN133" s="22">
        <f t="shared" si="120"/>
        <v>0.23093721325626101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-1.0995790944434703E-13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293.19327646293601</v>
      </c>
      <c r="CZ133" s="59">
        <f t="shared" ref="CZ133:CZ196" si="150">$CZ$3</f>
        <v>200.0769581869605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0.20750880031721394</v>
      </c>
      <c r="DH133" s="21">
        <f>EXP(-LN(2)/2)*DH132+(1-EXP(-LN(2)/2))/(LN(2)/2)*DB133*DE133*VLOOKUP('Données projet'!$B$13,Paramètres!$A$1:$I$89,3,0)*0.475*44/12</f>
        <v>5.8763655546875382E-15</v>
      </c>
      <c r="DI133" s="22">
        <f t="shared" si="123"/>
        <v>0.20750880031721983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-2.7193891583010558E-13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246.59447135626942</v>
      </c>
      <c r="T134" s="59">
        <f t="shared" si="142"/>
        <v>262.00382544285367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0.78111873526946884</v>
      </c>
      <c r="AB134" s="21">
        <f>EXP(-LN(2)/2)*AB133+(1-EXP(-LN(2)/2))/(LN(2)/2)*V134*Y134*VLOOKUP('Données projet'!$B$9,Paramètres!$A$1:$I$89,3,0)*0.475*44/12</f>
        <v>1.4902915594910617E-14</v>
      </c>
      <c r="AC134" s="22">
        <f t="shared" si="111"/>
        <v>0.78111873526948372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195.73441209602686</v>
      </c>
      <c r="AO134" s="59">
        <f t="shared" si="144"/>
        <v>219.19129224309006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0.84054962561681579</v>
      </c>
      <c r="AV134" s="21">
        <f>EXP(-LN(2)/25)*AV133+(1-EXP(-LN(2)/25))/(LN(2)/25)*Calculateur!AQ134*Calculateur!AS134*VLOOKUP('Données projet'!$B$10,Paramètres!$A$1:$I$89,3,0)*0.475*44/12</f>
        <v>0.74960585177019801</v>
      </c>
      <c r="AW134" s="21">
        <f>EXP(-LN(2)/2)*AW133+(1-EXP(-LN(2)/2))/(LN(2)/2)*AQ134*AT134*VLOOKUP('Données projet'!$B$10,Paramètres!$A$1:$I$89,3,0)*0.475*44/12</f>
        <v>3.4200962115382397E-15</v>
      </c>
      <c r="AX134" s="21">
        <f t="shared" si="114"/>
        <v>1.590155477387017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-1.0286385077051818E-13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269.19146943657933</v>
      </c>
      <c r="BJ134" s="59">
        <f t="shared" si="146"/>
        <v>185.94138814570965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0.18881288311431174</v>
      </c>
      <c r="BR134" s="21">
        <f>EXP(-LN(2)/2)*BR133+(1-EXP(-LN(2)/2))/(LN(2)/2)*BL134*BO134*VLOOKUP('Données projet'!$B$11,Paramètres!$A$1:$I$89,3,0)*0.475*44/12</f>
        <v>3.8871393561634708E-15</v>
      </c>
      <c r="BS134" s="22">
        <f t="shared" si="117"/>
        <v>0.18881288311431563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-1.223725121235475E-13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335.12015893291874</v>
      </c>
      <c r="CE134" s="59">
        <f t="shared" si="148"/>
        <v>224.76596283033166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0.22462222301530196</v>
      </c>
      <c r="CM134" s="21">
        <f>EXP(-LN(2)/2)*CM133+(1-EXP(-LN(2)/2))/(LN(2)/2)*CG134*CJ134*VLOOKUP('Données projet'!$B$12,Paramètres!$A$1:$I$89,3,0)*0.475*44/12</f>
        <v>4.6243554409531026E-15</v>
      </c>
      <c r="CN134" s="22">
        <f t="shared" si="120"/>
        <v>0.2246222230153066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-1.0995790944434703E-13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293.19327646293601</v>
      </c>
      <c r="CZ134" s="59">
        <f t="shared" si="150"/>
        <v>200.0769581869605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0.20183446126012619</v>
      </c>
      <c r="DH134" s="21">
        <f>EXP(-LN(2)/2)*DH133+(1-EXP(-LN(2)/2))/(LN(2)/2)*DB134*DE134*VLOOKUP('Données projet'!$B$13,Paramètres!$A$1:$I$89,3,0)*0.475*44/12</f>
        <v>4.1552179324506059E-15</v>
      </c>
      <c r="DI134" s="22">
        <f t="shared" si="123"/>
        <v>0.20183446126013035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-2.7193891583010558E-13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246.59447135626942</v>
      </c>
      <c r="T135" s="59">
        <f t="shared" si="142"/>
        <v>262.00382544285367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0.75975900237627625</v>
      </c>
      <c r="AB135" s="21">
        <f>EXP(-LN(2)/2)*AB134+(1-EXP(-LN(2)/2))/(LN(2)/2)*V135*Y135*VLOOKUP('Données projet'!$B$9,Paramètres!$A$1:$I$89,3,0)*0.475*44/12</f>
        <v>1.0537952676612049E-14</v>
      </c>
      <c r="AC135" s="22">
        <f t="shared" si="111"/>
        <v>0.7597590023762868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195.73441209602686</v>
      </c>
      <c r="AO135" s="59">
        <f t="shared" si="144"/>
        <v>219.19129224309006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0.8240669601431182</v>
      </c>
      <c r="AV135" s="21">
        <f>EXP(-LN(2)/25)*AV134+(1-EXP(-LN(2)/25))/(LN(2)/25)*Calculateur!AQ135*Calculateur!AS135*VLOOKUP('Données projet'!$B$10,Paramètres!$A$1:$I$89,3,0)*0.475*44/12</f>
        <v>0.72910784033348341</v>
      </c>
      <c r="AW135" s="21">
        <f>EXP(-LN(2)/2)*AW134+(1-EXP(-LN(2)/2))/(LN(2)/2)*AQ135*AT135*VLOOKUP('Données projet'!$B$10,Paramètres!$A$1:$I$89,3,0)*0.475*44/12</f>
        <v>2.4183732234891102E-15</v>
      </c>
      <c r="AX135" s="21">
        <f t="shared" si="114"/>
        <v>1.5531748004766042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-1.0286385077051818E-13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269.19146943657933</v>
      </c>
      <c r="BJ135" s="59">
        <f t="shared" si="146"/>
        <v>185.94138814570965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0.1836497848963129</v>
      </c>
      <c r="BR135" s="21">
        <f>EXP(-LN(2)/2)*BR134+(1-EXP(-LN(2)/2))/(LN(2)/2)*BL135*BO135*VLOOKUP('Données projet'!$B$11,Paramètres!$A$1:$I$89,3,0)*0.475*44/12</f>
        <v>2.7486225981603006E-15</v>
      </c>
      <c r="BS135" s="22">
        <f t="shared" si="117"/>
        <v>0.18364978489631564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-1.223725121235475E-13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335.12015893291874</v>
      </c>
      <c r="CE135" s="59">
        <f t="shared" si="148"/>
        <v>224.76596283033166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0.21847991651457921</v>
      </c>
      <c r="CM135" s="21">
        <f>EXP(-LN(2)/2)*CM134+(1-EXP(-LN(2)/2))/(LN(2)/2)*CG135*CJ135*VLOOKUP('Données projet'!$B$12,Paramètres!$A$1:$I$89,3,0)*0.475*44/12</f>
        <v>3.2699130909148461E-15</v>
      </c>
      <c r="CN135" s="22">
        <f t="shared" si="120"/>
        <v>0.21847991651458248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-1.0995790944434703E-13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293.19327646293601</v>
      </c>
      <c r="CZ135" s="59">
        <f t="shared" si="150"/>
        <v>200.0769581869605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0.19631528730295503</v>
      </c>
      <c r="DH135" s="21">
        <f>EXP(-LN(2)/2)*DH134+(1-EXP(-LN(2)/2))/(LN(2)/2)*DB135*DE135*VLOOKUP('Données projet'!$B$13,Paramètres!$A$1:$I$89,3,0)*0.475*44/12</f>
        <v>2.9381827773437691E-15</v>
      </c>
      <c r="DI135" s="22">
        <f t="shared" si="123"/>
        <v>0.19631528730295797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-2.7193891583010558E-13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246.59447135626942</v>
      </c>
      <c r="T136" s="59">
        <f t="shared" si="142"/>
        <v>262.00382544285367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0.73898335250230751</v>
      </c>
      <c r="AB136" s="21">
        <f>EXP(-LN(2)/2)*AB135+(1-EXP(-LN(2)/2))/(LN(2)/2)*V136*Y136*VLOOKUP('Données projet'!$B$9,Paramètres!$A$1:$I$89,3,0)*0.475*44/12</f>
        <v>7.4514577974553085E-15</v>
      </c>
      <c r="AC136" s="22">
        <f t="shared" si="111"/>
        <v>0.73898335250231495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195.73441209602686</v>
      </c>
      <c r="AO136" s="59">
        <f t="shared" si="144"/>
        <v>219.19129224309006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0.80790750968592662</v>
      </c>
      <c r="AV136" s="21">
        <f>EXP(-LN(2)/25)*AV135+(1-EXP(-LN(2)/25))/(LN(2)/25)*Calculateur!AQ136*Calculateur!AS136*VLOOKUP('Données projet'!$B$10,Paramètres!$A$1:$I$89,3,0)*0.475*44/12</f>
        <v>0.70917034809744939</v>
      </c>
      <c r="AW136" s="21">
        <f>EXP(-LN(2)/2)*AW135+(1-EXP(-LN(2)/2))/(LN(2)/2)*AQ136*AT136*VLOOKUP('Données projet'!$B$10,Paramètres!$A$1:$I$89,3,0)*0.475*44/12</f>
        <v>1.7100481057691199E-15</v>
      </c>
      <c r="AX136" s="21">
        <f t="shared" si="114"/>
        <v>1.5170778577833777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-1.0286385077051818E-13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269.19146943657933</v>
      </c>
      <c r="BJ136" s="59">
        <f t="shared" si="146"/>
        <v>185.94138814570965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0.17862787187060078</v>
      </c>
      <c r="BR136" s="21">
        <f>EXP(-LN(2)/2)*BR135+(1-EXP(-LN(2)/2))/(LN(2)/2)*BL136*BO136*VLOOKUP('Données projet'!$B$11,Paramètres!$A$1:$I$89,3,0)*0.475*44/12</f>
        <v>1.9435696780817354E-15</v>
      </c>
      <c r="BS136" s="22">
        <f t="shared" si="117"/>
        <v>0.17862787187060272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-1.223725121235475E-13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335.12015893291874</v>
      </c>
      <c r="CE136" s="59">
        <f t="shared" si="148"/>
        <v>224.76596283033166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0.21250557170812856</v>
      </c>
      <c r="CM136" s="21">
        <f>EXP(-LN(2)/2)*CM135+(1-EXP(-LN(2)/2))/(LN(2)/2)*CG136*CJ136*VLOOKUP('Données projet'!$B$12,Paramètres!$A$1:$I$89,3,0)*0.475*44/12</f>
        <v>2.3121777204765513E-15</v>
      </c>
      <c r="CN136" s="22">
        <f t="shared" si="120"/>
        <v>0.21250557170813086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-1.0995790944434703E-13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293.19327646293601</v>
      </c>
      <c r="CZ136" s="59">
        <f t="shared" si="150"/>
        <v>200.0769581869605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0.19094703544788344</v>
      </c>
      <c r="DH136" s="21">
        <f>EXP(-LN(2)/2)*DH135+(1-EXP(-LN(2)/2))/(LN(2)/2)*DB136*DE136*VLOOKUP('Données projet'!$B$13,Paramètres!$A$1:$I$89,3,0)*0.475*44/12</f>
        <v>2.077608966225303E-15</v>
      </c>
      <c r="DI136" s="22">
        <f t="shared" si="123"/>
        <v>0.19094703544788552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-2.7193891583010558E-13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246.59447135626942</v>
      </c>
      <c r="T137" s="59">
        <f t="shared" si="142"/>
        <v>262.00382544285367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0.71877581386668632</v>
      </c>
      <c r="AB137" s="21">
        <f>EXP(-LN(2)/2)*AB136+(1-EXP(-LN(2)/2))/(LN(2)/2)*V137*Y137*VLOOKUP('Données projet'!$B$9,Paramètres!$A$1:$I$89,3,0)*0.475*44/12</f>
        <v>5.2689763383060243E-15</v>
      </c>
      <c r="AC137" s="22">
        <f t="shared" si="111"/>
        <v>0.71877581386669154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195.73441209602686</v>
      </c>
      <c r="AO137" s="59">
        <f t="shared" si="144"/>
        <v>219.19129224309006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0.79206493619590901</v>
      </c>
      <c r="AV137" s="21">
        <f>EXP(-LN(2)/25)*AV136+(1-EXP(-LN(2)/25))/(LN(2)/25)*Calculateur!AQ137*Calculateur!AS137*VLOOKUP('Données projet'!$B$10,Paramètres!$A$1:$I$89,3,0)*0.475*44/12</f>
        <v>0.68977804763507689</v>
      </c>
      <c r="AW137" s="21">
        <f>EXP(-LN(2)/2)*AW136+(1-EXP(-LN(2)/2))/(LN(2)/2)*AQ137*AT137*VLOOKUP('Données projet'!$B$10,Paramètres!$A$1:$I$89,3,0)*0.475*44/12</f>
        <v>1.2091866117445551E-15</v>
      </c>
      <c r="AX137" s="21">
        <f t="shared" si="114"/>
        <v>1.481842983830987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-1.0286385077051818E-13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269.19146943657933</v>
      </c>
      <c r="BJ137" s="59">
        <f t="shared" si="146"/>
        <v>185.94138814570965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0.17374328332066769</v>
      </c>
      <c r="BR137" s="21">
        <f>EXP(-LN(2)/2)*BR136+(1-EXP(-LN(2)/2))/(LN(2)/2)*BL137*BO137*VLOOKUP('Données projet'!$B$11,Paramètres!$A$1:$I$89,3,0)*0.475*44/12</f>
        <v>1.3743112990801503E-15</v>
      </c>
      <c r="BS137" s="22">
        <f t="shared" si="117"/>
        <v>0.17374328332066907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-1.223725121235475E-13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335.12015893291874</v>
      </c>
      <c r="CE137" s="59">
        <f t="shared" si="148"/>
        <v>224.76596283033166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0.20669459567458745</v>
      </c>
      <c r="CM137" s="21">
        <f>EXP(-LN(2)/2)*CM136+(1-EXP(-LN(2)/2))/(LN(2)/2)*CG137*CJ137*VLOOKUP('Données projet'!$B$12,Paramètres!$A$1:$I$89,3,0)*0.475*44/12</f>
        <v>1.634956545457423E-15</v>
      </c>
      <c r="CN137" s="22">
        <f t="shared" si="120"/>
        <v>0.20669459567458909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-1.0995790944434703E-13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293.19327646293601</v>
      </c>
      <c r="CZ137" s="59">
        <f t="shared" si="150"/>
        <v>200.0769581869605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0.18572557872209289</v>
      </c>
      <c r="DH137" s="21">
        <f>EXP(-LN(2)/2)*DH136+(1-EXP(-LN(2)/2))/(LN(2)/2)*DB137*DE137*VLOOKUP('Données projet'!$B$13,Paramètres!$A$1:$I$89,3,0)*0.475*44/12</f>
        <v>1.4690913886718845E-15</v>
      </c>
      <c r="DI137" s="22">
        <f t="shared" si="123"/>
        <v>0.18572557872209436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-2.7193891583010558E-13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246.59447135626942</v>
      </c>
      <c r="T138" s="59">
        <f t="shared" si="142"/>
        <v>262.00382544285367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0.69912085143772451</v>
      </c>
      <c r="AB138" s="21">
        <f>EXP(-LN(2)/2)*AB137+(1-EXP(-LN(2)/2))/(LN(2)/2)*V138*Y138*VLOOKUP('Données projet'!$B$9,Paramètres!$A$1:$I$89,3,0)*0.475*44/12</f>
        <v>3.7257288987276542E-15</v>
      </c>
      <c r="AC138" s="22">
        <f t="shared" si="111"/>
        <v>0.69912085143772829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195.73441209602686</v>
      </c>
      <c r="AO138" s="59">
        <f t="shared" si="144"/>
        <v>219.19129224309006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0.77653302590901496</v>
      </c>
      <c r="AV138" s="21">
        <f>EXP(-LN(2)/25)*AV137+(1-EXP(-LN(2)/25))/(LN(2)/25)*Calculateur!AQ138*Calculateur!AS138*VLOOKUP('Données projet'!$B$10,Paramètres!$A$1:$I$89,3,0)*0.475*44/12</f>
        <v>0.67091603064864469</v>
      </c>
      <c r="AW138" s="21">
        <f>EXP(-LN(2)/2)*AW137+(1-EXP(-LN(2)/2))/(LN(2)/2)*AQ138*AT138*VLOOKUP('Données projet'!$B$10,Paramètres!$A$1:$I$89,3,0)*0.475*44/12</f>
        <v>8.5502405288455993E-16</v>
      </c>
      <c r="AX138" s="21">
        <f t="shared" si="114"/>
        <v>1.4474490565576605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-1.0286385077051818E-13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269.19146943657933</v>
      </c>
      <c r="BJ138" s="59">
        <f t="shared" si="146"/>
        <v>185.94138814570965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0.16899226410150187</v>
      </c>
      <c r="BR138" s="21">
        <f>EXP(-LN(2)/2)*BR137+(1-EXP(-LN(2)/2))/(LN(2)/2)*BL138*BO138*VLOOKUP('Données projet'!$B$11,Paramètres!$A$1:$I$89,3,0)*0.475*44/12</f>
        <v>9.7178483904086771E-16</v>
      </c>
      <c r="BS138" s="22">
        <f t="shared" si="117"/>
        <v>0.16899226410150284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-1.223725121235475E-13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335.12015893291874</v>
      </c>
      <c r="CE138" s="59">
        <f t="shared" si="148"/>
        <v>224.76596283033166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0.20104252108626947</v>
      </c>
      <c r="CM138" s="21">
        <f>EXP(-LN(2)/2)*CM137+(1-EXP(-LN(2)/2))/(LN(2)/2)*CG138*CJ138*VLOOKUP('Données projet'!$B$12,Paramètres!$A$1:$I$89,3,0)*0.475*44/12</f>
        <v>1.1560888602382757E-15</v>
      </c>
      <c r="CN138" s="22">
        <f t="shared" si="120"/>
        <v>0.20104252108627063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-1.0995790944434703E-13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293.19327646293601</v>
      </c>
      <c r="CZ138" s="59">
        <f t="shared" si="150"/>
        <v>200.0769581869605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0.18064690300505357</v>
      </c>
      <c r="DH138" s="21">
        <f>EXP(-LN(2)/2)*DH137+(1-EXP(-LN(2)/2))/(LN(2)/2)*DB138*DE138*VLOOKUP('Données projet'!$B$13,Paramètres!$A$1:$I$89,3,0)*0.475*44/12</f>
        <v>1.0388044831126515E-15</v>
      </c>
      <c r="DI138" s="22">
        <f t="shared" si="123"/>
        <v>0.18064690300505459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-2.7193891583010558E-13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246.59447135626942</v>
      </c>
      <c r="T139" s="59">
        <f t="shared" si="142"/>
        <v>262.00382544285367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0.6800033549899922</v>
      </c>
      <c r="AB139" s="21">
        <f>EXP(-LN(2)/2)*AB138+(1-EXP(-LN(2)/2))/(LN(2)/2)*V139*Y139*VLOOKUP('Données projet'!$B$9,Paramètres!$A$1:$I$89,3,0)*0.475*44/12</f>
        <v>2.6344881691530121E-15</v>
      </c>
      <c r="AC139" s="22">
        <f t="shared" si="111"/>
        <v>0.68000335498999487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195.73441209602686</v>
      </c>
      <c r="AO139" s="59">
        <f t="shared" si="144"/>
        <v>219.19129224309006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0.7613056869093171</v>
      </c>
      <c r="AV139" s="21">
        <f>EXP(-LN(2)/25)*AV138+(1-EXP(-LN(2)/25))/(LN(2)/25)*Calculateur!AQ139*Calculateur!AS139*VLOOKUP('Données projet'!$B$10,Paramètres!$A$1:$I$89,3,0)*0.475*44/12</f>
        <v>0.6525697965086168</v>
      </c>
      <c r="AW139" s="21">
        <f>EXP(-LN(2)/2)*AW138+(1-EXP(-LN(2)/2))/(LN(2)/2)*AQ139*AT139*VLOOKUP('Données projet'!$B$10,Paramètres!$A$1:$I$89,3,0)*0.475*44/12</f>
        <v>6.0459330587227755E-16</v>
      </c>
      <c r="AX139" s="21">
        <f t="shared" si="114"/>
        <v>1.4138754834179346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-1.0286385077051818E-13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269.19146943657933</v>
      </c>
      <c r="BJ139" s="59">
        <f t="shared" si="146"/>
        <v>185.94138814570965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0.16437116175272937</v>
      </c>
      <c r="BR139" s="21">
        <f>EXP(-LN(2)/2)*BR138+(1-EXP(-LN(2)/2))/(LN(2)/2)*BL139*BO139*VLOOKUP('Données projet'!$B$11,Paramètres!$A$1:$I$89,3,0)*0.475*44/12</f>
        <v>6.8715564954007516E-16</v>
      </c>
      <c r="BS139" s="22">
        <f t="shared" si="117"/>
        <v>0.16437116175273006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-1.223725121235475E-13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335.12015893291874</v>
      </c>
      <c r="CE139" s="59">
        <f t="shared" si="148"/>
        <v>224.76596283033166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0.19554500277479872</v>
      </c>
      <c r="CM139" s="21">
        <f>EXP(-LN(2)/2)*CM138+(1-EXP(-LN(2)/2))/(LN(2)/2)*CG139*CJ139*VLOOKUP('Données projet'!$B$12,Paramètres!$A$1:$I$89,3,0)*0.475*44/12</f>
        <v>8.1747827272871152E-16</v>
      </c>
      <c r="CN139" s="22">
        <f t="shared" si="120"/>
        <v>0.19554500277479953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-1.0995790944434703E-13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293.19327646293601</v>
      </c>
      <c r="CZ139" s="59">
        <f t="shared" si="150"/>
        <v>200.0769581869605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0.17570710394257263</v>
      </c>
      <c r="DH139" s="21">
        <f>EXP(-LN(2)/2)*DH138+(1-EXP(-LN(2)/2))/(LN(2)/2)*DB139*DE139*VLOOKUP('Données projet'!$B$13,Paramètres!$A$1:$I$89,3,0)*0.475*44/12</f>
        <v>7.3454569433594227E-16</v>
      </c>
      <c r="DI139" s="22">
        <f t="shared" si="123"/>
        <v>0.17570710394257336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-2.7193891583010558E-13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246.59447135626942</v>
      </c>
      <c r="T140" s="59">
        <f t="shared" si="142"/>
        <v>262.00382544285367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0.66140862748796858</v>
      </c>
      <c r="AB140" s="21">
        <f>EXP(-LN(2)/2)*AB139+(1-EXP(-LN(2)/2))/(LN(2)/2)*V140*Y140*VLOOKUP('Données projet'!$B$9,Paramètres!$A$1:$I$89,3,0)*0.475*44/12</f>
        <v>1.8628644493638271E-15</v>
      </c>
      <c r="AC140" s="22">
        <f t="shared" si="111"/>
        <v>0.66140862748797047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195.73441209602686</v>
      </c>
      <c r="AO140" s="59">
        <f t="shared" si="144"/>
        <v>219.19129224309006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0.74637694673964361</v>
      </c>
      <c r="AV140" s="21">
        <f>EXP(-LN(2)/25)*AV139+(1-EXP(-LN(2)/25))/(LN(2)/25)*Calculateur!AQ140*Calculateur!AS140*VLOOKUP('Données projet'!$B$10,Paramètres!$A$1:$I$89,3,0)*0.475*44/12</f>
        <v>0.63472524110593453</v>
      </c>
      <c r="AW140" s="21">
        <f>EXP(-LN(2)/2)*AW139+(1-EXP(-LN(2)/2))/(LN(2)/2)*AQ140*AT140*VLOOKUP('Données projet'!$B$10,Paramètres!$A$1:$I$89,3,0)*0.475*44/12</f>
        <v>4.2751202644227996E-16</v>
      </c>
      <c r="AX140" s="21">
        <f t="shared" si="114"/>
        <v>1.3811021878455785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-1.0286385077051818E-13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269.19146943657933</v>
      </c>
      <c r="BJ140" s="59">
        <f t="shared" si="146"/>
        <v>185.94138814570965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0.15987642369069727</v>
      </c>
      <c r="BR140" s="21">
        <f>EXP(-LN(2)/2)*BR139+(1-EXP(-LN(2)/2))/(LN(2)/2)*BL140*BO140*VLOOKUP('Données projet'!$B$11,Paramètres!$A$1:$I$89,3,0)*0.475*44/12</f>
        <v>4.8589241952043386E-16</v>
      </c>
      <c r="BS140" s="22">
        <f t="shared" si="117"/>
        <v>0.15987642369069777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-1.223725121235475E-13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335.12015893291874</v>
      </c>
      <c r="CE140" s="59">
        <f t="shared" si="148"/>
        <v>224.76596283033166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0.19019781439065708</v>
      </c>
      <c r="CM140" s="21">
        <f>EXP(-LN(2)/2)*CM139+(1-EXP(-LN(2)/2))/(LN(2)/2)*CG140*CJ140*VLOOKUP('Données projet'!$B$12,Paramètres!$A$1:$I$89,3,0)*0.475*44/12</f>
        <v>5.7804443011913783E-16</v>
      </c>
      <c r="CN140" s="22">
        <f t="shared" si="120"/>
        <v>0.19019781439065767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-1.0995790944434703E-13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293.19327646293601</v>
      </c>
      <c r="CZ140" s="59">
        <f t="shared" si="150"/>
        <v>200.0769581869605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0.17090238394522797</v>
      </c>
      <c r="DH140" s="21">
        <f>EXP(-LN(2)/2)*DH139+(1-EXP(-LN(2)/2))/(LN(2)/2)*DB140*DE140*VLOOKUP('Données projet'!$B$13,Paramètres!$A$1:$I$89,3,0)*0.475*44/12</f>
        <v>5.1940224155632574E-16</v>
      </c>
      <c r="DI140" s="22">
        <f t="shared" si="123"/>
        <v>0.1709023839452285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-2.7193891583010558E-13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246.59447135626942</v>
      </c>
      <c r="T141" s="59">
        <f t="shared" si="142"/>
        <v>262.00382544285367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0.64332237378734203</v>
      </c>
      <c r="AB141" s="21">
        <f>EXP(-LN(2)/2)*AB140+(1-EXP(-LN(2)/2))/(LN(2)/2)*V141*Y141*VLOOKUP('Données projet'!$B$9,Paramètres!$A$1:$I$89,3,0)*0.475*44/12</f>
        <v>1.3172440845765061E-15</v>
      </c>
      <c r="AC141" s="22">
        <f t="shared" si="111"/>
        <v>0.64332237378734336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195.73441209602686</v>
      </c>
      <c r="AO141" s="59">
        <f t="shared" si="144"/>
        <v>219.19129224309006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0.73174095005906503</v>
      </c>
      <c r="AV141" s="21">
        <f>EXP(-LN(2)/25)*AV140+(1-EXP(-LN(2)/25))/(LN(2)/25)*Calculateur!AQ141*Calculateur!AS141*VLOOKUP('Données projet'!$B$10,Paramètres!$A$1:$I$89,3,0)*0.475*44/12</f>
        <v>0.61736864600914299</v>
      </c>
      <c r="AW141" s="21">
        <f>EXP(-LN(2)/2)*AW140+(1-EXP(-LN(2)/2))/(LN(2)/2)*AQ141*AT141*VLOOKUP('Données projet'!$B$10,Paramètres!$A$1:$I$89,3,0)*0.475*44/12</f>
        <v>3.0229665293613877E-16</v>
      </c>
      <c r="AX141" s="21">
        <f t="shared" si="114"/>
        <v>1.3491095960682082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-1.0286385077051818E-13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269.19146943657933</v>
      </c>
      <c r="BJ141" s="59">
        <f t="shared" si="146"/>
        <v>185.94138814570965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0.15550459447733944</v>
      </c>
      <c r="BR141" s="21">
        <f>EXP(-LN(2)/2)*BR140+(1-EXP(-LN(2)/2))/(LN(2)/2)*BL141*BO141*VLOOKUP('Données projet'!$B$11,Paramètres!$A$1:$I$89,3,0)*0.475*44/12</f>
        <v>3.4357782477003758E-16</v>
      </c>
      <c r="BS141" s="22">
        <f t="shared" si="117"/>
        <v>0.15550459447733977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-1.223725121235475E-13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335.12015893291874</v>
      </c>
      <c r="CE141" s="59">
        <f t="shared" si="148"/>
        <v>224.76596283033166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0.18499684515407622</v>
      </c>
      <c r="CM141" s="21">
        <f>EXP(-LN(2)/2)*CM140+(1-EXP(-LN(2)/2))/(LN(2)/2)*CG141*CJ141*VLOOKUP('Données projet'!$B$12,Paramètres!$A$1:$I$89,3,0)*0.475*44/12</f>
        <v>4.0873913636435576E-16</v>
      </c>
      <c r="CN141" s="22">
        <f t="shared" si="120"/>
        <v>0.18499684515407663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-1.0995790944434703E-13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293.19327646293601</v>
      </c>
      <c r="CZ141" s="59">
        <f t="shared" si="150"/>
        <v>200.0769581869605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0.16622904926887994</v>
      </c>
      <c r="DH141" s="21">
        <f>EXP(-LN(2)/2)*DH140+(1-EXP(-LN(2)/2))/(LN(2)/2)*DB141*DE141*VLOOKUP('Données projet'!$B$13,Paramètres!$A$1:$I$89,3,0)*0.475*44/12</f>
        <v>3.6727284716797114E-16</v>
      </c>
      <c r="DI141" s="22">
        <f t="shared" si="123"/>
        <v>0.1662290492688803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-2.7193891583010558E-13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246.59447135626942</v>
      </c>
      <c r="T142" s="59">
        <f t="shared" si="142"/>
        <v>262.00382544285367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0.6257306896452739</v>
      </c>
      <c r="AB142" s="21">
        <f>EXP(-LN(2)/2)*AB141+(1-EXP(-LN(2)/2))/(LN(2)/2)*V142*Y142*VLOOKUP('Données projet'!$B$9,Paramètres!$A$1:$I$89,3,0)*0.475*44/12</f>
        <v>9.3143222468191356E-16</v>
      </c>
      <c r="AC142" s="22">
        <f t="shared" si="111"/>
        <v>0.62573068964527478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195.73441209602686</v>
      </c>
      <c r="AO142" s="59">
        <f t="shared" si="144"/>
        <v>219.19129224309006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0.71739195634631603</v>
      </c>
      <c r="AV142" s="21">
        <f>EXP(-LN(2)/25)*AV141+(1-EXP(-LN(2)/25))/(LN(2)/25)*Calculateur!AQ142*Calculateur!AS142*VLOOKUP('Données projet'!$B$10,Paramètres!$A$1:$I$89,3,0)*0.475*44/12</f>
        <v>0.60048666791801686</v>
      </c>
      <c r="AW142" s="21">
        <f>EXP(-LN(2)/2)*AW141+(1-EXP(-LN(2)/2))/(LN(2)/2)*AQ142*AT142*VLOOKUP('Données projet'!$B$10,Paramètres!$A$1:$I$89,3,0)*0.475*44/12</f>
        <v>2.1375601322113998E-16</v>
      </c>
      <c r="AX142" s="21">
        <f t="shared" si="114"/>
        <v>1.3178786242643332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-1.0286385077051818E-13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269.19146943657933</v>
      </c>
      <c r="BJ142" s="59">
        <f t="shared" si="146"/>
        <v>185.94138814570965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0.15125231316372539</v>
      </c>
      <c r="BR142" s="21">
        <f>EXP(-LN(2)/2)*BR141+(1-EXP(-LN(2)/2))/(LN(2)/2)*BL142*BO142*VLOOKUP('Données projet'!$B$11,Paramètres!$A$1:$I$89,3,0)*0.475*44/12</f>
        <v>2.4294620976021693E-16</v>
      </c>
      <c r="BS142" s="22">
        <f t="shared" si="117"/>
        <v>0.15125231316372564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-1.223725121235475E-13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335.12015893291874</v>
      </c>
      <c r="CE142" s="59">
        <f t="shared" si="148"/>
        <v>224.76596283033166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0.17993809669477673</v>
      </c>
      <c r="CM142" s="21">
        <f>EXP(-LN(2)/2)*CM141+(1-EXP(-LN(2)/2))/(LN(2)/2)*CG142*CJ142*VLOOKUP('Données projet'!$B$12,Paramètres!$A$1:$I$89,3,0)*0.475*44/12</f>
        <v>2.8902221505956891E-16</v>
      </c>
      <c r="CN142" s="22">
        <f t="shared" si="120"/>
        <v>0.17993809669477701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-1.0995790944434703E-13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293.19327646293601</v>
      </c>
      <c r="CZ142" s="59">
        <f t="shared" si="150"/>
        <v>200.0769581869605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0.16168350717501664</v>
      </c>
      <c r="DH142" s="21">
        <f>EXP(-LN(2)/2)*DH141+(1-EXP(-LN(2)/2))/(LN(2)/2)*DB142*DE142*VLOOKUP('Données projet'!$B$13,Paramètres!$A$1:$I$89,3,0)*0.475*44/12</f>
        <v>2.5970112077816287E-16</v>
      </c>
      <c r="DI142" s="22">
        <f t="shared" si="123"/>
        <v>0.16168350717501689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-2.7193891583010558E-13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246.59447135626942</v>
      </c>
      <c r="T143" s="59">
        <f t="shared" si="142"/>
        <v>262.00382544285367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0.608620051031177</v>
      </c>
      <c r="AB143" s="21">
        <f>EXP(-LN(2)/2)*AB142+(1-EXP(-LN(2)/2))/(LN(2)/2)*V143*Y143*VLOOKUP('Données projet'!$B$9,Paramètres!$A$1:$I$89,3,0)*0.475*44/12</f>
        <v>6.5862204228825304E-16</v>
      </c>
      <c r="AC143" s="22">
        <f t="shared" si="111"/>
        <v>0.60862005103117767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195.73441209602686</v>
      </c>
      <c r="AO143" s="59">
        <f t="shared" si="144"/>
        <v>219.19129224309006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0.70332433764825208</v>
      </c>
      <c r="AV143" s="21">
        <f>EXP(-LN(2)/25)*AV142+(1-EXP(-LN(2)/25))/(LN(2)/25)*Calculateur!AQ143*Calculateur!AS143*VLOOKUP('Données projet'!$B$10,Paramètres!$A$1:$I$89,3,0)*0.475*44/12</f>
        <v>0.58406632840557726</v>
      </c>
      <c r="AW143" s="21">
        <f>EXP(-LN(2)/2)*AW142+(1-EXP(-LN(2)/2))/(LN(2)/2)*AQ143*AT143*VLOOKUP('Données projet'!$B$10,Paramètres!$A$1:$I$89,3,0)*0.475*44/12</f>
        <v>1.5114832646806939E-16</v>
      </c>
      <c r="AX143" s="21">
        <f t="shared" si="114"/>
        <v>1.2873906660538295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-1.0286385077051818E-13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269.19146943657933</v>
      </c>
      <c r="BJ143" s="59">
        <f t="shared" si="146"/>
        <v>185.94138814570965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0.14711631070624986</v>
      </c>
      <c r="BR143" s="21">
        <f>EXP(-LN(2)/2)*BR142+(1-EXP(-LN(2)/2))/(LN(2)/2)*BL143*BO143*VLOOKUP('Données projet'!$B$11,Paramètres!$A$1:$I$89,3,0)*0.475*44/12</f>
        <v>1.7178891238501879E-16</v>
      </c>
      <c r="BS143" s="22">
        <f t="shared" si="117"/>
        <v>0.14711631070625003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-1.223725121235475E-13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335.12015893291874</v>
      </c>
      <c r="CE143" s="59">
        <f t="shared" si="148"/>
        <v>224.76596283033166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0.17501767997812481</v>
      </c>
      <c r="CM143" s="21">
        <f>EXP(-LN(2)/2)*CM142+(1-EXP(-LN(2)/2))/(LN(2)/2)*CG143*CJ143*VLOOKUP('Données projet'!$B$12,Paramètres!$A$1:$I$89,3,0)*0.475*44/12</f>
        <v>2.0436956818217788E-16</v>
      </c>
      <c r="CN143" s="22">
        <f t="shared" si="120"/>
        <v>0.17501767997812501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-1.0995790944434703E-13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293.19327646293601</v>
      </c>
      <c r="CZ143" s="59">
        <f t="shared" si="150"/>
        <v>200.0769581869605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0.15726226316874969</v>
      </c>
      <c r="DH143" s="21">
        <f>EXP(-LN(2)/2)*DH142+(1-EXP(-LN(2)/2))/(LN(2)/2)*DB143*DE143*VLOOKUP('Données projet'!$B$13,Paramètres!$A$1:$I$89,3,0)*0.475*44/12</f>
        <v>1.8363642358398557E-16</v>
      </c>
      <c r="DI143" s="22">
        <f t="shared" si="123"/>
        <v>0.15726226316874989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-2.7193891583010558E-13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246.59447135626942</v>
      </c>
      <c r="T144" s="59">
        <f t="shared" si="142"/>
        <v>262.00382544285367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0.59197730372979196</v>
      </c>
      <c r="AB144" s="21">
        <f>EXP(-LN(2)/2)*AB143+(1-EXP(-LN(2)/2))/(LN(2)/2)*V144*Y144*VLOOKUP('Données projet'!$B$9,Paramètres!$A$1:$I$89,3,0)*0.475*44/12</f>
        <v>4.6571611234095678E-16</v>
      </c>
      <c r="AC144" s="22">
        <f t="shared" si="111"/>
        <v>0.5919773037297924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195.73441209602686</v>
      </c>
      <c r="AO144" s="59">
        <f t="shared" si="144"/>
        <v>219.19129224309006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0.68953257637245702</v>
      </c>
      <c r="AV144" s="21">
        <f>EXP(-LN(2)/25)*AV143+(1-EXP(-LN(2)/25))/(LN(2)/25)*Calculateur!AQ144*Calculateur!AS144*VLOOKUP('Données projet'!$B$10,Paramètres!$A$1:$I$89,3,0)*0.475*44/12</f>
        <v>0.56809500394061341</v>
      </c>
      <c r="AW144" s="21">
        <f>EXP(-LN(2)/2)*AW143+(1-EXP(-LN(2)/2))/(LN(2)/2)*AQ144*AT144*VLOOKUP('Données projet'!$B$10,Paramètres!$A$1:$I$89,3,0)*0.475*44/12</f>
        <v>1.0687800661056999E-16</v>
      </c>
      <c r="AX144" s="21">
        <f t="shared" si="114"/>
        <v>1.2576275803130703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-1.0286385077051818E-13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269.19146943657933</v>
      </c>
      <c r="BJ144" s="59">
        <f t="shared" si="146"/>
        <v>185.94138814570965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0.14309340745347693</v>
      </c>
      <c r="BR144" s="21">
        <f>EXP(-LN(2)/2)*BR143+(1-EXP(-LN(2)/2))/(LN(2)/2)*BL144*BO144*VLOOKUP('Données projet'!$B$11,Paramètres!$A$1:$I$89,3,0)*0.475*44/12</f>
        <v>1.2147310488010846E-16</v>
      </c>
      <c r="BS144" s="22">
        <f t="shared" si="117"/>
        <v>0.14309340745347704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-1.223725121235475E-13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335.12015893291874</v>
      </c>
      <c r="CE144" s="59">
        <f t="shared" si="148"/>
        <v>224.76596283033166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0.17023181231534321</v>
      </c>
      <c r="CM144" s="21">
        <f>EXP(-LN(2)/2)*CM143+(1-EXP(-LN(2)/2))/(LN(2)/2)*CG144*CJ144*VLOOKUP('Données projet'!$B$12,Paramètres!$A$1:$I$89,3,0)*0.475*44/12</f>
        <v>1.4451110752978446E-16</v>
      </c>
      <c r="CN144" s="22">
        <f t="shared" si="120"/>
        <v>0.17023181231534334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-1.0995790944434703E-13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293.19327646293601</v>
      </c>
      <c r="CZ144" s="59">
        <f t="shared" si="150"/>
        <v>200.0769581869605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0.15296191831233724</v>
      </c>
      <c r="DH144" s="21">
        <f>EXP(-LN(2)/2)*DH143+(1-EXP(-LN(2)/2))/(LN(2)/2)*DB144*DE144*VLOOKUP('Données projet'!$B$13,Paramètres!$A$1:$I$89,3,0)*0.475*44/12</f>
        <v>1.2985056038908144E-16</v>
      </c>
      <c r="DI144" s="22">
        <f t="shared" si="123"/>
        <v>0.15296191831233738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-2.7193891583010558E-13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246.59447135626942</v>
      </c>
      <c r="T145" s="59">
        <f t="shared" si="142"/>
        <v>262.00382544285367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0.57578965322856734</v>
      </c>
      <c r="AB145" s="21">
        <f>EXP(-LN(2)/2)*AB144+(1-EXP(-LN(2)/2))/(LN(2)/2)*V145*Y145*VLOOKUP('Données projet'!$B$9,Paramètres!$A$1:$I$89,3,0)*0.475*44/12</f>
        <v>3.2931102114412652E-16</v>
      </c>
      <c r="AC145" s="22">
        <f t="shared" si="111"/>
        <v>0.57578965322856768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195.73441209602686</v>
      </c>
      <c r="AO145" s="59">
        <f t="shared" si="144"/>
        <v>219.19129224309006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0.67601126312313653</v>
      </c>
      <c r="AV145" s="21">
        <f>EXP(-LN(2)/25)*AV144+(1-EXP(-LN(2)/25))/(LN(2)/25)*Calculateur!AQ145*Calculateur!AS145*VLOOKUP('Données projet'!$B$10,Paramètres!$A$1:$I$89,3,0)*0.475*44/12</f>
        <v>0.55256041618303953</v>
      </c>
      <c r="AW145" s="21">
        <f>EXP(-LN(2)/2)*AW144+(1-EXP(-LN(2)/2))/(LN(2)/2)*AQ145*AT145*VLOOKUP('Données projet'!$B$10,Paramètres!$A$1:$I$89,3,0)*0.475*44/12</f>
        <v>7.5574163234034693E-17</v>
      </c>
      <c r="AX145" s="21">
        <f t="shared" si="114"/>
        <v>1.2285716793061761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-1.0286385077051818E-13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269.19146943657933</v>
      </c>
      <c r="BJ145" s="59">
        <f t="shared" si="146"/>
        <v>185.94138814570965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0.13918051070170634</v>
      </c>
      <c r="BR145" s="21">
        <f>EXP(-LN(2)/2)*BR144+(1-EXP(-LN(2)/2))/(LN(2)/2)*BL145*BO145*VLOOKUP('Données projet'!$B$11,Paramètres!$A$1:$I$89,3,0)*0.475*44/12</f>
        <v>8.5894456192509395E-17</v>
      </c>
      <c r="BS145" s="22">
        <f t="shared" si="117"/>
        <v>0.13918051070170642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-1.223725121235475E-13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335.12015893291874</v>
      </c>
      <c r="CE145" s="59">
        <f t="shared" si="148"/>
        <v>224.76596283033166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0.1655768144554782</v>
      </c>
      <c r="CM145" s="21">
        <f>EXP(-LN(2)/2)*CM144+(1-EXP(-LN(2)/2))/(LN(2)/2)*CG145*CJ145*VLOOKUP('Données projet'!$B$12,Paramètres!$A$1:$I$89,3,0)*0.475*44/12</f>
        <v>1.0218478409108894E-16</v>
      </c>
      <c r="CN145" s="22">
        <f t="shared" si="120"/>
        <v>0.16557681445547831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-1.0995790944434703E-13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293.19327646293601</v>
      </c>
      <c r="CZ145" s="59">
        <f t="shared" si="150"/>
        <v>200.0769581869605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0.1487791666121687</v>
      </c>
      <c r="DH145" s="21">
        <f>EXP(-LN(2)/2)*DH144+(1-EXP(-LN(2)/2))/(LN(2)/2)*DB145*DE145*VLOOKUP('Données projet'!$B$13,Paramètres!$A$1:$I$89,3,0)*0.475*44/12</f>
        <v>9.1818211791992784E-17</v>
      </c>
      <c r="DI145" s="22">
        <f t="shared" si="123"/>
        <v>0.14877916661216878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-2.7193891583010558E-13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246.59447135626942</v>
      </c>
      <c r="T146" s="59">
        <f t="shared" si="142"/>
        <v>262.00382544285367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0.56004465488157029</v>
      </c>
      <c r="AB146" s="21">
        <f>EXP(-LN(2)/2)*AB145+(1-EXP(-LN(2)/2))/(LN(2)/2)*V146*Y146*VLOOKUP('Données projet'!$B$9,Paramètres!$A$1:$I$89,3,0)*0.475*44/12</f>
        <v>2.3285805617047839E-16</v>
      </c>
      <c r="AC146" s="22">
        <f t="shared" si="111"/>
        <v>0.56004465488157051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195.73441209602686</v>
      </c>
      <c r="AO146" s="59">
        <f t="shared" si="144"/>
        <v>219.19129224309006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0.66275509457944848</v>
      </c>
      <c r="AV146" s="21">
        <f>EXP(-LN(2)/25)*AV145+(1-EXP(-LN(2)/25))/(LN(2)/25)*Calculateur!AQ146*Calculateur!AS146*VLOOKUP('Données projet'!$B$10,Paramètres!$A$1:$I$89,3,0)*0.475*44/12</f>
        <v>0.53745062254462495</v>
      </c>
      <c r="AW146" s="21">
        <f>EXP(-LN(2)/2)*AW145+(1-EXP(-LN(2)/2))/(LN(2)/2)*AQ146*AT146*VLOOKUP('Données projet'!$B$10,Paramètres!$A$1:$I$89,3,0)*0.475*44/12</f>
        <v>5.3439003305284995E-17</v>
      </c>
      <c r="AX146" s="21">
        <f t="shared" si="114"/>
        <v>1.2002057171240734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-1.0286385077051818E-13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269.19146943657933</v>
      </c>
      <c r="BJ146" s="59">
        <f t="shared" si="146"/>
        <v>185.94138814570965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0.13537461231738324</v>
      </c>
      <c r="BR146" s="21">
        <f>EXP(-LN(2)/2)*BR145+(1-EXP(-LN(2)/2))/(LN(2)/2)*BL146*BO146*VLOOKUP('Données projet'!$B$11,Paramètres!$A$1:$I$89,3,0)*0.475*44/12</f>
        <v>6.0736552440054232E-17</v>
      </c>
      <c r="BS146" s="22">
        <f t="shared" si="117"/>
        <v>0.13537461231738329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-1.223725121235475E-13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335.12015893291874</v>
      </c>
      <c r="CE146" s="59">
        <f t="shared" si="148"/>
        <v>224.76596283033166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0.16104910775688691</v>
      </c>
      <c r="CM146" s="21">
        <f>EXP(-LN(2)/2)*CM145+(1-EXP(-LN(2)/2))/(LN(2)/2)*CG146*CJ146*VLOOKUP('Données projet'!$B$12,Paramètres!$A$1:$I$89,3,0)*0.475*44/12</f>
        <v>7.2255553764892229E-17</v>
      </c>
      <c r="CN146" s="22">
        <f t="shared" si="120"/>
        <v>0.16104910775688699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-1.0995790944434703E-13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293.19327646293601</v>
      </c>
      <c r="CZ146" s="59">
        <f t="shared" si="150"/>
        <v>200.0769581869605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0.14471079247720262</v>
      </c>
      <c r="DH146" s="21">
        <f>EXP(-LN(2)/2)*DH145+(1-EXP(-LN(2)/2))/(LN(2)/2)*DB146*DE146*VLOOKUP('Données projet'!$B$13,Paramètres!$A$1:$I$89,3,0)*0.475*44/12</f>
        <v>6.4925280194540718E-17</v>
      </c>
      <c r="DI146" s="22">
        <f t="shared" si="123"/>
        <v>0.14471079247720267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-2.7193891583010558E-13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246.59447135626942</v>
      </c>
      <c r="T147" s="59">
        <f t="shared" si="142"/>
        <v>262.00382544285367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0.5447302043423653</v>
      </c>
      <c r="AB147" s="21">
        <f>EXP(-LN(2)/2)*AB146+(1-EXP(-LN(2)/2))/(LN(2)/2)*V147*Y147*VLOOKUP('Données projet'!$B$9,Paramètres!$A$1:$I$89,3,0)*0.475*44/12</f>
        <v>1.6465551057206326E-16</v>
      </c>
      <c r="AC147" s="22">
        <f t="shared" si="111"/>
        <v>0.54473020434236541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195.73441209602686</v>
      </c>
      <c r="AO147" s="59">
        <f t="shared" si="144"/>
        <v>219.19129224309006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0.64975887141543776</v>
      </c>
      <c r="AV147" s="21">
        <f>EXP(-LN(2)/25)*AV146+(1-EXP(-LN(2)/25))/(LN(2)/25)*Calculateur!AQ147*Calculateur!AS147*VLOOKUP('Données projet'!$B$10,Paramètres!$A$1:$I$89,3,0)*0.475*44/12</f>
        <v>0.52275400700784225</v>
      </c>
      <c r="AW147" s="21">
        <f>EXP(-LN(2)/2)*AW146+(1-EXP(-LN(2)/2))/(LN(2)/2)*AQ147*AT147*VLOOKUP('Données projet'!$B$10,Paramètres!$A$1:$I$89,3,0)*0.475*44/12</f>
        <v>3.7787081617017347E-17</v>
      </c>
      <c r="AX147" s="21">
        <f t="shared" si="114"/>
        <v>1.1725128784232801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-1.0286385077051818E-13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269.19146943657933</v>
      </c>
      <c r="BJ147" s="59">
        <f t="shared" si="146"/>
        <v>185.94138814570965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0.13167278642452293</v>
      </c>
      <c r="BR147" s="21">
        <f>EXP(-LN(2)/2)*BR146+(1-EXP(-LN(2)/2))/(LN(2)/2)*BL147*BO147*VLOOKUP('Données projet'!$B$11,Paramètres!$A$1:$I$89,3,0)*0.475*44/12</f>
        <v>4.2947228096254698E-17</v>
      </c>
      <c r="BS147" s="22">
        <f t="shared" si="117"/>
        <v>0.13167278642452299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-1.223725121235475E-13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335.12015893291874</v>
      </c>
      <c r="CE147" s="59">
        <f t="shared" si="148"/>
        <v>224.76596283033166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0.15664521143607035</v>
      </c>
      <c r="CM147" s="21">
        <f>EXP(-LN(2)/2)*CM146+(1-EXP(-LN(2)/2))/(LN(2)/2)*CG147*CJ147*VLOOKUP('Données projet'!$B$12,Paramètres!$A$1:$I$89,3,0)*0.475*44/12</f>
        <v>5.109239204554447E-17</v>
      </c>
      <c r="CN147" s="22">
        <f t="shared" si="120"/>
        <v>0.15664521143607041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-1.0995790944434703E-13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293.19327646293601</v>
      </c>
      <c r="CZ147" s="59">
        <f t="shared" si="150"/>
        <v>200.0769581869605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0.14075366824690366</v>
      </c>
      <c r="DH147" s="21">
        <f>EXP(-LN(2)/2)*DH146+(1-EXP(-LN(2)/2))/(LN(2)/2)*DB147*DE147*VLOOKUP('Données projet'!$B$13,Paramètres!$A$1:$I$89,3,0)*0.475*44/12</f>
        <v>4.5909105895996392E-17</v>
      </c>
      <c r="DI147" s="22">
        <f t="shared" si="123"/>
        <v>0.14075366824690372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-2.7193891583010558E-13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246.59447135626942</v>
      </c>
      <c r="T148" s="59">
        <f t="shared" si="142"/>
        <v>262.00382544285367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0.52983452825850685</v>
      </c>
      <c r="AB148" s="21">
        <f>EXP(-LN(2)/2)*AB147+(1-EXP(-LN(2)/2))/(LN(2)/2)*V148*Y148*VLOOKUP('Données projet'!$B$9,Paramètres!$A$1:$I$89,3,0)*0.475*44/12</f>
        <v>1.1642902808523919E-16</v>
      </c>
      <c r="AC148" s="22">
        <f t="shared" si="111"/>
        <v>0.52983452825850696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195.73441209602686</v>
      </c>
      <c r="AO148" s="59">
        <f t="shared" si="144"/>
        <v>219.19129224309006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0.63701749626075987</v>
      </c>
      <c r="AV148" s="21">
        <f>EXP(-LN(2)/25)*AV147+(1-EXP(-LN(2)/25))/(LN(2)/25)*Calculateur!AQ148*Calculateur!AS148*VLOOKUP('Données projet'!$B$10,Paramètres!$A$1:$I$89,3,0)*0.475*44/12</f>
        <v>0.50845927119577439</v>
      </c>
      <c r="AW148" s="21">
        <f>EXP(-LN(2)/2)*AW147+(1-EXP(-LN(2)/2))/(LN(2)/2)*AQ148*AT148*VLOOKUP('Données projet'!$B$10,Paramètres!$A$1:$I$89,3,0)*0.475*44/12</f>
        <v>2.6719501652642498E-17</v>
      </c>
      <c r="AX148" s="21">
        <f t="shared" si="114"/>
        <v>1.1454767674565343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-1.0286385077051818E-13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269.19146943657933</v>
      </c>
      <c r="BJ148" s="59">
        <f t="shared" si="146"/>
        <v>185.94138814570965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0.12807218715537347</v>
      </c>
      <c r="BR148" s="21">
        <f>EXP(-LN(2)/2)*BR147+(1-EXP(-LN(2)/2))/(LN(2)/2)*BL148*BO148*VLOOKUP('Données projet'!$B$11,Paramètres!$A$1:$I$89,3,0)*0.475*44/12</f>
        <v>3.0368276220027116E-17</v>
      </c>
      <c r="BS148" s="22">
        <f t="shared" si="117"/>
        <v>0.1280721871553735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-1.223725121235475E-13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335.12015893291874</v>
      </c>
      <c r="CE148" s="59">
        <f t="shared" si="148"/>
        <v>224.76596283033166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0.15236173989173735</v>
      </c>
      <c r="CM148" s="21">
        <f>EXP(-LN(2)/2)*CM147+(1-EXP(-LN(2)/2))/(LN(2)/2)*CG148*CJ148*VLOOKUP('Données projet'!$B$12,Paramètres!$A$1:$I$89,3,0)*0.475*44/12</f>
        <v>3.6127776882446114E-17</v>
      </c>
      <c r="CN148" s="22">
        <f t="shared" si="120"/>
        <v>0.15236173989173737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-1.0995790944434703E-13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293.19327646293601</v>
      </c>
      <c r="CZ148" s="59">
        <f t="shared" si="150"/>
        <v>200.0769581869605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0.13690475178677836</v>
      </c>
      <c r="DH148" s="21">
        <f>EXP(-LN(2)/2)*DH147+(1-EXP(-LN(2)/2))/(LN(2)/2)*DB148*DE148*VLOOKUP('Données projet'!$B$13,Paramètres!$A$1:$I$89,3,0)*0.475*44/12</f>
        <v>3.2462640097270359E-17</v>
      </c>
      <c r="DI148" s="22">
        <f t="shared" si="123"/>
        <v>0.13690475178677838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-2.7193891583010558E-13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246.59447135626942</v>
      </c>
      <c r="T149" s="59">
        <f t="shared" si="142"/>
        <v>262.00382544285367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0.51534617522049109</v>
      </c>
      <c r="AB149" s="21">
        <f>EXP(-LN(2)/2)*AB148+(1-EXP(-LN(2)/2))/(LN(2)/2)*V149*Y149*VLOOKUP('Données projet'!$B$9,Paramètres!$A$1:$I$89,3,0)*0.475*44/12</f>
        <v>8.232775528603163E-17</v>
      </c>
      <c r="AC149" s="22">
        <f t="shared" si="111"/>
        <v>0.5153461752204912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195.73441209602686</v>
      </c>
      <c r="AO149" s="59">
        <f t="shared" si="144"/>
        <v>219.19129224309006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0.62452597170139368</v>
      </c>
      <c r="AV149" s="21">
        <f>EXP(-LN(2)/25)*AV148+(1-EXP(-LN(2)/25))/(LN(2)/25)*Calculateur!AQ149*Calculateur!AS149*VLOOKUP('Données projet'!$B$10,Paramètres!$A$1:$I$89,3,0)*0.475*44/12</f>
        <v>0.49455542568621497</v>
      </c>
      <c r="AW149" s="21">
        <f>EXP(-LN(2)/2)*AW148+(1-EXP(-LN(2)/2))/(LN(2)/2)*AQ149*AT149*VLOOKUP('Données projet'!$B$10,Paramètres!$A$1:$I$89,3,0)*0.475*44/12</f>
        <v>1.8893540808508673E-17</v>
      </c>
      <c r="AX149" s="21">
        <f t="shared" si="114"/>
        <v>1.1190813973876086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-1.0286385077051818E-13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269.19146943657933</v>
      </c>
      <c r="BJ149" s="59">
        <f t="shared" si="146"/>
        <v>185.94138814570965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0.12457004646258617</v>
      </c>
      <c r="BR149" s="21">
        <f>EXP(-LN(2)/2)*BR148+(1-EXP(-LN(2)/2))/(LN(2)/2)*BL149*BO149*VLOOKUP('Données projet'!$B$11,Paramètres!$A$1:$I$89,3,0)*0.475*44/12</f>
        <v>2.1473614048127349E-17</v>
      </c>
      <c r="BS149" s="22">
        <f t="shared" si="117"/>
        <v>0.1245700464625862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-1.223725121235475E-13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335.12015893291874</v>
      </c>
      <c r="CE149" s="59">
        <f t="shared" si="148"/>
        <v>224.76596283033166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0.1481954001020421</v>
      </c>
      <c r="CM149" s="21">
        <f>EXP(-LN(2)/2)*CM148+(1-EXP(-LN(2)/2))/(LN(2)/2)*CG149*CJ149*VLOOKUP('Données projet'!$B$12,Paramètres!$A$1:$I$89,3,0)*0.475*44/12</f>
        <v>2.5546196022772235E-17</v>
      </c>
      <c r="CN149" s="22">
        <f t="shared" si="120"/>
        <v>0.14819540010204213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-1.0995790944434703E-13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293.19327646293601</v>
      </c>
      <c r="CZ149" s="59">
        <f t="shared" si="150"/>
        <v>200.0769581869605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0.13316108414966091</v>
      </c>
      <c r="DH149" s="21">
        <f>EXP(-LN(2)/2)*DH148+(1-EXP(-LN(2)/2))/(LN(2)/2)*DB149*DE149*VLOOKUP('Données projet'!$B$13,Paramètres!$A$1:$I$89,3,0)*0.475*44/12</f>
        <v>2.2954552947998196E-17</v>
      </c>
      <c r="DI149" s="22">
        <f t="shared" si="123"/>
        <v>0.13316108414966094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-2.7193891583010558E-13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246.59447135626942</v>
      </c>
      <c r="T150" s="59">
        <f t="shared" si="142"/>
        <v>262.00382544285367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0.50125400695820921</v>
      </c>
      <c r="AB150" s="21">
        <f>EXP(-LN(2)/2)*AB149+(1-EXP(-LN(2)/2))/(LN(2)/2)*V150*Y150*VLOOKUP('Données projet'!$B$9,Paramètres!$A$1:$I$89,3,0)*0.475*44/12</f>
        <v>5.8214514042619597E-17</v>
      </c>
      <c r="AC150" s="22">
        <f t="shared" si="111"/>
        <v>0.50125400695820932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195.73441209602686</v>
      </c>
      <c r="AO150" s="59">
        <f t="shared" si="144"/>
        <v>219.19129224309006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0.61227939831955902</v>
      </c>
      <c r="AV150" s="21">
        <f>EXP(-LN(2)/25)*AV149+(1-EXP(-LN(2)/25))/(LN(2)/25)*Calculateur!AQ150*Calculateur!AS150*VLOOKUP('Données projet'!$B$10,Paramètres!$A$1:$I$89,3,0)*0.475*44/12</f>
        <v>0.48103178156328591</v>
      </c>
      <c r="AW150" s="21">
        <f>EXP(-LN(2)/2)*AW149+(1-EXP(-LN(2)/2))/(LN(2)/2)*AQ150*AT150*VLOOKUP('Données projet'!$B$10,Paramètres!$A$1:$I$89,3,0)*0.475*44/12</f>
        <v>1.3359750826321249E-17</v>
      </c>
      <c r="AX150" s="21">
        <f t="shared" si="114"/>
        <v>1.093311179882845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-1.0286385077051818E-13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269.19146943657933</v>
      </c>
      <c r="BJ150" s="59">
        <f t="shared" si="146"/>
        <v>185.94138814570965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0.12116367199121271</v>
      </c>
      <c r="BR150" s="21">
        <f>EXP(-LN(2)/2)*BR149+(1-EXP(-LN(2)/2))/(LN(2)/2)*BL150*BO150*VLOOKUP('Données projet'!$B$11,Paramètres!$A$1:$I$89,3,0)*0.475*44/12</f>
        <v>1.5184138110013558E-17</v>
      </c>
      <c r="BS150" s="22">
        <f t="shared" si="117"/>
        <v>0.12116367199121272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-1.223725121235475E-13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335.12015893291874</v>
      </c>
      <c r="CE150" s="59">
        <f t="shared" si="148"/>
        <v>224.76596283033166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0.14414298909299436</v>
      </c>
      <c r="CM150" s="21">
        <f>EXP(-LN(2)/2)*CM149+(1-EXP(-LN(2)/2))/(LN(2)/2)*CG150*CJ150*VLOOKUP('Données projet'!$B$12,Paramètres!$A$1:$I$89,3,0)*0.475*44/12</f>
        <v>1.8063888441223057E-17</v>
      </c>
      <c r="CN150" s="22">
        <f t="shared" si="120"/>
        <v>0.14414298909299439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-1.0995790944434703E-13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293.19327646293601</v>
      </c>
      <c r="CZ150" s="59">
        <f t="shared" si="150"/>
        <v>200.0769581869605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0.12951978730095137</v>
      </c>
      <c r="DH150" s="21">
        <f>EXP(-LN(2)/2)*DH149+(1-EXP(-LN(2)/2))/(LN(2)/2)*DB150*DE150*VLOOKUP('Données projet'!$B$13,Paramètres!$A$1:$I$89,3,0)*0.475*44/12</f>
        <v>1.6231320048635179E-17</v>
      </c>
      <c r="DI150" s="22">
        <f t="shared" si="123"/>
        <v>0.1295197873009514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-2.7193891583010558E-13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246.59447135626942</v>
      </c>
      <c r="T151" s="59">
        <f t="shared" si="142"/>
        <v>262.00382544285367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0.48754718977813438</v>
      </c>
      <c r="AB151" s="21">
        <f>EXP(-LN(2)/2)*AB150+(1-EXP(-LN(2)/2))/(LN(2)/2)*V151*Y151*VLOOKUP('Données projet'!$B$9,Paramètres!$A$1:$I$89,3,0)*0.475*44/12</f>
        <v>4.1163877643015815E-17</v>
      </c>
      <c r="AC151" s="22">
        <f t="shared" si="111"/>
        <v>0.48754718977813444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195.73441209602686</v>
      </c>
      <c r="AO151" s="59">
        <f t="shared" si="144"/>
        <v>219.19129224309006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0.60027297277206992</v>
      </c>
      <c r="AV151" s="21">
        <f>EXP(-LN(2)/25)*AV150+(1-EXP(-LN(2)/25))/(LN(2)/25)*Calculateur!AQ151*Calculateur!AS151*VLOOKUP('Données projet'!$B$10,Paramètres!$A$1:$I$89,3,0)*0.475*44/12</f>
        <v>0.46787794220007589</v>
      </c>
      <c r="AW151" s="21">
        <f>EXP(-LN(2)/2)*AW150+(1-EXP(-LN(2)/2))/(LN(2)/2)*AQ151*AT151*VLOOKUP('Données projet'!$B$10,Paramètres!$A$1:$I$89,3,0)*0.475*44/12</f>
        <v>9.4467704042543367E-18</v>
      </c>
      <c r="AX151" s="21">
        <f t="shared" si="114"/>
        <v>1.0681509149721458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-1.0286385077051818E-13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269.19146943657933</v>
      </c>
      <c r="BJ151" s="59">
        <f t="shared" si="146"/>
        <v>185.94138814570965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0.11785044500889241</v>
      </c>
      <c r="BR151" s="21">
        <f>EXP(-LN(2)/2)*BR150+(1-EXP(-LN(2)/2))/(LN(2)/2)*BL151*BO151*VLOOKUP('Données projet'!$B$11,Paramètres!$A$1:$I$89,3,0)*0.475*44/12</f>
        <v>1.0736807024063674E-17</v>
      </c>
      <c r="BS151" s="22">
        <f t="shared" si="117"/>
        <v>0.11785044500889243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-1.223725121235475E-13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335.12015893291874</v>
      </c>
      <c r="CE151" s="59">
        <f t="shared" si="148"/>
        <v>224.76596283033166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0.14020139147609609</v>
      </c>
      <c r="CM151" s="21">
        <f>EXP(-LN(2)/2)*CM150+(1-EXP(-LN(2)/2))/(LN(2)/2)*CG151*CJ151*VLOOKUP('Données projet'!$B$12,Paramètres!$A$1:$I$89,3,0)*0.475*44/12</f>
        <v>1.2773098011386118E-17</v>
      </c>
      <c r="CN151" s="22">
        <f t="shared" si="120"/>
        <v>0.14020139147609609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-1.0995790944434703E-13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293.19327646293601</v>
      </c>
      <c r="CZ151" s="59">
        <f t="shared" si="150"/>
        <v>200.0769581869605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0.12597806190605726</v>
      </c>
      <c r="DH151" s="21">
        <f>EXP(-LN(2)/2)*DH150+(1-EXP(-LN(2)/2))/(LN(2)/2)*DB151*DE151*VLOOKUP('Données projet'!$B$13,Paramètres!$A$1:$I$89,3,0)*0.475*44/12</f>
        <v>1.1477276473999098E-17</v>
      </c>
      <c r="DI151" s="22">
        <f t="shared" si="123"/>
        <v>0.12597806190605726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-2.7193891583010558E-13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246.59447135626942</v>
      </c>
      <c r="T152" s="59">
        <f t="shared" si="142"/>
        <v>262.00382544285367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0.47421518623465891</v>
      </c>
      <c r="AB152" s="21">
        <f>EXP(-LN(2)/2)*AB151+(1-EXP(-LN(2)/2))/(LN(2)/2)*V152*Y152*VLOOKUP('Données projet'!$B$9,Paramètres!$A$1:$I$89,3,0)*0.475*44/12</f>
        <v>2.9107257021309799E-17</v>
      </c>
      <c r="AC152" s="22">
        <f t="shared" si="111"/>
        <v>0.47421518623465897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195.73441209602686</v>
      </c>
      <c r="AO152" s="59">
        <f t="shared" si="144"/>
        <v>219.19129224309006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0.58850198590637071</v>
      </c>
      <c r="AV152" s="21">
        <f>EXP(-LN(2)/25)*AV151+(1-EXP(-LN(2)/25))/(LN(2)/25)*Calculateur!AQ152*Calculateur!AS152*VLOOKUP('Données projet'!$B$10,Paramètres!$A$1:$I$89,3,0)*0.475*44/12</f>
        <v>0.45508379526598319</v>
      </c>
      <c r="AW152" s="21">
        <f>EXP(-LN(2)/2)*AW151+(1-EXP(-LN(2)/2))/(LN(2)/2)*AQ152*AT152*VLOOKUP('Données projet'!$B$10,Paramètres!$A$1:$I$89,3,0)*0.475*44/12</f>
        <v>6.6798754131606244E-18</v>
      </c>
      <c r="AX152" s="21">
        <f t="shared" si="114"/>
        <v>1.0435857811723539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-1.0286385077051818E-13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269.19146943657933</v>
      </c>
      <c r="BJ152" s="59">
        <f t="shared" si="146"/>
        <v>185.94138814570965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0.11462781839263869</v>
      </c>
      <c r="BR152" s="21">
        <f>EXP(-LN(2)/2)*BR151+(1-EXP(-LN(2)/2))/(LN(2)/2)*BL152*BO152*VLOOKUP('Données projet'!$B$11,Paramètres!$A$1:$I$89,3,0)*0.475*44/12</f>
        <v>7.592069055006779E-18</v>
      </c>
      <c r="BS152" s="22">
        <f t="shared" si="117"/>
        <v>0.11462781839263871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-1.223725121235475E-13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335.12015893291874</v>
      </c>
      <c r="CE152" s="59">
        <f t="shared" si="148"/>
        <v>224.76596283033166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0.13636757705331148</v>
      </c>
      <c r="CM152" s="21">
        <f>EXP(-LN(2)/2)*CM151+(1-EXP(-LN(2)/2))/(LN(2)/2)*CG152*CJ152*VLOOKUP('Données projet'!$B$12,Paramètres!$A$1:$I$89,3,0)*0.475*44/12</f>
        <v>9.0319442206115286E-18</v>
      </c>
      <c r="CN152" s="22">
        <f t="shared" si="120"/>
        <v>0.13636757705331148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-1.0995790944434703E-13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293.19327646293601</v>
      </c>
      <c r="CZ152" s="59">
        <f t="shared" si="150"/>
        <v>200.0769581869605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0.12253318517833778</v>
      </c>
      <c r="DH152" s="21">
        <f>EXP(-LN(2)/2)*DH151+(1-EXP(-LN(2)/2))/(LN(2)/2)*DB152*DE152*VLOOKUP('Données projet'!$B$13,Paramètres!$A$1:$I$89,3,0)*0.475*44/12</f>
        <v>8.1156600243175897E-18</v>
      </c>
      <c r="DI152" s="22">
        <f t="shared" si="123"/>
        <v>0.12253318517833779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-2.7193891583010558E-13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246.59447135626942</v>
      </c>
      <c r="T153" s="59">
        <f t="shared" si="142"/>
        <v>262.00382544285367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0.46124774702917937</v>
      </c>
      <c r="AB153" s="21">
        <f>EXP(-LN(2)/2)*AB152+(1-EXP(-LN(2)/2))/(LN(2)/2)*V153*Y153*VLOOKUP('Données projet'!$B$9,Paramètres!$A$1:$I$89,3,0)*0.475*44/12</f>
        <v>2.0581938821507907E-17</v>
      </c>
      <c r="AC153" s="22">
        <f t="shared" si="111"/>
        <v>0.46124774702917937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195.73441209602686</v>
      </c>
      <c r="AO153" s="59">
        <f t="shared" si="144"/>
        <v>219.19129224309006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0.57696182091351478</v>
      </c>
      <c r="AV153" s="21">
        <f>EXP(-LN(2)/25)*AV152+(1-EXP(-LN(2)/25))/(LN(2)/25)*Calculateur!AQ153*Calculateur!AS153*VLOOKUP('Données projet'!$B$10,Paramètres!$A$1:$I$89,3,0)*0.475*44/12</f>
        <v>0.44263950495261822</v>
      </c>
      <c r="AW153" s="21">
        <f>EXP(-LN(2)/2)*AW152+(1-EXP(-LN(2)/2))/(LN(2)/2)*AQ153*AT153*VLOOKUP('Données projet'!$B$10,Paramètres!$A$1:$I$89,3,0)*0.475*44/12</f>
        <v>4.7233852021271683E-18</v>
      </c>
      <c r="AX153" s="21">
        <f t="shared" si="114"/>
        <v>1.0196013258661329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-1.0286385077051818E-13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269.19146943657933</v>
      </c>
      <c r="BJ153" s="59">
        <f t="shared" si="146"/>
        <v>185.94138814570965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0.111493314670677</v>
      </c>
      <c r="BR153" s="21">
        <f>EXP(-LN(2)/2)*BR152+(1-EXP(-LN(2)/2))/(LN(2)/2)*BL153*BO153*VLOOKUP('Données projet'!$B$11,Paramètres!$A$1:$I$89,3,0)*0.475*44/12</f>
        <v>5.3684035120318372E-18</v>
      </c>
      <c r="BS153" s="22">
        <f t="shared" si="117"/>
        <v>0.111493314670677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-1.223725121235475E-13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335.12015893291874</v>
      </c>
      <c r="CE153" s="59">
        <f t="shared" si="148"/>
        <v>224.76596283033166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0.13263859848752949</v>
      </c>
      <c r="CM153" s="21">
        <f>EXP(-LN(2)/2)*CM152+(1-EXP(-LN(2)/2))/(LN(2)/2)*CG153*CJ153*VLOOKUP('Données projet'!$B$12,Paramètres!$A$1:$I$89,3,0)*0.475*44/12</f>
        <v>6.3865490056930588E-18</v>
      </c>
      <c r="CN153" s="22">
        <f t="shared" si="120"/>
        <v>0.13263859848752949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-1.0995790944434703E-13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293.19327646293601</v>
      </c>
      <c r="CZ153" s="59">
        <f t="shared" si="150"/>
        <v>200.0769581869605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0.11918250878589598</v>
      </c>
      <c r="DH153" s="21">
        <f>EXP(-LN(2)/2)*DH152+(1-EXP(-LN(2)/2))/(LN(2)/2)*DB153*DE153*VLOOKUP('Données projet'!$B$13,Paramètres!$A$1:$I$89,3,0)*0.475*44/12</f>
        <v>5.738638236999549E-18</v>
      </c>
      <c r="DI153" s="22">
        <f t="shared" si="123"/>
        <v>0.11918250878589598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-2.7193891583010558E-13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246.59447135626942</v>
      </c>
      <c r="T154" s="59">
        <f t="shared" si="142"/>
        <v>262.00382544285367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0.44863490313070165</v>
      </c>
      <c r="AB154" s="21">
        <f>EXP(-LN(2)/2)*AB153+(1-EXP(-LN(2)/2))/(LN(2)/2)*V154*Y154*VLOOKUP('Données projet'!$B$9,Paramètres!$A$1:$I$89,3,0)*0.475*44/12</f>
        <v>1.4553628510654899E-17</v>
      </c>
      <c r="AC154" s="22">
        <f t="shared" ref="AC154:AC203" si="163">SUM(Z154:AB154)</f>
        <v>0.44863490313070165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195.73441209602686</v>
      </c>
      <c r="AO154" s="59">
        <f t="shared" si="144"/>
        <v>219.19129224309006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0.56564795151736313</v>
      </c>
      <c r="AV154" s="21">
        <f>EXP(-LN(2)/25)*AV153+(1-EXP(-LN(2)/25))/(LN(2)/25)*Calculateur!AQ154*Calculateur!AS154*VLOOKUP('Données projet'!$B$10,Paramètres!$A$1:$I$89,3,0)*0.475*44/12</f>
        <v>0.43053550441228899</v>
      </c>
      <c r="AW154" s="21">
        <f>EXP(-LN(2)/2)*AW153+(1-EXP(-LN(2)/2))/(LN(2)/2)*AQ154*AT154*VLOOKUP('Données projet'!$B$10,Paramètres!$A$1:$I$89,3,0)*0.475*44/12</f>
        <v>3.3399377065803122E-18</v>
      </c>
      <c r="AX154" s="21">
        <f t="shared" ref="AX154:AX203" si="166">SUM(AU154:AW154)</f>
        <v>0.99618345592965207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-1.0286385077051818E-13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269.19146943657933</v>
      </c>
      <c r="BJ154" s="59">
        <f t="shared" si="146"/>
        <v>185.94138814570965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0.10844452411782873</v>
      </c>
      <c r="BR154" s="21">
        <f>EXP(-LN(2)/2)*BR153+(1-EXP(-LN(2)/2))/(LN(2)/2)*BL154*BO154*VLOOKUP('Données projet'!$B$11,Paramètres!$A$1:$I$89,3,0)*0.475*44/12</f>
        <v>3.7960345275033895E-18</v>
      </c>
      <c r="BS154" s="22">
        <f t="shared" ref="BS154:BS203" si="169">SUM(BP154:BR154)</f>
        <v>0.10844452411782873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-1.223725121235475E-13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335.12015893291874</v>
      </c>
      <c r="CE154" s="59">
        <f t="shared" si="148"/>
        <v>224.76596283033166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0.12901158903672724</v>
      </c>
      <c r="CM154" s="21">
        <f>EXP(-LN(2)/2)*CM153+(1-EXP(-LN(2)/2))/(LN(2)/2)*CG154*CJ154*VLOOKUP('Données projet'!$B$12,Paramètres!$A$1:$I$89,3,0)*0.475*44/12</f>
        <v>4.5159721103057643E-18</v>
      </c>
      <c r="CN154" s="22">
        <f t="shared" ref="CN154:CN203" si="172">SUM(CK154:CM154)</f>
        <v>0.12901158903672724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-1.0995790944434703E-13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293.19327646293601</v>
      </c>
      <c r="CZ154" s="59">
        <f t="shared" si="150"/>
        <v>200.0769581869605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0.11592345681560991</v>
      </c>
      <c r="DH154" s="21">
        <f>EXP(-LN(2)/2)*DH153+(1-EXP(-LN(2)/2))/(LN(2)/2)*DB154*DE154*VLOOKUP('Données projet'!$B$13,Paramètres!$A$1:$I$89,3,0)*0.475*44/12</f>
        <v>4.0578300121587949E-18</v>
      </c>
      <c r="DI154" s="22">
        <f t="shared" ref="DI154:DI203" si="175">SUM(DF154:DH154)</f>
        <v>0.11592345681560991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-2.7193891583010558E-13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246.59447135626942</v>
      </c>
      <c r="T155" s="59">
        <f t="shared" si="142"/>
        <v>262.00382544285367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0.4363669581119084</v>
      </c>
      <c r="AB155" s="21">
        <f>EXP(-LN(2)/2)*AB154+(1-EXP(-LN(2)/2))/(LN(2)/2)*V155*Y155*VLOOKUP('Données projet'!$B$9,Paramètres!$A$1:$I$89,3,0)*0.475*44/12</f>
        <v>1.0290969410753954E-17</v>
      </c>
      <c r="AC155" s="22">
        <f t="shared" si="163"/>
        <v>0.4363669581119084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195.73441209602686</v>
      </c>
      <c r="AO155" s="59">
        <f t="shared" si="144"/>
        <v>219.19129224309006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0.554555940199291</v>
      </c>
      <c r="AV155" s="21">
        <f>EXP(-LN(2)/25)*AV154+(1-EXP(-LN(2)/25))/(LN(2)/25)*Calculateur!AQ155*Calculateur!AS155*VLOOKUP('Données projet'!$B$10,Paramètres!$A$1:$I$89,3,0)*0.475*44/12</f>
        <v>0.41876248840325675</v>
      </c>
      <c r="AW155" s="21">
        <f>EXP(-LN(2)/2)*AW154+(1-EXP(-LN(2)/2))/(LN(2)/2)*AQ155*AT155*VLOOKUP('Données projet'!$B$10,Paramètres!$A$1:$I$89,3,0)*0.475*44/12</f>
        <v>2.3616926010635842E-18</v>
      </c>
      <c r="AX155" s="21">
        <f t="shared" si="166"/>
        <v>0.9733184286025478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-1.0286385077051818E-13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269.19146943657933</v>
      </c>
      <c r="BJ155" s="59">
        <f t="shared" si="146"/>
        <v>185.94138814570965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0.10547910290297703</v>
      </c>
      <c r="BR155" s="21">
        <f>EXP(-LN(2)/2)*BR154+(1-EXP(-LN(2)/2))/(LN(2)/2)*BL155*BO155*VLOOKUP('Données projet'!$B$11,Paramètres!$A$1:$I$89,3,0)*0.475*44/12</f>
        <v>2.6842017560159186E-18</v>
      </c>
      <c r="BS155" s="22">
        <f t="shared" si="169"/>
        <v>0.10547910290297703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-1.223725121235475E-13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335.12015893291874</v>
      </c>
      <c r="CE155" s="59">
        <f t="shared" si="148"/>
        <v>224.76596283033166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0.12548376035009332</v>
      </c>
      <c r="CM155" s="21">
        <f>EXP(-LN(2)/2)*CM154+(1-EXP(-LN(2)/2))/(LN(2)/2)*CG155*CJ155*VLOOKUP('Données projet'!$B$12,Paramètres!$A$1:$I$89,3,0)*0.475*44/12</f>
        <v>3.1932745028465294E-18</v>
      </c>
      <c r="CN155" s="22">
        <f t="shared" si="172"/>
        <v>0.12548376035009332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-1.0995790944434703E-13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293.19327646293601</v>
      </c>
      <c r="CZ155" s="59">
        <f t="shared" si="150"/>
        <v>200.0769581869605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0.1127535237928374</v>
      </c>
      <c r="DH155" s="21">
        <f>EXP(-LN(2)/2)*DH154+(1-EXP(-LN(2)/2))/(LN(2)/2)*DB155*DE155*VLOOKUP('Données projet'!$B$13,Paramètres!$A$1:$I$89,3,0)*0.475*44/12</f>
        <v>2.8693191184997745E-18</v>
      </c>
      <c r="DI155" s="22">
        <f t="shared" si="175"/>
        <v>0.1127535237928374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-2.7193891583010558E-13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246.59447135626942</v>
      </c>
      <c r="T156" s="59">
        <f t="shared" si="142"/>
        <v>262.00382544285367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0.42443448069479728</v>
      </c>
      <c r="AB156" s="21">
        <f>EXP(-LN(2)/2)*AB155+(1-EXP(-LN(2)/2))/(LN(2)/2)*V156*Y156*VLOOKUP('Données projet'!$B$9,Paramètres!$A$1:$I$89,3,0)*0.475*44/12</f>
        <v>7.2768142553274497E-18</v>
      </c>
      <c r="AC156" s="22">
        <f t="shared" si="163"/>
        <v>0.42443448069479728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195.73441209602686</v>
      </c>
      <c r="AO156" s="59">
        <f t="shared" si="144"/>
        <v>219.19129224309006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0.54368143645770739</v>
      </c>
      <c r="AV156" s="21">
        <f>EXP(-LN(2)/25)*AV155+(1-EXP(-LN(2)/25))/(LN(2)/25)*Calculateur!AQ156*Calculateur!AS156*VLOOKUP('Données projet'!$B$10,Paramètres!$A$1:$I$89,3,0)*0.475*44/12</f>
        <v>0.4073114061361075</v>
      </c>
      <c r="AW156" s="21">
        <f>EXP(-LN(2)/2)*AW155+(1-EXP(-LN(2)/2))/(LN(2)/2)*AQ156*AT156*VLOOKUP('Données projet'!$B$10,Paramètres!$A$1:$I$89,3,0)*0.475*44/12</f>
        <v>1.6699688532901561E-18</v>
      </c>
      <c r="AX156" s="21">
        <f t="shared" si="166"/>
        <v>0.95099284259381489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-1.0286385077051818E-13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269.19146943657933</v>
      </c>
      <c r="BJ156" s="59">
        <f t="shared" si="146"/>
        <v>185.94138814570965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0.10259477128719018</v>
      </c>
      <c r="BR156" s="21">
        <f>EXP(-LN(2)/2)*BR155+(1-EXP(-LN(2)/2))/(LN(2)/2)*BL156*BO156*VLOOKUP('Données projet'!$B$11,Paramètres!$A$1:$I$89,3,0)*0.475*44/12</f>
        <v>1.8980172637516947E-18</v>
      </c>
      <c r="BS156" s="22">
        <f t="shared" si="169"/>
        <v>0.10259477128719018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-1.223725121235475E-13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335.12015893291874</v>
      </c>
      <c r="CE156" s="59">
        <f t="shared" si="148"/>
        <v>224.76596283033166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0.12205240032441586</v>
      </c>
      <c r="CM156" s="21">
        <f>EXP(-LN(2)/2)*CM155+(1-EXP(-LN(2)/2))/(LN(2)/2)*CG156*CJ156*VLOOKUP('Données projet'!$B$12,Paramètres!$A$1:$I$89,3,0)*0.475*44/12</f>
        <v>2.2579860551528821E-18</v>
      </c>
      <c r="CN156" s="22">
        <f t="shared" si="172"/>
        <v>0.12205240032441586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-1.0995790944434703E-13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293.19327646293601</v>
      </c>
      <c r="CZ156" s="59">
        <f t="shared" si="150"/>
        <v>200.0769581869605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0.10967027275527215</v>
      </c>
      <c r="DH156" s="21">
        <f>EXP(-LN(2)/2)*DH155+(1-EXP(-LN(2)/2))/(LN(2)/2)*DB156*DE156*VLOOKUP('Données projet'!$B$13,Paramètres!$A$1:$I$89,3,0)*0.475*44/12</f>
        <v>2.0289150060793974E-18</v>
      </c>
      <c r="DI156" s="22">
        <f t="shared" si="175"/>
        <v>0.10967027275527215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-2.7193891583010558E-13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246.59447135626942</v>
      </c>
      <c r="T157" s="59">
        <f t="shared" si="142"/>
        <v>262.00382544285367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0.41282829750015876</v>
      </c>
      <c r="AB157" s="21">
        <f>EXP(-LN(2)/2)*AB156+(1-EXP(-LN(2)/2))/(LN(2)/2)*V157*Y157*VLOOKUP('Données projet'!$B$9,Paramètres!$A$1:$I$89,3,0)*0.475*44/12</f>
        <v>5.1454847053769769E-18</v>
      </c>
      <c r="AC157" s="22">
        <f t="shared" si="163"/>
        <v>0.41282829750015876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195.73441209602686</v>
      </c>
      <c r="AO157" s="59">
        <f t="shared" si="144"/>
        <v>219.19129224309006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0.53302017510170396</v>
      </c>
      <c r="AV157" s="21">
        <f>EXP(-LN(2)/25)*AV156+(1-EXP(-LN(2)/25))/(LN(2)/25)*Calculateur!AQ157*Calculateur!AS157*VLOOKUP('Données projet'!$B$10,Paramètres!$A$1:$I$89,3,0)*0.475*44/12</f>
        <v>0.39617345431573969</v>
      </c>
      <c r="AW157" s="21">
        <f>EXP(-LN(2)/2)*AW156+(1-EXP(-LN(2)/2))/(LN(2)/2)*AQ157*AT157*VLOOKUP('Données projet'!$B$10,Paramètres!$A$1:$I$89,3,0)*0.475*44/12</f>
        <v>1.1808463005317921E-18</v>
      </c>
      <c r="AX157" s="21">
        <f t="shared" si="166"/>
        <v>0.92919362941744366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-1.0286385077051818E-13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269.19146943657933</v>
      </c>
      <c r="BJ157" s="59">
        <f t="shared" si="146"/>
        <v>185.94138814570965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9.978931187111742E-2</v>
      </c>
      <c r="BR157" s="21">
        <f>EXP(-LN(2)/2)*BR156+(1-EXP(-LN(2)/2))/(LN(2)/2)*BL157*BO157*VLOOKUP('Données projet'!$B$11,Paramètres!$A$1:$I$89,3,0)*0.475*44/12</f>
        <v>1.3421008780079593E-18</v>
      </c>
      <c r="BS157" s="22">
        <f t="shared" si="169"/>
        <v>9.978931187111742E-2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-1.223725121235475E-13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335.12015893291874</v>
      </c>
      <c r="CE157" s="59">
        <f t="shared" si="148"/>
        <v>224.76596283033166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0.11871487101908793</v>
      </c>
      <c r="CM157" s="21">
        <f>EXP(-LN(2)/2)*CM156+(1-EXP(-LN(2)/2))/(LN(2)/2)*CG157*CJ157*VLOOKUP('Données projet'!$B$12,Paramètres!$A$1:$I$89,3,0)*0.475*44/12</f>
        <v>1.5966372514232647E-18</v>
      </c>
      <c r="CN157" s="22">
        <f t="shared" si="172"/>
        <v>0.11871487101908793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-1.0995790944434703E-13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293.19327646293601</v>
      </c>
      <c r="CZ157" s="59">
        <f t="shared" si="150"/>
        <v>200.0769581869605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0.10667133337947024</v>
      </c>
      <c r="DH157" s="21">
        <f>EXP(-LN(2)/2)*DH156+(1-EXP(-LN(2)/2))/(LN(2)/2)*DB157*DE157*VLOOKUP('Données projet'!$B$13,Paramètres!$A$1:$I$89,3,0)*0.475*44/12</f>
        <v>1.4346595592498873E-18</v>
      </c>
      <c r="DI157" s="22">
        <f t="shared" si="175"/>
        <v>0.10667133337947024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-2.7193891583010558E-13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246.59447135626942</v>
      </c>
      <c r="T158" s="59">
        <f t="shared" si="142"/>
        <v>262.00382544285367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0.4015394859953203</v>
      </c>
      <c r="AB158" s="21">
        <f>EXP(-LN(2)/2)*AB157+(1-EXP(-LN(2)/2))/(LN(2)/2)*V158*Y158*VLOOKUP('Données projet'!$B$9,Paramètres!$A$1:$I$89,3,0)*0.475*44/12</f>
        <v>3.6384071276637248E-18</v>
      </c>
      <c r="AC158" s="22">
        <f t="shared" si="163"/>
        <v>0.4015394859953203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195.73441209602686</v>
      </c>
      <c r="AO158" s="59">
        <f t="shared" si="144"/>
        <v>219.19129224309006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0.5225679745781644</v>
      </c>
      <c r="AV158" s="21">
        <f>EXP(-LN(2)/25)*AV157+(1-EXP(-LN(2)/25))/(LN(2)/25)*Calculateur!AQ158*Calculateur!AS158*VLOOKUP('Données projet'!$B$10,Paramètres!$A$1:$I$89,3,0)*0.475*44/12</f>
        <v>0.38534007037361928</v>
      </c>
      <c r="AW158" s="21">
        <f>EXP(-LN(2)/2)*AW157+(1-EXP(-LN(2)/2))/(LN(2)/2)*AQ158*AT158*VLOOKUP('Données projet'!$B$10,Paramètres!$A$1:$I$89,3,0)*0.475*44/12</f>
        <v>8.3498442664507805E-19</v>
      </c>
      <c r="AX158" s="21">
        <f t="shared" si="166"/>
        <v>0.90790804495178368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-1.0286385077051818E-13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269.19146943657933</v>
      </c>
      <c r="BJ158" s="59">
        <f t="shared" si="146"/>
        <v>185.94138814570965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9.7060567890309868E-2</v>
      </c>
      <c r="BR158" s="21">
        <f>EXP(-LN(2)/2)*BR157+(1-EXP(-LN(2)/2))/(LN(2)/2)*BL158*BO158*VLOOKUP('Données projet'!$B$11,Paramètres!$A$1:$I$89,3,0)*0.475*44/12</f>
        <v>9.4900863187584737E-19</v>
      </c>
      <c r="BS158" s="22">
        <f t="shared" si="169"/>
        <v>9.7060567890309868E-2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-1.223725121235475E-13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335.12015893291874</v>
      </c>
      <c r="CE158" s="59">
        <f t="shared" si="148"/>
        <v>224.76596283033166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0.11546860662812723</v>
      </c>
      <c r="CM158" s="21">
        <f>EXP(-LN(2)/2)*CM157+(1-EXP(-LN(2)/2))/(LN(2)/2)*CG158*CJ158*VLOOKUP('Données projet'!$B$12,Paramètres!$A$1:$I$89,3,0)*0.475*44/12</f>
        <v>1.1289930275764411E-18</v>
      </c>
      <c r="CN158" s="22">
        <f t="shared" si="172"/>
        <v>0.11546860662812723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-1.0995790944434703E-13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293.19327646293601</v>
      </c>
      <c r="CZ158" s="59">
        <f t="shared" si="150"/>
        <v>200.0769581869605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0.103754400158607</v>
      </c>
      <c r="DH158" s="21">
        <f>EXP(-LN(2)/2)*DH157+(1-EXP(-LN(2)/2))/(LN(2)/2)*DB158*DE158*VLOOKUP('Données projet'!$B$13,Paramètres!$A$1:$I$89,3,0)*0.475*44/12</f>
        <v>1.0144575030396987E-18</v>
      </c>
      <c r="DI158" s="22">
        <f t="shared" si="175"/>
        <v>0.103754400158607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-2.7193891583010558E-13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246.59447135626942</v>
      </c>
      <c r="T159" s="59">
        <f t="shared" si="142"/>
        <v>262.00382544285367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0.39055936763473442</v>
      </c>
      <c r="AB159" s="21">
        <f>EXP(-LN(2)/2)*AB158+(1-EXP(-LN(2)/2))/(LN(2)/2)*V159*Y159*VLOOKUP('Données projet'!$B$9,Paramètres!$A$1:$I$89,3,0)*0.475*44/12</f>
        <v>2.5727423526884884E-18</v>
      </c>
      <c r="AC159" s="22">
        <f t="shared" si="163"/>
        <v>0.39055936763473442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195.73441209602686</v>
      </c>
      <c r="AO159" s="59">
        <f t="shared" si="144"/>
        <v>219.19129224309006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0.51232073533167866</v>
      </c>
      <c r="AV159" s="21">
        <f>EXP(-LN(2)/25)*AV158+(1-EXP(-LN(2)/25))/(LN(2)/25)*Calculateur!AQ159*Calculateur!AS159*VLOOKUP('Données projet'!$B$10,Paramètres!$A$1:$I$89,3,0)*0.475*44/12</f>
        <v>0.37480292588509906</v>
      </c>
      <c r="AW159" s="21">
        <f>EXP(-LN(2)/2)*AW158+(1-EXP(-LN(2)/2))/(LN(2)/2)*AQ159*AT159*VLOOKUP('Données projet'!$B$10,Paramètres!$A$1:$I$89,3,0)*0.475*44/12</f>
        <v>5.9042315026589604E-19</v>
      </c>
      <c r="AX159" s="21">
        <f t="shared" si="166"/>
        <v>0.88712366121677766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-1.0286385077051818E-13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269.19146943657933</v>
      </c>
      <c r="BJ159" s="59">
        <f t="shared" si="146"/>
        <v>185.94138814570965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9.4406441557155912E-2</v>
      </c>
      <c r="BR159" s="21">
        <f>EXP(-LN(2)/2)*BR158+(1-EXP(-LN(2)/2))/(LN(2)/2)*BL159*BO159*VLOOKUP('Données projet'!$B$11,Paramètres!$A$1:$I$89,3,0)*0.475*44/12</f>
        <v>6.7105043900397965E-19</v>
      </c>
      <c r="BS159" s="22">
        <f t="shared" si="169"/>
        <v>9.4406441557155912E-2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-1.223725121235475E-13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335.12015893291874</v>
      </c>
      <c r="CE159" s="59">
        <f t="shared" si="148"/>
        <v>224.76596283033166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0.11231111150765098</v>
      </c>
      <c r="CM159" s="21">
        <f>EXP(-LN(2)/2)*CM158+(1-EXP(-LN(2)/2))/(LN(2)/2)*CG159*CJ159*VLOOKUP('Données projet'!$B$12,Paramètres!$A$1:$I$89,3,0)*0.475*44/12</f>
        <v>7.9831862571163235E-19</v>
      </c>
      <c r="CN159" s="22">
        <f t="shared" si="172"/>
        <v>0.11231111150765098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-1.0995790944434703E-13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293.19327646293601</v>
      </c>
      <c r="CZ159" s="59">
        <f t="shared" si="150"/>
        <v>200.0769581869605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0.10091723063006312</v>
      </c>
      <c r="DH159" s="21">
        <f>EXP(-LN(2)/2)*DH158+(1-EXP(-LN(2)/2))/(LN(2)/2)*DB159*DE159*VLOOKUP('Données projet'!$B$13,Paramètres!$A$1:$I$89,3,0)*0.475*44/12</f>
        <v>7.1732977962494363E-19</v>
      </c>
      <c r="DI159" s="22">
        <f t="shared" si="175"/>
        <v>0.10091723063006312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-2.7193891583010558E-13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246.59447135626942</v>
      </c>
      <c r="T160" s="59">
        <f t="shared" si="142"/>
        <v>262.00382544285367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0.37987950118813812</v>
      </c>
      <c r="AB160" s="21">
        <f>EXP(-LN(2)/2)*AB159+(1-EXP(-LN(2)/2))/(LN(2)/2)*V160*Y160*VLOOKUP('Données projet'!$B$9,Paramètres!$A$1:$I$89,3,0)*0.475*44/12</f>
        <v>1.8192035638318624E-18</v>
      </c>
      <c r="AC160" s="22">
        <f t="shared" si="163"/>
        <v>0.37987950118813812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195.73441209602686</v>
      </c>
      <c r="AO160" s="59">
        <f t="shared" si="144"/>
        <v>219.19129224309006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0.50227443819661766</v>
      </c>
      <c r="AV160" s="21">
        <f>EXP(-LN(2)/25)*AV159+(1-EXP(-LN(2)/25))/(LN(2)/25)*Calculateur!AQ160*Calculateur!AS160*VLOOKUP('Données projet'!$B$10,Paramètres!$A$1:$I$89,3,0)*0.475*44/12</f>
        <v>0.36455392016674176</v>
      </c>
      <c r="AW160" s="21">
        <f>EXP(-LN(2)/2)*AW159+(1-EXP(-LN(2)/2))/(LN(2)/2)*AQ160*AT160*VLOOKUP('Données projet'!$B$10,Paramètres!$A$1:$I$89,3,0)*0.475*44/12</f>
        <v>4.1749221332253903E-19</v>
      </c>
      <c r="AX160" s="21">
        <f t="shared" si="166"/>
        <v>0.86682835836335936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-1.0286385077051818E-13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269.19146943657933</v>
      </c>
      <c r="BJ160" s="59">
        <f t="shared" si="146"/>
        <v>185.94138814570965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9.1824892448156489E-2</v>
      </c>
      <c r="BR160" s="21">
        <f>EXP(-LN(2)/2)*BR159+(1-EXP(-LN(2)/2))/(LN(2)/2)*BL160*BO160*VLOOKUP('Données projet'!$B$11,Paramètres!$A$1:$I$89,3,0)*0.475*44/12</f>
        <v>4.7450431593792369E-19</v>
      </c>
      <c r="BS160" s="22">
        <f t="shared" si="169"/>
        <v>9.1824892448156489E-2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-1.223725121235475E-13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335.12015893291874</v>
      </c>
      <c r="CE160" s="59">
        <f t="shared" si="148"/>
        <v>224.76596283033166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0.1092399582572896</v>
      </c>
      <c r="CM160" s="21">
        <f>EXP(-LN(2)/2)*CM159+(1-EXP(-LN(2)/2))/(LN(2)/2)*CG160*CJ160*VLOOKUP('Données projet'!$B$12,Paramètres!$A$1:$I$89,3,0)*0.475*44/12</f>
        <v>5.6449651378822054E-19</v>
      </c>
      <c r="CN160" s="22">
        <f t="shared" si="172"/>
        <v>0.1092399582572896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-1.0995790944434703E-13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293.19327646293601</v>
      </c>
      <c r="CZ160" s="59">
        <f t="shared" si="150"/>
        <v>200.0769581869605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9.8157643651477541E-2</v>
      </c>
      <c r="DH160" s="21">
        <f>EXP(-LN(2)/2)*DH159+(1-EXP(-LN(2)/2))/(LN(2)/2)*DB160*DE160*VLOOKUP('Données projet'!$B$13,Paramètres!$A$1:$I$89,3,0)*0.475*44/12</f>
        <v>5.0722875151984936E-19</v>
      </c>
      <c r="DI160" s="22">
        <f t="shared" si="175"/>
        <v>9.8157643651477541E-2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-2.7193891583010558E-13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246.59447135626942</v>
      </c>
      <c r="T161" s="59">
        <f t="shared" si="142"/>
        <v>262.00382544285367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0.36949167625115376</v>
      </c>
      <c r="AB161" s="21">
        <f>EXP(-LN(2)/2)*AB160+(1-EXP(-LN(2)/2))/(LN(2)/2)*V161*Y161*VLOOKUP('Données projet'!$B$9,Paramètres!$A$1:$I$89,3,0)*0.475*44/12</f>
        <v>1.2863711763442442E-18</v>
      </c>
      <c r="AC161" s="22">
        <f t="shared" si="163"/>
        <v>0.36949167625115376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195.73441209602686</v>
      </c>
      <c r="AO161" s="59">
        <f t="shared" si="144"/>
        <v>219.19129224309006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0.49242514282073901</v>
      </c>
      <c r="AV161" s="21">
        <f>EXP(-LN(2)/25)*AV160+(1-EXP(-LN(2)/25))/(LN(2)/25)*Calculateur!AQ161*Calculateur!AS161*VLOOKUP('Données projet'!$B$10,Paramètres!$A$1:$I$89,3,0)*0.475*44/12</f>
        <v>0.35458517404872475</v>
      </c>
      <c r="AW161" s="21">
        <f>EXP(-LN(2)/2)*AW160+(1-EXP(-LN(2)/2))/(LN(2)/2)*AQ161*AT161*VLOOKUP('Données projet'!$B$10,Paramètres!$A$1:$I$89,3,0)*0.475*44/12</f>
        <v>2.9521157513294802E-19</v>
      </c>
      <c r="AX161" s="21">
        <f t="shared" si="166"/>
        <v>0.84701031686946382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-1.0286385077051818E-13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269.19146943657933</v>
      </c>
      <c r="BJ161" s="59">
        <f t="shared" si="146"/>
        <v>185.94138814570965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8.9313935935300431E-2</v>
      </c>
      <c r="BR161" s="21">
        <f>EXP(-LN(2)/2)*BR160+(1-EXP(-LN(2)/2))/(LN(2)/2)*BL161*BO161*VLOOKUP('Données projet'!$B$11,Paramètres!$A$1:$I$89,3,0)*0.475*44/12</f>
        <v>3.3552521950198982E-19</v>
      </c>
      <c r="BS161" s="22">
        <f t="shared" si="169"/>
        <v>8.9313935935300431E-2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-1.223725121235475E-13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335.12015893291874</v>
      </c>
      <c r="CE161" s="59">
        <f t="shared" si="148"/>
        <v>224.76596283033166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0.10625278585406428</v>
      </c>
      <c r="CM161" s="21">
        <f>EXP(-LN(2)/2)*CM160+(1-EXP(-LN(2)/2))/(LN(2)/2)*CG161*CJ161*VLOOKUP('Données projet'!$B$12,Paramètres!$A$1:$I$89,3,0)*0.475*44/12</f>
        <v>3.9915931285581617E-19</v>
      </c>
      <c r="CN161" s="22">
        <f t="shared" si="172"/>
        <v>0.10625278585406428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-1.0995790944434703E-13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293.19327646293601</v>
      </c>
      <c r="CZ161" s="59">
        <f t="shared" si="150"/>
        <v>200.0769581869605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9.5473517723941748E-2</v>
      </c>
      <c r="DH161" s="21">
        <f>EXP(-LN(2)/2)*DH160+(1-EXP(-LN(2)/2))/(LN(2)/2)*DB161*DE161*VLOOKUP('Données projet'!$B$13,Paramètres!$A$1:$I$89,3,0)*0.475*44/12</f>
        <v>3.5866488981247181E-19</v>
      </c>
      <c r="DI161" s="22">
        <f t="shared" si="175"/>
        <v>9.5473517723941748E-2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-2.7193891583010558E-13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246.59447135626942</v>
      </c>
      <c r="T162" s="59">
        <f t="shared" si="142"/>
        <v>262.00382544285367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0.35938790693334316</v>
      </c>
      <c r="AB162" s="21">
        <f>EXP(-LN(2)/2)*AB161+(1-EXP(-LN(2)/2))/(LN(2)/2)*V162*Y162*VLOOKUP('Données projet'!$B$9,Paramètres!$A$1:$I$89,3,0)*0.475*44/12</f>
        <v>9.0960178191593121E-19</v>
      </c>
      <c r="AC162" s="22">
        <f t="shared" si="163"/>
        <v>0.35938790693334316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195.73441209602686</v>
      </c>
      <c r="AO162" s="59">
        <f t="shared" si="144"/>
        <v>219.19129224309006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0.48276898611970437</v>
      </c>
      <c r="AV162" s="21">
        <f>EXP(-LN(2)/25)*AV161+(1-EXP(-LN(2)/25))/(LN(2)/25)*Calculateur!AQ162*Calculateur!AS162*VLOOKUP('Données projet'!$B$10,Paramètres!$A$1:$I$89,3,0)*0.475*44/12</f>
        <v>0.3448890238175385</v>
      </c>
      <c r="AW162" s="21">
        <f>EXP(-LN(2)/2)*AW161+(1-EXP(-LN(2)/2))/(LN(2)/2)*AQ162*AT162*VLOOKUP('Données projet'!$B$10,Paramètres!$A$1:$I$89,3,0)*0.475*44/12</f>
        <v>2.0874610666126951E-19</v>
      </c>
      <c r="AX162" s="21">
        <f t="shared" si="166"/>
        <v>0.82765800993724281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-1.0286385077051818E-13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269.19146943657933</v>
      </c>
      <c r="BJ162" s="59">
        <f t="shared" si="146"/>
        <v>185.94138814570965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8.6871641660333884E-2</v>
      </c>
      <c r="BR162" s="21">
        <f>EXP(-LN(2)/2)*BR161+(1-EXP(-LN(2)/2))/(LN(2)/2)*BL162*BO162*VLOOKUP('Données projet'!$B$11,Paramètres!$A$1:$I$89,3,0)*0.475*44/12</f>
        <v>2.3725215796896184E-19</v>
      </c>
      <c r="BS162" s="22">
        <f t="shared" si="169"/>
        <v>8.6871641660333884E-2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-1.223725121235475E-13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335.12015893291874</v>
      </c>
      <c r="CE162" s="59">
        <f t="shared" si="148"/>
        <v>224.76596283033166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0.10334729783729373</v>
      </c>
      <c r="CM162" s="21">
        <f>EXP(-LN(2)/2)*CM161+(1-EXP(-LN(2)/2))/(LN(2)/2)*CG162*CJ162*VLOOKUP('Données projet'!$B$12,Paramètres!$A$1:$I$89,3,0)*0.475*44/12</f>
        <v>2.8224825689411027E-19</v>
      </c>
      <c r="CN162" s="22">
        <f t="shared" si="172"/>
        <v>0.10334729783729373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-1.0995790944434703E-13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293.19327646293601</v>
      </c>
      <c r="CZ162" s="59">
        <f t="shared" si="150"/>
        <v>200.0769581869605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9.2862789361046472E-2</v>
      </c>
      <c r="DH162" s="21">
        <f>EXP(-LN(2)/2)*DH161+(1-EXP(-LN(2)/2))/(LN(2)/2)*DB162*DE162*VLOOKUP('Données projet'!$B$13,Paramètres!$A$1:$I$89,3,0)*0.475*44/12</f>
        <v>2.5361437575992468E-19</v>
      </c>
      <c r="DI162" s="22">
        <f t="shared" si="175"/>
        <v>9.2862789361046472E-2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-2.7193891583010558E-13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246.59447135626942</v>
      </c>
      <c r="T163" s="59">
        <f t="shared" si="142"/>
        <v>262.00382544285367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0.34956042571886226</v>
      </c>
      <c r="AB163" s="21">
        <f>EXP(-LN(2)/2)*AB162+(1-EXP(-LN(2)/2))/(LN(2)/2)*V163*Y163*VLOOKUP('Données projet'!$B$9,Paramètres!$A$1:$I$89,3,0)*0.475*44/12</f>
        <v>6.4318558817212211E-19</v>
      </c>
      <c r="AC163" s="22">
        <f t="shared" si="163"/>
        <v>0.34956042571886226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195.73441209602686</v>
      </c>
      <c r="AO163" s="59">
        <f t="shared" si="144"/>
        <v>219.19129224309006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0.473302180761903</v>
      </c>
      <c r="AV163" s="21">
        <f>EXP(-LN(2)/25)*AV162+(1-EXP(-LN(2)/25))/(LN(2)/25)*Calculateur!AQ163*Calculateur!AS163*VLOOKUP('Données projet'!$B$10,Paramètres!$A$1:$I$89,3,0)*0.475*44/12</f>
        <v>0.3354580153243224</v>
      </c>
      <c r="AW163" s="21">
        <f>EXP(-LN(2)/2)*AW162+(1-EXP(-LN(2)/2))/(LN(2)/2)*AQ163*AT163*VLOOKUP('Données projet'!$B$10,Paramètres!$A$1:$I$89,3,0)*0.475*44/12</f>
        <v>1.4760578756647401E-19</v>
      </c>
      <c r="AX163" s="21">
        <f t="shared" si="166"/>
        <v>0.8087601960862254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-1.0286385077051818E-13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269.19146943657933</v>
      </c>
      <c r="BJ163" s="59">
        <f t="shared" si="146"/>
        <v>185.94138814570965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8.4496132050750961E-2</v>
      </c>
      <c r="BR163" s="21">
        <f>EXP(-LN(2)/2)*BR162+(1-EXP(-LN(2)/2))/(LN(2)/2)*BL163*BO163*VLOOKUP('Données projet'!$B$11,Paramètres!$A$1:$I$89,3,0)*0.475*44/12</f>
        <v>1.6776260975099491E-19</v>
      </c>
      <c r="BS163" s="22">
        <f t="shared" si="169"/>
        <v>8.4496132050750961E-2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-1.223725121235475E-13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335.12015893291874</v>
      </c>
      <c r="CE163" s="59">
        <f t="shared" si="148"/>
        <v>224.76596283033166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0.10052126054313473</v>
      </c>
      <c r="CM163" s="21">
        <f>EXP(-LN(2)/2)*CM162+(1-EXP(-LN(2)/2))/(LN(2)/2)*CG163*CJ163*VLOOKUP('Données projet'!$B$12,Paramètres!$A$1:$I$89,3,0)*0.475*44/12</f>
        <v>1.9957965642790809E-19</v>
      </c>
      <c r="CN163" s="22">
        <f t="shared" si="172"/>
        <v>0.10052126054313473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-1.0995790944434703E-13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293.19327646293601</v>
      </c>
      <c r="CZ163" s="59">
        <f t="shared" si="150"/>
        <v>200.0769581869605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9.0323451502526811E-2</v>
      </c>
      <c r="DH163" s="21">
        <f>EXP(-LN(2)/2)*DH162+(1-EXP(-LN(2)/2))/(LN(2)/2)*DB163*DE163*VLOOKUP('Données projet'!$B$13,Paramètres!$A$1:$I$89,3,0)*0.475*44/12</f>
        <v>1.7933244490623591E-19</v>
      </c>
      <c r="DI163" s="22">
        <f t="shared" si="175"/>
        <v>9.0323451502526811E-2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-2.7193891583010558E-13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246.59447135626942</v>
      </c>
      <c r="T164" s="59">
        <f t="shared" si="142"/>
        <v>262.00382544285367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0.3400016774949961</v>
      </c>
      <c r="AB164" s="21">
        <f>EXP(-LN(2)/2)*AB163+(1-EXP(-LN(2)/2))/(LN(2)/2)*V164*Y164*VLOOKUP('Données projet'!$B$9,Paramètres!$A$1:$I$89,3,0)*0.475*44/12</f>
        <v>4.548008909579656E-19</v>
      </c>
      <c r="AC164" s="22">
        <f t="shared" si="163"/>
        <v>0.3400016774949961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195.73441209602686</v>
      </c>
      <c r="AO164" s="59">
        <f t="shared" si="144"/>
        <v>219.19129224309006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0.46402101368298698</v>
      </c>
      <c r="AV164" s="21">
        <f>EXP(-LN(2)/25)*AV163+(1-EXP(-LN(2)/25))/(LN(2)/25)*Calculateur!AQ164*Calculateur!AS164*VLOOKUP('Données projet'!$B$10,Paramètres!$A$1:$I$89,3,0)*0.475*44/12</f>
        <v>0.32628489825430845</v>
      </c>
      <c r="AW164" s="21">
        <f>EXP(-LN(2)/2)*AW163+(1-EXP(-LN(2)/2))/(LN(2)/2)*AQ164*AT164*VLOOKUP('Données projet'!$B$10,Paramètres!$A$1:$I$89,3,0)*0.475*44/12</f>
        <v>1.0437305333063476E-19</v>
      </c>
      <c r="AX164" s="21">
        <f t="shared" si="166"/>
        <v>0.79030591193729549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-1.0286385077051818E-13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269.19146943657933</v>
      </c>
      <c r="BJ164" s="59">
        <f t="shared" si="146"/>
        <v>185.94138814570965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8.2185580876364711E-2</v>
      </c>
      <c r="BR164" s="21">
        <f>EXP(-LN(2)/2)*BR163+(1-EXP(-LN(2)/2))/(LN(2)/2)*BL164*BO164*VLOOKUP('Données projet'!$B$11,Paramètres!$A$1:$I$89,3,0)*0.475*44/12</f>
        <v>1.1862607898448092E-19</v>
      </c>
      <c r="BS164" s="22">
        <f t="shared" si="169"/>
        <v>8.2185580876364711E-2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-1.223725121235475E-13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335.12015893291874</v>
      </c>
      <c r="CE164" s="59">
        <f t="shared" si="148"/>
        <v>224.76596283033166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9.777250138739936E-2</v>
      </c>
      <c r="CM164" s="21">
        <f>EXP(-LN(2)/2)*CM163+(1-EXP(-LN(2)/2))/(LN(2)/2)*CG164*CJ164*VLOOKUP('Données projet'!$B$12,Paramètres!$A$1:$I$89,3,0)*0.475*44/12</f>
        <v>1.4112412844705513E-19</v>
      </c>
      <c r="CN164" s="22">
        <f t="shared" si="172"/>
        <v>9.777250138739936E-2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-1.0995790944434703E-13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293.19327646293601</v>
      </c>
      <c r="CZ164" s="59">
        <f t="shared" si="150"/>
        <v>200.0769581869605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8.7853551971286331E-2</v>
      </c>
      <c r="DH164" s="21">
        <f>EXP(-LN(2)/2)*DH163+(1-EXP(-LN(2)/2))/(LN(2)/2)*DB164*DE164*VLOOKUP('Données projet'!$B$13,Paramètres!$A$1:$I$89,3,0)*0.475*44/12</f>
        <v>1.2680718787996234E-19</v>
      </c>
      <c r="DI164" s="22">
        <f t="shared" si="175"/>
        <v>8.7853551971286331E-2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-2.7193891583010558E-13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246.59447135626942</v>
      </c>
      <c r="T165" s="59">
        <f t="shared" si="142"/>
        <v>262.00382544285367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0.33070431374398429</v>
      </c>
      <c r="AB165" s="21">
        <f>EXP(-LN(2)/2)*AB164+(1-EXP(-LN(2)/2))/(LN(2)/2)*V165*Y165*VLOOKUP('Données projet'!$B$9,Paramètres!$A$1:$I$89,3,0)*0.475*44/12</f>
        <v>3.2159279408606105E-19</v>
      </c>
      <c r="AC165" s="22">
        <f t="shared" si="163"/>
        <v>0.33070431374398429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195.73441209602686</v>
      </c>
      <c r="AO165" s="59">
        <f t="shared" si="144"/>
        <v>219.19129224309006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0.45492184462953555</v>
      </c>
      <c r="AV165" s="21">
        <f>EXP(-LN(2)/25)*AV164+(1-EXP(-LN(2)/25))/(LN(2)/25)*Calculateur!AQ165*Calculateur!AS165*VLOOKUP('Données projet'!$B$10,Paramètres!$A$1:$I$89,3,0)*0.475*44/12</f>
        <v>0.31736262055296732</v>
      </c>
      <c r="AW165" s="21">
        <f>EXP(-LN(2)/2)*AW164+(1-EXP(-LN(2)/2))/(LN(2)/2)*AQ165*AT165*VLOOKUP('Données projet'!$B$10,Paramètres!$A$1:$I$89,3,0)*0.475*44/12</f>
        <v>7.3802893783237005E-20</v>
      </c>
      <c r="AX165" s="21">
        <f t="shared" si="166"/>
        <v>0.77228446518250293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-1.0286385077051818E-13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269.19146943657933</v>
      </c>
      <c r="BJ165" s="59">
        <f t="shared" si="146"/>
        <v>185.94138814570965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7.9938211845348661E-2</v>
      </c>
      <c r="BR165" s="21">
        <f>EXP(-LN(2)/2)*BR164+(1-EXP(-LN(2)/2))/(LN(2)/2)*BL165*BO165*VLOOKUP('Données projet'!$B$11,Paramètres!$A$1:$I$89,3,0)*0.475*44/12</f>
        <v>8.3881304875497456E-20</v>
      </c>
      <c r="BS165" s="22">
        <f t="shared" si="169"/>
        <v>7.9938211845348661E-2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-1.223725121235475E-13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335.12015893291874</v>
      </c>
      <c r="CE165" s="59">
        <f t="shared" si="148"/>
        <v>224.76596283033166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9.5098907195328541E-2</v>
      </c>
      <c r="CM165" s="21">
        <f>EXP(-LN(2)/2)*CM164+(1-EXP(-LN(2)/2))/(LN(2)/2)*CG165*CJ165*VLOOKUP('Données projet'!$B$12,Paramètres!$A$1:$I$89,3,0)*0.475*44/12</f>
        <v>9.9789828213954043E-20</v>
      </c>
      <c r="CN165" s="22">
        <f t="shared" si="172"/>
        <v>9.5098907195328541E-2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-1.0995790944434703E-13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293.19327646293601</v>
      </c>
      <c r="CZ165" s="59">
        <f t="shared" si="150"/>
        <v>200.0769581869605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8.5451191972613999E-2</v>
      </c>
      <c r="DH165" s="21">
        <f>EXP(-LN(2)/2)*DH164+(1-EXP(-LN(2)/2))/(LN(2)/2)*DB165*DE165*VLOOKUP('Données projet'!$B$13,Paramètres!$A$1:$I$89,3,0)*0.475*44/12</f>
        <v>8.9666222453117953E-20</v>
      </c>
      <c r="DI165" s="22">
        <f t="shared" si="175"/>
        <v>8.5451191972613999E-2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-2.7193891583010558E-13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246.59447135626942</v>
      </c>
      <c r="T166" s="59">
        <f t="shared" si="142"/>
        <v>262.00382544285367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0.32166118689367101</v>
      </c>
      <c r="AB166" s="21">
        <f>EXP(-LN(2)/2)*AB165+(1-EXP(-LN(2)/2))/(LN(2)/2)*V166*Y166*VLOOKUP('Données projet'!$B$9,Paramètres!$A$1:$I$89,3,0)*0.475*44/12</f>
        <v>2.274004454789828E-19</v>
      </c>
      <c r="AC166" s="22">
        <f t="shared" si="163"/>
        <v>0.32166118689367101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195.73441209602686</v>
      </c>
      <c r="AO166" s="59">
        <f t="shared" si="144"/>
        <v>219.19129224309006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0.44600110473127719</v>
      </c>
      <c r="AV166" s="21">
        <f>EXP(-LN(2)/25)*AV165+(1-EXP(-LN(2)/25))/(LN(2)/25)*Calculateur!AQ166*Calculateur!AS166*VLOOKUP('Données projet'!$B$10,Paramètres!$A$1:$I$89,3,0)*0.475*44/12</f>
        <v>0.30868432300457155</v>
      </c>
      <c r="AW166" s="21">
        <f>EXP(-LN(2)/2)*AW165+(1-EXP(-LN(2)/2))/(LN(2)/2)*AQ166*AT166*VLOOKUP('Données projet'!$B$10,Paramètres!$A$1:$I$89,3,0)*0.475*44/12</f>
        <v>5.2186526665317378E-20</v>
      </c>
      <c r="AX166" s="21">
        <f t="shared" si="166"/>
        <v>0.75468542773584879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-1.0286385077051818E-13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269.19146943657933</v>
      </c>
      <c r="BJ166" s="59">
        <f t="shared" si="146"/>
        <v>185.94138814570965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7.7752297238669749E-2</v>
      </c>
      <c r="BR166" s="21">
        <f>EXP(-LN(2)/2)*BR165+(1-EXP(-LN(2)/2))/(LN(2)/2)*BL166*BO166*VLOOKUP('Données projet'!$B$11,Paramètres!$A$1:$I$89,3,0)*0.475*44/12</f>
        <v>5.9313039492240461E-20</v>
      </c>
      <c r="BS166" s="22">
        <f t="shared" si="169"/>
        <v>7.7752297238669749E-2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-1.223725121235475E-13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335.12015893291874</v>
      </c>
      <c r="CE166" s="59">
        <f t="shared" si="148"/>
        <v>224.76596283033166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9.2498422577038109E-2</v>
      </c>
      <c r="CM166" s="21">
        <f>EXP(-LN(2)/2)*CM165+(1-EXP(-LN(2)/2))/(LN(2)/2)*CG166*CJ166*VLOOKUP('Données projet'!$B$12,Paramètres!$A$1:$I$89,3,0)*0.475*44/12</f>
        <v>7.0562064223527567E-20</v>
      </c>
      <c r="CN166" s="22">
        <f t="shared" si="172"/>
        <v>9.2498422577038109E-2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-1.0995790944434703E-13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293.19327646293601</v>
      </c>
      <c r="CZ166" s="59">
        <f t="shared" si="150"/>
        <v>200.0769581869605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8.3114524634439982E-2</v>
      </c>
      <c r="DH166" s="21">
        <f>EXP(-LN(2)/2)*DH165+(1-EXP(-LN(2)/2))/(LN(2)/2)*DB166*DE166*VLOOKUP('Données projet'!$B$13,Paramètres!$A$1:$I$89,3,0)*0.475*44/12</f>
        <v>6.340359393998117E-20</v>
      </c>
      <c r="DI166" s="22">
        <f t="shared" si="175"/>
        <v>8.3114524634439982E-2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-2.7193891583010558E-13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246.59447135626942</v>
      </c>
      <c r="T167" s="59">
        <f t="shared" si="142"/>
        <v>262.00382544285367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0.31286534482263695</v>
      </c>
      <c r="AB167" s="21">
        <f>EXP(-LN(2)/2)*AB166+(1-EXP(-LN(2)/2))/(LN(2)/2)*V167*Y167*VLOOKUP('Données projet'!$B$9,Paramètres!$A$1:$I$89,3,0)*0.475*44/12</f>
        <v>1.6079639704303053E-19</v>
      </c>
      <c r="AC167" s="22">
        <f t="shared" si="163"/>
        <v>0.31286534482263695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195.73441209602686</v>
      </c>
      <c r="AO167" s="59">
        <f t="shared" si="144"/>
        <v>219.19129224309006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0.43725529510130962</v>
      </c>
      <c r="AV167" s="21">
        <f>EXP(-LN(2)/25)*AV166+(1-EXP(-LN(2)/25))/(LN(2)/25)*Calculateur!AQ167*Calculateur!AS167*VLOOKUP('Données projet'!$B$10,Paramètres!$A$1:$I$89,3,0)*0.475*44/12</f>
        <v>0.30024333395900848</v>
      </c>
      <c r="AW167" s="21">
        <f>EXP(-LN(2)/2)*AW166+(1-EXP(-LN(2)/2))/(LN(2)/2)*AQ167*AT167*VLOOKUP('Données projet'!$B$10,Paramètres!$A$1:$I$89,3,0)*0.475*44/12</f>
        <v>3.6901446891618503E-20</v>
      </c>
      <c r="AX167" s="21">
        <f t="shared" si="166"/>
        <v>0.73749862906031804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-1.0286385077051818E-13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269.19146943657933</v>
      </c>
      <c r="BJ167" s="59">
        <f t="shared" si="146"/>
        <v>185.94138814570965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7.5626156581862725E-2</v>
      </c>
      <c r="BR167" s="21">
        <f>EXP(-LN(2)/2)*BR166+(1-EXP(-LN(2)/2))/(LN(2)/2)*BL167*BO167*VLOOKUP('Données projet'!$B$11,Paramètres!$A$1:$I$89,3,0)*0.475*44/12</f>
        <v>4.1940652437748728E-20</v>
      </c>
      <c r="BS167" s="22">
        <f t="shared" si="169"/>
        <v>7.5626156581862725E-2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-1.223725121235475E-13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335.12015893291874</v>
      </c>
      <c r="CE167" s="59">
        <f t="shared" si="148"/>
        <v>224.76596283033166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8.9969048347388364E-2</v>
      </c>
      <c r="CM167" s="21">
        <f>EXP(-LN(2)/2)*CM166+(1-EXP(-LN(2)/2))/(LN(2)/2)*CG167*CJ167*VLOOKUP('Données projet'!$B$12,Paramètres!$A$1:$I$89,3,0)*0.475*44/12</f>
        <v>4.9894914106977022E-20</v>
      </c>
      <c r="CN167" s="22">
        <f t="shared" si="172"/>
        <v>8.9969048347388364E-2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-1.0995790944434703E-13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293.19327646293601</v>
      </c>
      <c r="CZ167" s="59">
        <f t="shared" si="150"/>
        <v>200.0769581869605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8.0841753587508336E-2</v>
      </c>
      <c r="DH167" s="21">
        <f>EXP(-LN(2)/2)*DH166+(1-EXP(-LN(2)/2))/(LN(2)/2)*DB167*DE167*VLOOKUP('Données projet'!$B$13,Paramètres!$A$1:$I$89,3,0)*0.475*44/12</f>
        <v>4.4833111226558977E-20</v>
      </c>
      <c r="DI167" s="22">
        <f t="shared" si="175"/>
        <v>8.0841753587508336E-2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-2.7193891583010558E-13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246.59447135626942</v>
      </c>
      <c r="T168" s="59">
        <f t="shared" si="142"/>
        <v>262.00382544285367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0.3043100255155885</v>
      </c>
      <c r="AB168" s="21">
        <f>EXP(-LN(2)/2)*AB167+(1-EXP(-LN(2)/2))/(LN(2)/2)*V168*Y168*VLOOKUP('Données projet'!$B$9,Paramètres!$A$1:$I$89,3,0)*0.475*44/12</f>
        <v>1.137002227394914E-19</v>
      </c>
      <c r="AC168" s="22">
        <f t="shared" si="163"/>
        <v>0.3043100255155885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195.73441209602686</v>
      </c>
      <c r="AO168" s="59">
        <f t="shared" si="144"/>
        <v>219.19129224309006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0.42868098546376859</v>
      </c>
      <c r="AV168" s="21">
        <f>EXP(-LN(2)/25)*AV167+(1-EXP(-LN(2)/25))/(LN(2)/25)*Calculateur!AQ168*Calculateur!AS168*VLOOKUP('Données projet'!$B$10,Paramètres!$A$1:$I$89,3,0)*0.475*44/12</f>
        <v>0.29203316420278869</v>
      </c>
      <c r="AW168" s="21">
        <f>EXP(-LN(2)/2)*AW167+(1-EXP(-LN(2)/2))/(LN(2)/2)*AQ168*AT168*VLOOKUP('Données projet'!$B$10,Paramètres!$A$1:$I$89,3,0)*0.475*44/12</f>
        <v>2.6093263332658689E-20</v>
      </c>
      <c r="AX168" s="21">
        <f t="shared" si="166"/>
        <v>0.72071414966655722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-1.0286385077051818E-13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269.19146943657933</v>
      </c>
      <c r="BJ168" s="59">
        <f t="shared" si="146"/>
        <v>185.94138814570965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7.355815535312496E-2</v>
      </c>
      <c r="BR168" s="21">
        <f>EXP(-LN(2)/2)*BR167+(1-EXP(-LN(2)/2))/(LN(2)/2)*BL168*BO168*VLOOKUP('Données projet'!$B$11,Paramètres!$A$1:$I$89,3,0)*0.475*44/12</f>
        <v>2.965651974612023E-20</v>
      </c>
      <c r="BS168" s="22">
        <f t="shared" si="169"/>
        <v>7.355815535312496E-2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-1.223725121235475E-13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335.12015893291874</v>
      </c>
      <c r="CE168" s="59">
        <f t="shared" si="148"/>
        <v>224.76596283033166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8.7508839989062406E-2</v>
      </c>
      <c r="CM168" s="21">
        <f>EXP(-LN(2)/2)*CM167+(1-EXP(-LN(2)/2))/(LN(2)/2)*CG168*CJ168*VLOOKUP('Données projet'!$B$12,Paramètres!$A$1:$I$89,3,0)*0.475*44/12</f>
        <v>3.5281032111763784E-20</v>
      </c>
      <c r="CN168" s="22">
        <f t="shared" si="172"/>
        <v>8.7508839989062406E-2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-1.0995790944434703E-13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293.19327646293601</v>
      </c>
      <c r="CZ168" s="59">
        <f t="shared" si="150"/>
        <v>200.0769581869605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7.8631131584374861E-2</v>
      </c>
      <c r="DH168" s="21">
        <f>EXP(-LN(2)/2)*DH167+(1-EXP(-LN(2)/2))/(LN(2)/2)*DB168*DE168*VLOOKUP('Données projet'!$B$13,Paramètres!$A$1:$I$89,3,0)*0.475*44/12</f>
        <v>3.1701796969990585E-20</v>
      </c>
      <c r="DI168" s="22">
        <f t="shared" si="175"/>
        <v>7.8631131584374861E-2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-2.7193891583010558E-13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246.59447135626942</v>
      </c>
      <c r="T169" s="59">
        <f t="shared" si="142"/>
        <v>262.00382544285367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0.29598865186489598</v>
      </c>
      <c r="AB169" s="21">
        <f>EXP(-LN(2)/2)*AB168+(1-EXP(-LN(2)/2))/(LN(2)/2)*V169*Y169*VLOOKUP('Données projet'!$B$9,Paramètres!$A$1:$I$89,3,0)*0.475*44/12</f>
        <v>8.0398198521515263E-20</v>
      </c>
      <c r="AC169" s="22">
        <f t="shared" si="163"/>
        <v>0.29598865186489598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195.73441209602686</v>
      </c>
      <c r="AO169" s="59">
        <f t="shared" si="144"/>
        <v>219.19129224309006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0.42027481280840723</v>
      </c>
      <c r="AV169" s="21">
        <f>EXP(-LN(2)/25)*AV168+(1-EXP(-LN(2)/25))/(LN(2)/25)*Calculateur!AQ169*Calculateur!AS169*VLOOKUP('Données projet'!$B$10,Paramètres!$A$1:$I$89,3,0)*0.475*44/12</f>
        <v>0.28404750197030676</v>
      </c>
      <c r="AW169" s="21">
        <f>EXP(-LN(2)/2)*AW168+(1-EXP(-LN(2)/2))/(LN(2)/2)*AQ169*AT169*VLOOKUP('Données projet'!$B$10,Paramètres!$A$1:$I$89,3,0)*0.475*44/12</f>
        <v>1.8450723445809251E-20</v>
      </c>
      <c r="AX169" s="21">
        <f t="shared" si="166"/>
        <v>0.70432231477871399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-1.0286385077051818E-13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269.19146943657933</v>
      </c>
      <c r="BJ169" s="59">
        <f t="shared" si="146"/>
        <v>185.94138814570965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7.1546703726738492E-2</v>
      </c>
      <c r="BR169" s="21">
        <f>EXP(-LN(2)/2)*BR168+(1-EXP(-LN(2)/2))/(LN(2)/2)*BL169*BO169*VLOOKUP('Données projet'!$B$11,Paramètres!$A$1:$I$89,3,0)*0.475*44/12</f>
        <v>2.0970326218874364E-20</v>
      </c>
      <c r="BS169" s="22">
        <f t="shared" si="169"/>
        <v>7.1546703726738492E-2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-1.223725121235475E-13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335.12015893291874</v>
      </c>
      <c r="CE169" s="59">
        <f t="shared" si="148"/>
        <v>224.76596283033166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8.5115906157671603E-2</v>
      </c>
      <c r="CM169" s="21">
        <f>EXP(-LN(2)/2)*CM168+(1-EXP(-LN(2)/2))/(LN(2)/2)*CG169*CJ169*VLOOKUP('Données projet'!$B$12,Paramètres!$A$1:$I$89,3,0)*0.475*44/12</f>
        <v>2.4947457053488511E-20</v>
      </c>
      <c r="CN169" s="22">
        <f t="shared" si="172"/>
        <v>8.5115906157671603E-2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-1.0995790944434703E-13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293.19327646293601</v>
      </c>
      <c r="CZ169" s="59">
        <f t="shared" si="150"/>
        <v>200.0769581869605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7.6480959156168635E-2</v>
      </c>
      <c r="DH169" s="21">
        <f>EXP(-LN(2)/2)*DH168+(1-EXP(-LN(2)/2))/(LN(2)/2)*DB169*DE169*VLOOKUP('Données projet'!$B$13,Paramètres!$A$1:$I$89,3,0)*0.475*44/12</f>
        <v>2.2416555613279488E-20</v>
      </c>
      <c r="DI169" s="22">
        <f t="shared" si="175"/>
        <v>7.6480959156168635E-2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-2.7193891583010558E-13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246.59447135626942</v>
      </c>
      <c r="T170" s="59">
        <f t="shared" si="142"/>
        <v>262.00382544285367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0.28789482661428367</v>
      </c>
      <c r="AB170" s="21">
        <f>EXP(-LN(2)/2)*AB169+(1-EXP(-LN(2)/2))/(LN(2)/2)*V170*Y170*VLOOKUP('Données projet'!$B$9,Paramètres!$A$1:$I$89,3,0)*0.475*44/12</f>
        <v>5.6850111369745701E-20</v>
      </c>
      <c r="AC170" s="22">
        <f t="shared" si="163"/>
        <v>0.28789482661428367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195.73441209602686</v>
      </c>
      <c r="AO170" s="59">
        <f t="shared" si="144"/>
        <v>219.19129224309006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0.41203348007155849</v>
      </c>
      <c r="AV170" s="21">
        <f>EXP(-LN(2)/25)*AV169+(1-EXP(-LN(2)/25))/(LN(2)/25)*Calculateur!AQ170*Calculateur!AS170*VLOOKUP('Données projet'!$B$10,Paramètres!$A$1:$I$89,3,0)*0.475*44/12</f>
        <v>0.27628020809151982</v>
      </c>
      <c r="AW170" s="21">
        <f>EXP(-LN(2)/2)*AW169+(1-EXP(-LN(2)/2))/(LN(2)/2)*AQ170*AT170*VLOOKUP('Données projet'!$B$10,Paramètres!$A$1:$I$89,3,0)*0.475*44/12</f>
        <v>1.3046631666329345E-20</v>
      </c>
      <c r="AX170" s="21">
        <f t="shared" si="166"/>
        <v>0.68831368816307825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-1.0286385077051818E-13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269.19146943657933</v>
      </c>
      <c r="BJ170" s="59">
        <f t="shared" si="146"/>
        <v>185.94138814570965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6.9590255350853197E-2</v>
      </c>
      <c r="BR170" s="21">
        <f>EXP(-LN(2)/2)*BR169+(1-EXP(-LN(2)/2))/(LN(2)/2)*BL170*BO170*VLOOKUP('Données projet'!$B$11,Paramètres!$A$1:$I$89,3,0)*0.475*44/12</f>
        <v>1.4828259873060115E-20</v>
      </c>
      <c r="BS170" s="22">
        <f t="shared" si="169"/>
        <v>6.9590255350853197E-2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-1.223725121235475E-13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335.12015893291874</v>
      </c>
      <c r="CE170" s="59">
        <f t="shared" si="148"/>
        <v>224.76596283033166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8.27884072277391E-2</v>
      </c>
      <c r="CM170" s="21">
        <f>EXP(-LN(2)/2)*CM169+(1-EXP(-LN(2)/2))/(LN(2)/2)*CG170*CJ170*VLOOKUP('Données projet'!$B$12,Paramètres!$A$1:$I$89,3,0)*0.475*44/12</f>
        <v>1.7640516055881892E-20</v>
      </c>
      <c r="CN170" s="22">
        <f t="shared" si="172"/>
        <v>8.27884072277391E-2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-1.0995790944434703E-13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293.19327646293601</v>
      </c>
      <c r="CZ170" s="59">
        <f t="shared" si="150"/>
        <v>200.0769581869605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7.4389583306084361E-2</v>
      </c>
      <c r="DH170" s="21">
        <f>EXP(-LN(2)/2)*DH169+(1-EXP(-LN(2)/2))/(LN(2)/2)*DB170*DE170*VLOOKUP('Données projet'!$B$13,Paramètres!$A$1:$I$89,3,0)*0.475*44/12</f>
        <v>1.5850898484995292E-20</v>
      </c>
      <c r="DI170" s="22">
        <f t="shared" si="175"/>
        <v>7.4389583306084361E-2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-2.7193891583010558E-13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246.59447135626942</v>
      </c>
      <c r="T171" s="59">
        <f t="shared" si="142"/>
        <v>262.00382544285367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0.28002232744078515</v>
      </c>
      <c r="AB171" s="21">
        <f>EXP(-LN(2)/2)*AB170+(1-EXP(-LN(2)/2))/(LN(2)/2)*V171*Y171*VLOOKUP('Données projet'!$B$9,Paramètres!$A$1:$I$89,3,0)*0.475*44/12</f>
        <v>4.0199099260757632E-20</v>
      </c>
      <c r="AC171" s="22">
        <f t="shared" si="163"/>
        <v>0.28002232744078515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195.73441209602686</v>
      </c>
      <c r="AO171" s="59">
        <f t="shared" si="144"/>
        <v>219.19129224309006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0.4039537548429627</v>
      </c>
      <c r="AV171" s="21">
        <f>EXP(-LN(2)/25)*AV170+(1-EXP(-LN(2)/25))/(LN(2)/25)*Calculateur!AQ171*Calculateur!AS171*VLOOKUP('Données projet'!$B$10,Paramètres!$A$1:$I$89,3,0)*0.475*44/12</f>
        <v>0.26872531127231253</v>
      </c>
      <c r="AW171" s="21">
        <f>EXP(-LN(2)/2)*AW170+(1-EXP(-LN(2)/2))/(LN(2)/2)*AQ171*AT171*VLOOKUP('Données projet'!$B$10,Paramètres!$A$1:$I$89,3,0)*0.475*44/12</f>
        <v>9.2253617229046257E-21</v>
      </c>
      <c r="AX171" s="21">
        <f t="shared" si="166"/>
        <v>0.67267906611527528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-1.0286385077051818E-13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269.19146943657933</v>
      </c>
      <c r="BJ171" s="59">
        <f t="shared" si="146"/>
        <v>185.94138814570965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6.7687306158691632E-2</v>
      </c>
      <c r="BR171" s="21">
        <f>EXP(-LN(2)/2)*BR170+(1-EXP(-LN(2)/2))/(LN(2)/2)*BL171*BO171*VLOOKUP('Données projet'!$B$11,Paramètres!$A$1:$I$89,3,0)*0.475*44/12</f>
        <v>1.0485163109437182E-20</v>
      </c>
      <c r="BS171" s="22">
        <f t="shared" si="169"/>
        <v>6.7687306158691632E-2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-1.223725121235475E-13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335.12015893291874</v>
      </c>
      <c r="CE171" s="59">
        <f t="shared" si="148"/>
        <v>224.76596283033166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8.0524553878443456E-2</v>
      </c>
      <c r="CM171" s="21">
        <f>EXP(-LN(2)/2)*CM170+(1-EXP(-LN(2)/2))/(LN(2)/2)*CG171*CJ171*VLOOKUP('Données projet'!$B$12,Paramètres!$A$1:$I$89,3,0)*0.475*44/12</f>
        <v>1.2473728526744255E-20</v>
      </c>
      <c r="CN171" s="22">
        <f t="shared" si="172"/>
        <v>8.0524553878443456E-2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-1.0995790944434703E-13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293.19327646293601</v>
      </c>
      <c r="CZ171" s="59">
        <f t="shared" si="150"/>
        <v>200.0769581869605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7.2355396238601322E-2</v>
      </c>
      <c r="DH171" s="21">
        <f>EXP(-LN(2)/2)*DH170+(1-EXP(-LN(2)/2))/(LN(2)/2)*DB171*DE171*VLOOKUP('Données projet'!$B$13,Paramètres!$A$1:$I$89,3,0)*0.475*44/12</f>
        <v>1.1208277806639744E-20</v>
      </c>
      <c r="DI171" s="22">
        <f t="shared" si="175"/>
        <v>7.2355396238601322E-2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-2.7193891583010558E-13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246.59447135626942</v>
      </c>
      <c r="T172" s="59">
        <f t="shared" si="142"/>
        <v>262.00382544285367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0.27236510217118265</v>
      </c>
      <c r="AB172" s="21">
        <f>EXP(-LN(2)/2)*AB171+(1-EXP(-LN(2)/2))/(LN(2)/2)*V172*Y172*VLOOKUP('Données projet'!$B$9,Paramètres!$A$1:$I$89,3,0)*0.475*44/12</f>
        <v>2.842505568487285E-20</v>
      </c>
      <c r="AC172" s="22">
        <f t="shared" si="163"/>
        <v>0.27236510217118265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195.73441209602686</v>
      </c>
      <c r="AO172" s="59">
        <f t="shared" si="144"/>
        <v>219.19129224309006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0.39603246809795389</v>
      </c>
      <c r="AV172" s="21">
        <f>EXP(-LN(2)/25)*AV171+(1-EXP(-LN(2)/25))/(LN(2)/25)*Calculateur!AQ172*Calculateur!AS172*VLOOKUP('Données projet'!$B$10,Paramètres!$A$1:$I$89,3,0)*0.475*44/12</f>
        <v>0.26137700350392118</v>
      </c>
      <c r="AW172" s="21">
        <f>EXP(-LN(2)/2)*AW171+(1-EXP(-LN(2)/2))/(LN(2)/2)*AQ172*AT172*VLOOKUP('Données projet'!$B$10,Paramètres!$A$1:$I$89,3,0)*0.475*44/12</f>
        <v>6.5233158331646723E-21</v>
      </c>
      <c r="AX172" s="21">
        <f t="shared" si="166"/>
        <v>0.65740947160187502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-1.0286385077051818E-13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269.19146943657933</v>
      </c>
      <c r="BJ172" s="59">
        <f t="shared" si="146"/>
        <v>185.94138814570965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6.5836393212261479E-2</v>
      </c>
      <c r="BR172" s="21">
        <f>EXP(-LN(2)/2)*BR171+(1-EXP(-LN(2)/2))/(LN(2)/2)*BL172*BO172*VLOOKUP('Données projet'!$B$11,Paramètres!$A$1:$I$89,3,0)*0.475*44/12</f>
        <v>7.4141299365300576E-21</v>
      </c>
      <c r="BS172" s="22">
        <f t="shared" si="169"/>
        <v>6.5836393212261479E-2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-1.223725121235475E-13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335.12015893291874</v>
      </c>
      <c r="CE172" s="59">
        <f t="shared" si="148"/>
        <v>224.76596283033166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7.8322605718035176E-2</v>
      </c>
      <c r="CM172" s="21">
        <f>EXP(-LN(2)/2)*CM171+(1-EXP(-LN(2)/2))/(LN(2)/2)*CG172*CJ172*VLOOKUP('Données projet'!$B$12,Paramètres!$A$1:$I$89,3,0)*0.475*44/12</f>
        <v>8.8202580279409459E-21</v>
      </c>
      <c r="CN172" s="22">
        <f t="shared" si="172"/>
        <v>7.8322605718035176E-2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-1.0995790944434703E-13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293.19327646293601</v>
      </c>
      <c r="CZ172" s="59">
        <f t="shared" si="150"/>
        <v>200.0769581869605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7.0376834123451845E-2</v>
      </c>
      <c r="DH172" s="21">
        <f>EXP(-LN(2)/2)*DH171+(1-EXP(-LN(2)/2))/(LN(2)/2)*DB172*DE172*VLOOKUP('Données projet'!$B$13,Paramètres!$A$1:$I$89,3,0)*0.475*44/12</f>
        <v>7.9254492424976462E-21</v>
      </c>
      <c r="DI172" s="22">
        <f t="shared" si="175"/>
        <v>7.0376834123451845E-2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-2.7193891583010558E-13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246.59447135626942</v>
      </c>
      <c r="T173" s="59">
        <f t="shared" si="142"/>
        <v>262.00382544285367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0.26491726412925343</v>
      </c>
      <c r="AB173" s="21">
        <f>EXP(-LN(2)/2)*AB172+(1-EXP(-LN(2)/2))/(LN(2)/2)*V173*Y173*VLOOKUP('Données projet'!$B$9,Paramètres!$A$1:$I$89,3,0)*0.475*44/12</f>
        <v>2.0099549630378816E-20</v>
      </c>
      <c r="AC173" s="22">
        <f t="shared" si="163"/>
        <v>0.26491726412925343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195.73441209602686</v>
      </c>
      <c r="AO173" s="59">
        <f t="shared" si="144"/>
        <v>219.19129224309006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0.38826651295450687</v>
      </c>
      <c r="AV173" s="21">
        <f>EXP(-LN(2)/25)*AV172+(1-EXP(-LN(2)/25))/(LN(2)/25)*Calculateur!AQ173*Calculateur!AS173*VLOOKUP('Données projet'!$B$10,Paramètres!$A$1:$I$89,3,0)*0.475*44/12</f>
        <v>0.25422963559788725</v>
      </c>
      <c r="AW173" s="21">
        <f>EXP(-LN(2)/2)*AW172+(1-EXP(-LN(2)/2))/(LN(2)/2)*AQ173*AT173*VLOOKUP('Données projet'!$B$10,Paramètres!$A$1:$I$89,3,0)*0.475*44/12</f>
        <v>4.6126808614523128E-21</v>
      </c>
      <c r="AX173" s="21">
        <f t="shared" si="166"/>
        <v>0.64249614855239412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-1.0286385077051818E-13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269.19146943657933</v>
      </c>
      <c r="BJ173" s="59">
        <f t="shared" si="146"/>
        <v>185.94138814570965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6.4036093577686748E-2</v>
      </c>
      <c r="BR173" s="21">
        <f>EXP(-LN(2)/2)*BR172+(1-EXP(-LN(2)/2))/(LN(2)/2)*BL173*BO173*VLOOKUP('Données projet'!$B$11,Paramètres!$A$1:$I$89,3,0)*0.475*44/12</f>
        <v>5.242581554718591E-21</v>
      </c>
      <c r="BS173" s="22">
        <f t="shared" si="169"/>
        <v>6.4036093577686748E-2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-1.223725121235475E-13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335.12015893291874</v>
      </c>
      <c r="CE173" s="59">
        <f t="shared" si="148"/>
        <v>224.76596283033166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7.6180869945868673E-2</v>
      </c>
      <c r="CM173" s="21">
        <f>EXP(-LN(2)/2)*CM172+(1-EXP(-LN(2)/2))/(LN(2)/2)*CG173*CJ173*VLOOKUP('Données projet'!$B$12,Paramètres!$A$1:$I$89,3,0)*0.475*44/12</f>
        <v>6.2368642633721277E-21</v>
      </c>
      <c r="CN173" s="22">
        <f t="shared" si="172"/>
        <v>7.6180869945868673E-2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-1.0995790944434703E-13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293.19327646293601</v>
      </c>
      <c r="CZ173" s="59">
        <f t="shared" si="150"/>
        <v>200.0769581869605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6.8452375893389192E-2</v>
      </c>
      <c r="DH173" s="21">
        <f>EXP(-LN(2)/2)*DH172+(1-EXP(-LN(2)/2))/(LN(2)/2)*DB173*DE173*VLOOKUP('Données projet'!$B$13,Paramètres!$A$1:$I$89,3,0)*0.475*44/12</f>
        <v>5.6041389033198721E-21</v>
      </c>
      <c r="DI173" s="22">
        <f t="shared" si="175"/>
        <v>6.8452375893389192E-2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-2.7193891583010558E-13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246.59447135626942</v>
      </c>
      <c r="T174" s="59">
        <f t="shared" si="142"/>
        <v>262.00382544285367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0.25767308761024554</v>
      </c>
      <c r="AB174" s="21">
        <f>EXP(-LN(2)/2)*AB173+(1-EXP(-LN(2)/2))/(LN(2)/2)*V174*Y174*VLOOKUP('Données projet'!$B$9,Paramètres!$A$1:$I$89,3,0)*0.475*44/12</f>
        <v>1.4212527842436425E-20</v>
      </c>
      <c r="AC174" s="22">
        <f t="shared" si="163"/>
        <v>0.25767308761024554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195.73441209602686</v>
      </c>
      <c r="AO174" s="59">
        <f t="shared" si="144"/>
        <v>219.19129224309006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0.38065284345465794</v>
      </c>
      <c r="AV174" s="21">
        <f>EXP(-LN(2)/25)*AV173+(1-EXP(-LN(2)/25))/(LN(2)/25)*Calculateur!AQ174*Calculateur!AS174*VLOOKUP('Données projet'!$B$10,Paramètres!$A$1:$I$89,3,0)*0.475*44/12</f>
        <v>0.24727771284310754</v>
      </c>
      <c r="AW174" s="21">
        <f>EXP(-LN(2)/2)*AW173+(1-EXP(-LN(2)/2))/(LN(2)/2)*AQ174*AT174*VLOOKUP('Données projet'!$B$10,Paramètres!$A$1:$I$89,3,0)*0.475*44/12</f>
        <v>3.2616579165823361E-21</v>
      </c>
      <c r="AX174" s="21">
        <f t="shared" si="166"/>
        <v>0.62793055629776551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-1.0286385077051818E-13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269.19146943657933</v>
      </c>
      <c r="BJ174" s="59">
        <f t="shared" si="146"/>
        <v>185.94138814570965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6.2285023231293098E-2</v>
      </c>
      <c r="BR174" s="21">
        <f>EXP(-LN(2)/2)*BR173+(1-EXP(-LN(2)/2))/(LN(2)/2)*BL174*BO174*VLOOKUP('Données projet'!$B$11,Paramètres!$A$1:$I$89,3,0)*0.475*44/12</f>
        <v>3.7070649682650288E-21</v>
      </c>
      <c r="BS174" s="22">
        <f t="shared" si="169"/>
        <v>6.2285023231293098E-2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-1.223725121235475E-13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335.12015893291874</v>
      </c>
      <c r="CE174" s="59">
        <f t="shared" si="148"/>
        <v>224.76596283033166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7.4097700051021051E-2</v>
      </c>
      <c r="CM174" s="21">
        <f>EXP(-LN(2)/2)*CM173+(1-EXP(-LN(2)/2))/(LN(2)/2)*CG174*CJ174*VLOOKUP('Données projet'!$B$12,Paramètres!$A$1:$I$89,3,0)*0.475*44/12</f>
        <v>4.4101290139704729E-21</v>
      </c>
      <c r="CN174" s="22">
        <f t="shared" si="172"/>
        <v>7.4097700051021051E-2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-1.0995790944434703E-13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293.19327646293601</v>
      </c>
      <c r="CZ174" s="59">
        <f t="shared" si="150"/>
        <v>200.0769581869605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6.6580542074830468E-2</v>
      </c>
      <c r="DH174" s="21">
        <f>EXP(-LN(2)/2)*DH173+(1-EXP(-LN(2)/2))/(LN(2)/2)*DB174*DE174*VLOOKUP('Données projet'!$B$13,Paramètres!$A$1:$I$89,3,0)*0.475*44/12</f>
        <v>3.9627246212488231E-21</v>
      </c>
      <c r="DI174" s="22">
        <f t="shared" si="175"/>
        <v>6.6580542074830468E-2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-2.7193891583010558E-13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246.59447135626942</v>
      </c>
      <c r="T175" s="59">
        <f t="shared" si="142"/>
        <v>262.00382544285367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0.2506270034791046</v>
      </c>
      <c r="AB175" s="21">
        <f>EXP(-LN(2)/2)*AB174+(1-EXP(-LN(2)/2))/(LN(2)/2)*V175*Y175*VLOOKUP('Données projet'!$B$9,Paramètres!$A$1:$I$89,3,0)*0.475*44/12</f>
        <v>1.0049774815189408E-20</v>
      </c>
      <c r="AC175" s="22">
        <f t="shared" si="163"/>
        <v>0.2506270034791046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195.73441209602686</v>
      </c>
      <c r="AO175" s="59">
        <f t="shared" si="144"/>
        <v>219.19129224309006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0.37318847336982119</v>
      </c>
      <c r="AV175" s="21">
        <f>EXP(-LN(2)/25)*AV174+(1-EXP(-LN(2)/25))/(LN(2)/25)*Calculateur!AQ175*Calculateur!AS175*VLOOKUP('Données projet'!$B$10,Paramètres!$A$1:$I$89,3,0)*0.475*44/12</f>
        <v>0.24051589078164301</v>
      </c>
      <c r="AW175" s="21">
        <f>EXP(-LN(2)/2)*AW174+(1-EXP(-LN(2)/2))/(LN(2)/2)*AQ175*AT175*VLOOKUP('Données projet'!$B$10,Paramètres!$A$1:$I$89,3,0)*0.475*44/12</f>
        <v>2.3063404307261564E-21</v>
      </c>
      <c r="AX175" s="21">
        <f t="shared" si="166"/>
        <v>0.61370436415146423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-1.0286385077051818E-13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269.19146943657933</v>
      </c>
      <c r="BJ175" s="59">
        <f t="shared" si="146"/>
        <v>185.94138814570965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6.0581835995606369E-2</v>
      </c>
      <c r="BR175" s="21">
        <f>EXP(-LN(2)/2)*BR174+(1-EXP(-LN(2)/2))/(LN(2)/2)*BL175*BO175*VLOOKUP('Données projet'!$B$11,Paramètres!$A$1:$I$89,3,0)*0.475*44/12</f>
        <v>2.6212907773592955E-21</v>
      </c>
      <c r="BS175" s="22">
        <f t="shared" si="169"/>
        <v>6.0581835995606369E-2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-1.223725121235475E-13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335.12015893291874</v>
      </c>
      <c r="CE175" s="59">
        <f t="shared" si="148"/>
        <v>224.76596283033166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7.2071494546497181E-2</v>
      </c>
      <c r="CM175" s="21">
        <f>EXP(-LN(2)/2)*CM174+(1-EXP(-LN(2)/2))/(LN(2)/2)*CG175*CJ175*VLOOKUP('Données projet'!$B$12,Paramètres!$A$1:$I$89,3,0)*0.475*44/12</f>
        <v>3.1184321316860639E-21</v>
      </c>
      <c r="CN175" s="22">
        <f t="shared" si="172"/>
        <v>7.2071494546497181E-2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-1.0995790944434703E-13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293.19327646293601</v>
      </c>
      <c r="CZ175" s="59">
        <f t="shared" si="150"/>
        <v>200.0769581869605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6.4759893650475686E-2</v>
      </c>
      <c r="DH175" s="21">
        <f>EXP(-LN(2)/2)*DH174+(1-EXP(-LN(2)/2))/(LN(2)/2)*DB175*DE175*VLOOKUP('Données projet'!$B$13,Paramètres!$A$1:$I$89,3,0)*0.475*44/12</f>
        <v>2.802069451659936E-21</v>
      </c>
      <c r="DI175" s="22">
        <f t="shared" si="175"/>
        <v>6.4759893650475686E-2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-2.7193891583010558E-13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246.59447135626942</v>
      </c>
      <c r="T176" s="59">
        <f t="shared" si="142"/>
        <v>262.00382544285367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0.24377359488906719</v>
      </c>
      <c r="AB176" s="21">
        <f>EXP(-LN(2)/2)*AB175+(1-EXP(-LN(2)/2))/(LN(2)/2)*V176*Y176*VLOOKUP('Données projet'!$B$9,Paramètres!$A$1:$I$89,3,0)*0.475*44/12</f>
        <v>7.1062639212182126E-21</v>
      </c>
      <c r="AC176" s="22">
        <f t="shared" si="163"/>
        <v>0.24377359488906719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195.73441209602686</v>
      </c>
      <c r="AO176" s="59">
        <f t="shared" si="144"/>
        <v>219.19129224309006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0.36587047502953191</v>
      </c>
      <c r="AV176" s="21">
        <f>EXP(-LN(2)/25)*AV175+(1-EXP(-LN(2)/25))/(LN(2)/25)*Calculateur!AQ176*Calculateur!AS176*VLOOKUP('Données projet'!$B$10,Paramètres!$A$1:$I$89,3,0)*0.475*44/12</f>
        <v>0.233938971100038</v>
      </c>
      <c r="AW176" s="21">
        <f>EXP(-LN(2)/2)*AW175+(1-EXP(-LN(2)/2))/(LN(2)/2)*AQ176*AT176*VLOOKUP('Données projet'!$B$10,Paramètres!$A$1:$I$89,3,0)*0.475*44/12</f>
        <v>1.6308289582911681E-21</v>
      </c>
      <c r="AX176" s="21">
        <f t="shared" si="166"/>
        <v>0.59980944612956988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-1.0286385077051818E-13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269.19146943657933</v>
      </c>
      <c r="BJ176" s="59">
        <f t="shared" si="146"/>
        <v>185.94138814570965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5.892522250444622E-2</v>
      </c>
      <c r="BR176" s="21">
        <f>EXP(-LN(2)/2)*BR175+(1-EXP(-LN(2)/2))/(LN(2)/2)*BL176*BO176*VLOOKUP('Données projet'!$B$11,Paramètres!$A$1:$I$89,3,0)*0.475*44/12</f>
        <v>1.8535324841325144E-21</v>
      </c>
      <c r="BS176" s="22">
        <f t="shared" si="169"/>
        <v>5.892522250444622E-2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-1.223725121235475E-13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335.12015893291874</v>
      </c>
      <c r="CE176" s="59">
        <f t="shared" si="148"/>
        <v>224.76596283033166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7.0100695738048044E-2</v>
      </c>
      <c r="CM176" s="21">
        <f>EXP(-LN(2)/2)*CM175+(1-EXP(-LN(2)/2))/(LN(2)/2)*CG176*CJ176*VLOOKUP('Données projet'!$B$12,Paramètres!$A$1:$I$89,3,0)*0.475*44/12</f>
        <v>2.2050645069852365E-21</v>
      </c>
      <c r="CN176" s="22">
        <f t="shared" si="172"/>
        <v>7.0100695738048044E-2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-1.0995790944434703E-13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293.19327646293601</v>
      </c>
      <c r="CZ176" s="59">
        <f t="shared" si="150"/>
        <v>200.0769581869605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6.298903095302863E-2</v>
      </c>
      <c r="DH176" s="21">
        <f>EXP(-LN(2)/2)*DH175+(1-EXP(-LN(2)/2))/(LN(2)/2)*DB176*DE176*VLOOKUP('Données projet'!$B$13,Paramètres!$A$1:$I$89,3,0)*0.475*44/12</f>
        <v>1.9813623106244116E-21</v>
      </c>
      <c r="DI176" s="22">
        <f t="shared" si="175"/>
        <v>6.298903095302863E-2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-2.7193891583010558E-13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246.59447135626942</v>
      </c>
      <c r="T177" s="59">
        <f t="shared" si="142"/>
        <v>262.00382544285367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0.23710759311732946</v>
      </c>
      <c r="AB177" s="21">
        <f>EXP(-LN(2)/2)*AB176+(1-EXP(-LN(2)/2))/(LN(2)/2)*V177*Y177*VLOOKUP('Données projet'!$B$9,Paramètres!$A$1:$I$89,3,0)*0.475*44/12</f>
        <v>5.024887407594704E-21</v>
      </c>
      <c r="AC177" s="22">
        <f t="shared" si="163"/>
        <v>0.23710759311732946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195.73441209602686</v>
      </c>
      <c r="AO177" s="59">
        <f t="shared" si="144"/>
        <v>219.19129224309006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0.35869597817315746</v>
      </c>
      <c r="AV177" s="21">
        <f>EXP(-LN(2)/25)*AV176+(1-EXP(-LN(2)/25))/(LN(2)/25)*Calculateur!AQ177*Calculateur!AS177*VLOOKUP('Données projet'!$B$10,Paramètres!$A$1:$I$89,3,0)*0.475*44/12</f>
        <v>0.22754189763299165</v>
      </c>
      <c r="AW177" s="21">
        <f>EXP(-LN(2)/2)*AW176+(1-EXP(-LN(2)/2))/(LN(2)/2)*AQ177*AT177*VLOOKUP('Données projet'!$B$10,Paramètres!$A$1:$I$89,3,0)*0.475*44/12</f>
        <v>1.1531702153630782E-21</v>
      </c>
      <c r="AX177" s="21">
        <f t="shared" si="166"/>
        <v>0.58623787580614906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-1.0286385077051818E-13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269.19146943657933</v>
      </c>
      <c r="BJ177" s="59">
        <f t="shared" si="146"/>
        <v>185.94138814570965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5.731390919631936E-2</v>
      </c>
      <c r="BR177" s="21">
        <f>EXP(-LN(2)/2)*BR176+(1-EXP(-LN(2)/2))/(LN(2)/2)*BL177*BO177*VLOOKUP('Données projet'!$B$11,Paramètres!$A$1:$I$89,3,0)*0.475*44/12</f>
        <v>1.3106453886796478E-21</v>
      </c>
      <c r="BS177" s="22">
        <f t="shared" si="169"/>
        <v>5.731390919631936E-2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-1.223725121235475E-13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335.12015893291874</v>
      </c>
      <c r="CE177" s="59">
        <f t="shared" si="148"/>
        <v>224.76596283033166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6.8183788526655742E-2</v>
      </c>
      <c r="CM177" s="21">
        <f>EXP(-LN(2)/2)*CM176+(1-EXP(-LN(2)/2))/(LN(2)/2)*CG177*CJ177*VLOOKUP('Données projet'!$B$12,Paramètres!$A$1:$I$89,3,0)*0.475*44/12</f>
        <v>1.5592160658430319E-21</v>
      </c>
      <c r="CN177" s="22">
        <f t="shared" si="172"/>
        <v>6.8183788526655742E-2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-1.0995790944434703E-13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293.19327646293601</v>
      </c>
      <c r="CZ177" s="59">
        <f t="shared" si="150"/>
        <v>200.0769581869605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6.1266592589168889E-2</v>
      </c>
      <c r="DH177" s="21">
        <f>EXP(-LN(2)/2)*DH176+(1-EXP(-LN(2)/2))/(LN(2)/2)*DB177*DE177*VLOOKUP('Données projet'!$B$13,Paramètres!$A$1:$I$89,3,0)*0.475*44/12</f>
        <v>1.401034725829968E-21</v>
      </c>
      <c r="DI177" s="22">
        <f t="shared" si="175"/>
        <v>6.1266592589168889E-2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-2.7193891583010558E-13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246.59447135626942</v>
      </c>
      <c r="T178" s="59">
        <f t="shared" si="142"/>
        <v>262.00382544285367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0.23062387351458968</v>
      </c>
      <c r="AB178" s="21">
        <f>EXP(-LN(2)/2)*AB177+(1-EXP(-LN(2)/2))/(LN(2)/2)*V178*Y178*VLOOKUP('Données projet'!$B$9,Paramètres!$A$1:$I$89,3,0)*0.475*44/12</f>
        <v>3.5531319606091063E-21</v>
      </c>
      <c r="AC178" s="22">
        <f t="shared" si="163"/>
        <v>0.23062387351458968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195.73441209602686</v>
      </c>
      <c r="AO178" s="59">
        <f t="shared" si="144"/>
        <v>219.19129224309006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0.35166216882412549</v>
      </c>
      <c r="AV178" s="21">
        <f>EXP(-LN(2)/25)*AV177+(1-EXP(-LN(2)/25))/(LN(2)/25)*Calculateur!AQ178*Calculateur!AS178*VLOOKUP('Données projet'!$B$10,Paramètres!$A$1:$I$89,3,0)*0.475*44/12</f>
        <v>0.22131975247630914</v>
      </c>
      <c r="AW178" s="21">
        <f>EXP(-LN(2)/2)*AW177+(1-EXP(-LN(2)/2))/(LN(2)/2)*AQ178*AT178*VLOOKUP('Données projet'!$B$10,Paramètres!$A$1:$I$89,3,0)*0.475*44/12</f>
        <v>8.1541447914558404E-22</v>
      </c>
      <c r="AX178" s="21">
        <f t="shared" si="166"/>
        <v>0.57298192130043457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-1.0286385077051818E-13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269.19146943657933</v>
      </c>
      <c r="BJ178" s="59">
        <f t="shared" si="146"/>
        <v>185.94138814570965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5.5746657335338512E-2</v>
      </c>
      <c r="BR178" s="21">
        <f>EXP(-LN(2)/2)*BR177+(1-EXP(-LN(2)/2))/(LN(2)/2)*BL178*BO178*VLOOKUP('Données projet'!$B$11,Paramètres!$A$1:$I$89,3,0)*0.475*44/12</f>
        <v>9.267662420662572E-22</v>
      </c>
      <c r="BS178" s="22">
        <f t="shared" si="169"/>
        <v>5.5746657335338512E-2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-1.223725121235475E-13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335.12015893291874</v>
      </c>
      <c r="CE178" s="59">
        <f t="shared" si="148"/>
        <v>224.76596283033166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6.6319299243764743E-2</v>
      </c>
      <c r="CM178" s="21">
        <f>EXP(-LN(2)/2)*CM177+(1-EXP(-LN(2)/2))/(LN(2)/2)*CG178*CJ178*VLOOKUP('Données projet'!$B$12,Paramètres!$A$1:$I$89,3,0)*0.475*44/12</f>
        <v>1.1025322534926182E-21</v>
      </c>
      <c r="CN178" s="22">
        <f t="shared" si="172"/>
        <v>6.6319299243764743E-2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-1.0995790944434703E-13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293.19327646293601</v>
      </c>
      <c r="CZ178" s="59">
        <f t="shared" si="150"/>
        <v>200.0769581869605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5.959125439294799E-2</v>
      </c>
      <c r="DH178" s="21">
        <f>EXP(-LN(2)/2)*DH177+(1-EXP(-LN(2)/2))/(LN(2)/2)*DB178*DE178*VLOOKUP('Données projet'!$B$13,Paramètres!$A$1:$I$89,3,0)*0.475*44/12</f>
        <v>9.9068115531220578E-22</v>
      </c>
      <c r="DI178" s="22">
        <f t="shared" si="175"/>
        <v>5.959125439294799E-2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-2.7193891583010558E-13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246.59447135626942</v>
      </c>
      <c r="T179" s="59">
        <f t="shared" si="142"/>
        <v>262.00382544285367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0.22431745156535082</v>
      </c>
      <c r="AB179" s="21">
        <f>EXP(-LN(2)/2)*AB178+(1-EXP(-LN(2)/2))/(LN(2)/2)*V179*Y179*VLOOKUP('Données projet'!$B$9,Paramètres!$A$1:$I$89,3,0)*0.475*44/12</f>
        <v>2.512443703797352E-21</v>
      </c>
      <c r="AC179" s="22">
        <f t="shared" si="163"/>
        <v>0.22431745156535082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195.73441209602686</v>
      </c>
      <c r="AO179" s="59">
        <f t="shared" si="144"/>
        <v>219.19129224309006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0.34476628818622795</v>
      </c>
      <c r="AV179" s="21">
        <f>EXP(-LN(2)/25)*AV178+(1-EXP(-LN(2)/25))/(LN(2)/25)*Calculateur!AQ179*Calculateur!AS179*VLOOKUP('Données projet'!$B$10,Paramètres!$A$1:$I$89,3,0)*0.475*44/12</f>
        <v>0.21526775220614452</v>
      </c>
      <c r="AW179" s="21">
        <f>EXP(-LN(2)/2)*AW178+(1-EXP(-LN(2)/2))/(LN(2)/2)*AQ179*AT179*VLOOKUP('Données projet'!$B$10,Paramètres!$A$1:$I$89,3,0)*0.475*44/12</f>
        <v>5.765851076815391E-22</v>
      </c>
      <c r="AX179" s="21">
        <f t="shared" si="166"/>
        <v>0.56003404039237248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-1.0286385077051818E-13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269.19146943657933</v>
      </c>
      <c r="BJ179" s="59">
        <f t="shared" si="146"/>
        <v>185.94138814570965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5.4222262058914381E-2</v>
      </c>
      <c r="BR179" s="21">
        <f>EXP(-LN(2)/2)*BR178+(1-EXP(-LN(2)/2))/(LN(2)/2)*BL179*BO179*VLOOKUP('Données projet'!$B$11,Paramètres!$A$1:$I$89,3,0)*0.475*44/12</f>
        <v>6.5532269433982388E-22</v>
      </c>
      <c r="BS179" s="22">
        <f t="shared" si="169"/>
        <v>5.4222262058914381E-2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-1.223725121235475E-13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335.12015893291874</v>
      </c>
      <c r="CE179" s="59">
        <f t="shared" si="148"/>
        <v>224.76596283033166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6.4505794518363621E-2</v>
      </c>
      <c r="CM179" s="21">
        <f>EXP(-LN(2)/2)*CM178+(1-EXP(-LN(2)/2))/(LN(2)/2)*CG179*CJ179*VLOOKUP('Données projet'!$B$12,Paramètres!$A$1:$I$89,3,0)*0.475*44/12</f>
        <v>7.7960803292151596E-22</v>
      </c>
      <c r="CN179" s="22">
        <f t="shared" si="172"/>
        <v>6.4505794518363621E-2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-1.0995790944434703E-13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293.19327646293601</v>
      </c>
      <c r="CZ179" s="59">
        <f t="shared" si="150"/>
        <v>200.0769581869605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5.7961728407804954E-2</v>
      </c>
      <c r="DH179" s="21">
        <f>EXP(-LN(2)/2)*DH178+(1-EXP(-LN(2)/2))/(LN(2)/2)*DB179*DE179*VLOOKUP('Données projet'!$B$13,Paramètres!$A$1:$I$89,3,0)*0.475*44/12</f>
        <v>7.0051736291498401E-22</v>
      </c>
      <c r="DI179" s="22">
        <f t="shared" si="175"/>
        <v>5.7961728407804954E-2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-2.7193891583010558E-13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246.59447135626942</v>
      </c>
      <c r="T180" s="59">
        <f t="shared" si="142"/>
        <v>262.00382544285367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0.2181834790559542</v>
      </c>
      <c r="AB180" s="21">
        <f>EXP(-LN(2)/2)*AB179+(1-EXP(-LN(2)/2))/(LN(2)/2)*V180*Y180*VLOOKUP('Données projet'!$B$9,Paramètres!$A$1:$I$89,3,0)*0.475*44/12</f>
        <v>1.7765659803045531E-21</v>
      </c>
      <c r="AC180" s="22">
        <f t="shared" si="163"/>
        <v>0.2181834790559542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195.73441209602686</v>
      </c>
      <c r="AO180" s="59">
        <f t="shared" si="144"/>
        <v>219.19129224309006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0.33800563156156771</v>
      </c>
      <c r="AV180" s="21">
        <f>EXP(-LN(2)/25)*AV179+(1-EXP(-LN(2)/25))/(LN(2)/25)*Calculateur!AQ180*Calculateur!AS180*VLOOKUP('Données projet'!$B$10,Paramètres!$A$1:$I$89,3,0)*0.475*44/12</f>
        <v>0.2093812442016284</v>
      </c>
      <c r="AW180" s="21">
        <f>EXP(-LN(2)/2)*AW179+(1-EXP(-LN(2)/2))/(LN(2)/2)*AQ180*AT180*VLOOKUP('Données projet'!$B$10,Paramètres!$A$1:$I$89,3,0)*0.475*44/12</f>
        <v>4.0770723957279202E-22</v>
      </c>
      <c r="AX180" s="21">
        <f t="shared" si="166"/>
        <v>0.54738687576319611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-1.0286385077051818E-13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269.19146943657933</v>
      </c>
      <c r="BJ180" s="59">
        <f t="shared" si="146"/>
        <v>185.94138814570965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5.273955145148853E-2</v>
      </c>
      <c r="BR180" s="21">
        <f>EXP(-LN(2)/2)*BR179+(1-EXP(-LN(2)/2))/(LN(2)/2)*BL180*BO180*VLOOKUP('Données projet'!$B$11,Paramètres!$A$1:$I$89,3,0)*0.475*44/12</f>
        <v>4.633831210331286E-22</v>
      </c>
      <c r="BS180" s="22">
        <f t="shared" si="169"/>
        <v>5.273955145148853E-2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-1.223725121235475E-13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335.12015893291874</v>
      </c>
      <c r="CE180" s="59">
        <f t="shared" si="148"/>
        <v>224.76596283033166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6.2741880175046658E-2</v>
      </c>
      <c r="CM180" s="21">
        <f>EXP(-LN(2)/2)*CM179+(1-EXP(-LN(2)/2))/(LN(2)/2)*CG180*CJ180*VLOOKUP('Données projet'!$B$12,Paramètres!$A$1:$I$89,3,0)*0.475*44/12</f>
        <v>5.5126612674630912E-22</v>
      </c>
      <c r="CN180" s="22">
        <f t="shared" si="172"/>
        <v>6.2741880175046658E-2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-1.0995790944434703E-13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293.19327646293601</v>
      </c>
      <c r="CZ180" s="59">
        <f t="shared" si="150"/>
        <v>200.0769581869605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5.6376761896418701E-2</v>
      </c>
      <c r="DH180" s="21">
        <f>EXP(-LN(2)/2)*DH179+(1-EXP(-LN(2)/2))/(LN(2)/2)*DB180*DE180*VLOOKUP('Données projet'!$B$13,Paramètres!$A$1:$I$89,3,0)*0.475*44/12</f>
        <v>4.9534057765610289E-22</v>
      </c>
      <c r="DI180" s="22">
        <f t="shared" si="175"/>
        <v>5.6376761896418701E-2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-2.7193891583010558E-13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246.59447135626942</v>
      </c>
      <c r="T181" s="59">
        <f t="shared" si="142"/>
        <v>262.00382544285367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0.21221724034739864</v>
      </c>
      <c r="AB181" s="21">
        <f>EXP(-LN(2)/2)*AB180+(1-EXP(-LN(2)/2))/(LN(2)/2)*V181*Y181*VLOOKUP('Données projet'!$B$9,Paramètres!$A$1:$I$89,3,0)*0.475*44/12</f>
        <v>1.256221851898676E-21</v>
      </c>
      <c r="AC181" s="22">
        <f t="shared" si="163"/>
        <v>0.21221724034739864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195.73441209602686</v>
      </c>
      <c r="AO181" s="59">
        <f t="shared" si="144"/>
        <v>219.19129224309006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0.33137754728972368</v>
      </c>
      <c r="AV181" s="21">
        <f>EXP(-LN(2)/25)*AV180+(1-EXP(-LN(2)/25))/(LN(2)/25)*Calculateur!AQ181*Calculateur!AS181*VLOOKUP('Données projet'!$B$10,Paramètres!$A$1:$I$89,3,0)*0.475*44/12</f>
        <v>0.20365570306805378</v>
      </c>
      <c r="AW181" s="21">
        <f>EXP(-LN(2)/2)*AW180+(1-EXP(-LN(2)/2))/(LN(2)/2)*AQ181*AT181*VLOOKUP('Données projet'!$B$10,Paramètres!$A$1:$I$89,3,0)*0.475*44/12</f>
        <v>2.8829255384076955E-22</v>
      </c>
      <c r="AX181" s="21">
        <f t="shared" si="166"/>
        <v>0.53503325035777749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-1.0286385077051818E-13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269.19146943657933</v>
      </c>
      <c r="BJ181" s="59">
        <f t="shared" si="146"/>
        <v>185.94138814570965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5.1297385643595102E-2</v>
      </c>
      <c r="BR181" s="21">
        <f>EXP(-LN(2)/2)*BR180+(1-EXP(-LN(2)/2))/(LN(2)/2)*BL181*BO181*VLOOKUP('Données projet'!$B$11,Paramètres!$A$1:$I$89,3,0)*0.475*44/12</f>
        <v>3.2766134716991194E-22</v>
      </c>
      <c r="BS181" s="22">
        <f t="shared" si="169"/>
        <v>5.1297385643595102E-2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-1.223725121235475E-13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335.12015893291874</v>
      </c>
      <c r="CE181" s="59">
        <f t="shared" si="148"/>
        <v>224.76596283033166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6.102620016220793E-2</v>
      </c>
      <c r="CM181" s="21">
        <f>EXP(-LN(2)/2)*CM180+(1-EXP(-LN(2)/2))/(LN(2)/2)*CG181*CJ181*VLOOKUP('Données projet'!$B$12,Paramètres!$A$1:$I$89,3,0)*0.475*44/12</f>
        <v>3.8980401646075798E-22</v>
      </c>
      <c r="CN181" s="22">
        <f t="shared" si="172"/>
        <v>6.102620016220793E-2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-1.0995790944434703E-13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293.19327646293601</v>
      </c>
      <c r="CZ181" s="59">
        <f t="shared" si="150"/>
        <v>200.0769581869605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5.4835136377636075E-2</v>
      </c>
      <c r="DH181" s="21">
        <f>EXP(-LN(2)/2)*DH180+(1-EXP(-LN(2)/2))/(LN(2)/2)*DB181*DE181*VLOOKUP('Données projet'!$B$13,Paramètres!$A$1:$I$89,3,0)*0.475*44/12</f>
        <v>3.5025868145749201E-22</v>
      </c>
      <c r="DI181" s="22">
        <f t="shared" si="175"/>
        <v>5.4835136377636075E-2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-2.7193891583010558E-13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246.59447135626942</v>
      </c>
      <c r="T182" s="59">
        <f t="shared" si="142"/>
        <v>262.00382544285367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0.20641414875007938</v>
      </c>
      <c r="AB182" s="21">
        <f>EXP(-LN(2)/2)*AB181+(1-EXP(-LN(2)/2))/(LN(2)/2)*V182*Y182*VLOOKUP('Données projet'!$B$9,Paramètres!$A$1:$I$89,3,0)*0.475*44/12</f>
        <v>8.8828299015227657E-22</v>
      </c>
      <c r="AC182" s="22">
        <f t="shared" si="163"/>
        <v>0.20641414875007938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195.73441209602686</v>
      </c>
      <c r="AO182" s="59">
        <f t="shared" si="144"/>
        <v>219.19129224309006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0.32487943570771832</v>
      </c>
      <c r="AV182" s="21">
        <f>EXP(-LN(2)/25)*AV181+(1-EXP(-LN(2)/25))/(LN(2)/25)*Calculateur!AQ182*Calculateur!AS182*VLOOKUP('Données projet'!$B$10,Paramètres!$A$1:$I$89,3,0)*0.475*44/12</f>
        <v>0.19808672715786987</v>
      </c>
      <c r="AW182" s="21">
        <f>EXP(-LN(2)/2)*AW181+(1-EXP(-LN(2)/2))/(LN(2)/2)*AQ182*AT182*VLOOKUP('Données projet'!$B$10,Paramètres!$A$1:$I$89,3,0)*0.475*44/12</f>
        <v>2.0385361978639601E-22</v>
      </c>
      <c r="AX182" s="21">
        <f t="shared" si="166"/>
        <v>0.52296616286558817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-1.0286385077051818E-13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269.19146943657933</v>
      </c>
      <c r="BJ182" s="59">
        <f t="shared" si="146"/>
        <v>185.94138814570965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4.9894655935558724E-2</v>
      </c>
      <c r="BR182" s="21">
        <f>EXP(-LN(2)/2)*BR181+(1-EXP(-LN(2)/2))/(LN(2)/2)*BL182*BO182*VLOOKUP('Données projet'!$B$11,Paramètres!$A$1:$I$89,3,0)*0.475*44/12</f>
        <v>2.316915605165643E-22</v>
      </c>
      <c r="BS182" s="22">
        <f t="shared" si="169"/>
        <v>4.9894655935558724E-2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-1.223725121235475E-13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335.12015893291874</v>
      </c>
      <c r="CE182" s="59">
        <f t="shared" si="148"/>
        <v>224.76596283033166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5.9357435509543963E-2</v>
      </c>
      <c r="CM182" s="21">
        <f>EXP(-LN(2)/2)*CM181+(1-EXP(-LN(2)/2))/(LN(2)/2)*CG182*CJ182*VLOOKUP('Données projet'!$B$12,Paramètres!$A$1:$I$89,3,0)*0.475*44/12</f>
        <v>2.7563306337315456E-22</v>
      </c>
      <c r="CN182" s="22">
        <f t="shared" si="172"/>
        <v>5.9357435509543963E-2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-1.0995790944434703E-13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293.19327646293601</v>
      </c>
      <c r="CZ182" s="59">
        <f t="shared" si="150"/>
        <v>200.0769581869605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5.333566668973512E-2</v>
      </c>
      <c r="DH182" s="21">
        <f>EXP(-LN(2)/2)*DH181+(1-EXP(-LN(2)/2))/(LN(2)/2)*DB182*DE182*VLOOKUP('Données projet'!$B$13,Paramètres!$A$1:$I$89,3,0)*0.475*44/12</f>
        <v>2.4767028882805144E-22</v>
      </c>
      <c r="DI182" s="22">
        <f t="shared" si="175"/>
        <v>5.333566668973512E-2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-2.7193891583010558E-13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246.59447135626942</v>
      </c>
      <c r="T183" s="59">
        <f t="shared" si="142"/>
        <v>262.00382544285367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0.20076974299766015</v>
      </c>
      <c r="AB183" s="21">
        <f>EXP(-LN(2)/2)*AB182+(1-EXP(-LN(2)/2))/(LN(2)/2)*V183*Y183*VLOOKUP('Données projet'!$B$9,Paramètres!$A$1:$I$89,3,0)*0.475*44/12</f>
        <v>6.2811092594933799E-22</v>
      </c>
      <c r="AC183" s="22">
        <f t="shared" si="163"/>
        <v>0.20076974299766015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195.73441209602686</v>
      </c>
      <c r="AO183" s="59">
        <f t="shared" si="144"/>
        <v>219.19129224309006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0.31850874813037938</v>
      </c>
      <c r="AV183" s="21">
        <f>EXP(-LN(2)/25)*AV182+(1-EXP(-LN(2)/25))/(LN(2)/25)*Calculateur!AQ183*Calculateur!AS183*VLOOKUP('Données projet'!$B$10,Paramètres!$A$1:$I$89,3,0)*0.475*44/12</f>
        <v>0.19267003518680967</v>
      </c>
      <c r="AW183" s="21">
        <f>EXP(-LN(2)/2)*AW182+(1-EXP(-LN(2)/2))/(LN(2)/2)*AQ183*AT183*VLOOKUP('Données projet'!$B$10,Paramètres!$A$1:$I$89,3,0)*0.475*44/12</f>
        <v>1.4414627692038478E-22</v>
      </c>
      <c r="AX183" s="21">
        <f t="shared" si="166"/>
        <v>0.51117878331718902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-1.0286385077051818E-13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269.19146943657933</v>
      </c>
      <c r="BJ183" s="59">
        <f t="shared" si="146"/>
        <v>185.94138814570965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4.8530283945154948E-2</v>
      </c>
      <c r="BR183" s="21">
        <f>EXP(-LN(2)/2)*BR182+(1-EXP(-LN(2)/2))/(LN(2)/2)*BL183*BO183*VLOOKUP('Données projet'!$B$11,Paramètres!$A$1:$I$89,3,0)*0.475*44/12</f>
        <v>1.6383067358495597E-22</v>
      </c>
      <c r="BS183" s="22">
        <f t="shared" si="169"/>
        <v>4.8530283945154948E-2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-1.223725121235475E-13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335.12015893291874</v>
      </c>
      <c r="CE183" s="59">
        <f t="shared" si="148"/>
        <v>224.76596283033166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5.7734303314063616E-2</v>
      </c>
      <c r="CM183" s="21">
        <f>EXP(-LN(2)/2)*CM182+(1-EXP(-LN(2)/2))/(LN(2)/2)*CG183*CJ183*VLOOKUP('Données projet'!$B$12,Paramètres!$A$1:$I$89,3,0)*0.475*44/12</f>
        <v>1.9490200823037899E-22</v>
      </c>
      <c r="CN183" s="22">
        <f t="shared" si="172"/>
        <v>5.7734303314063616E-2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-1.0995790944434703E-13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293.19327646293601</v>
      </c>
      <c r="CZ183" s="59">
        <f t="shared" si="150"/>
        <v>200.0769581869605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5.18772000793035E-2</v>
      </c>
      <c r="DH183" s="21">
        <f>EXP(-LN(2)/2)*DH182+(1-EXP(-LN(2)/2))/(LN(2)/2)*DB183*DE183*VLOOKUP('Données projet'!$B$13,Paramètres!$A$1:$I$89,3,0)*0.475*44/12</f>
        <v>1.75129340728746E-22</v>
      </c>
      <c r="DI183" s="22">
        <f t="shared" si="175"/>
        <v>5.18772000793035E-2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-2.7193891583010558E-13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246.59447135626942</v>
      </c>
      <c r="T184" s="59">
        <f t="shared" si="142"/>
        <v>262.00382544285367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0.19527968381736721</v>
      </c>
      <c r="AB184" s="21">
        <f>EXP(-LN(2)/2)*AB183+(1-EXP(-LN(2)/2))/(LN(2)/2)*V184*Y184*VLOOKUP('Données projet'!$B$9,Paramètres!$A$1:$I$89,3,0)*0.475*44/12</f>
        <v>4.4414149507613829E-22</v>
      </c>
      <c r="AC184" s="22">
        <f t="shared" si="163"/>
        <v>0.19527968381736721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195.73441209602686</v>
      </c>
      <c r="AO184" s="59">
        <f t="shared" si="144"/>
        <v>219.19129224309006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0.31226298585069634</v>
      </c>
      <c r="AV184" s="21">
        <f>EXP(-LN(2)/25)*AV183+(1-EXP(-LN(2)/25))/(LN(2)/25)*Calculateur!AQ184*Calculateur!AS184*VLOOKUP('Données projet'!$B$10,Paramètres!$A$1:$I$89,3,0)*0.475*44/12</f>
        <v>0.18740146294254956</v>
      </c>
      <c r="AW184" s="21">
        <f>EXP(-LN(2)/2)*AW183+(1-EXP(-LN(2)/2))/(LN(2)/2)*AQ184*AT184*VLOOKUP('Données projet'!$B$10,Paramètres!$A$1:$I$89,3,0)*0.475*44/12</f>
        <v>1.01926809893198E-22</v>
      </c>
      <c r="AX184" s="21">
        <f t="shared" si="166"/>
        <v>0.4996644487932459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-1.0286385077051818E-13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269.19146943657933</v>
      </c>
      <c r="BJ184" s="59">
        <f t="shared" si="146"/>
        <v>185.94138814570965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4.720322077857797E-2</v>
      </c>
      <c r="BR184" s="21">
        <f>EXP(-LN(2)/2)*BR183+(1-EXP(-LN(2)/2))/(LN(2)/2)*BL184*BO184*VLOOKUP('Données projet'!$B$11,Paramètres!$A$1:$I$89,3,0)*0.475*44/12</f>
        <v>1.1584578025828215E-22</v>
      </c>
      <c r="BS184" s="22">
        <f t="shared" si="169"/>
        <v>4.720322077857797E-2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-1.223725121235475E-13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335.12015893291874</v>
      </c>
      <c r="CE184" s="59">
        <f t="shared" si="148"/>
        <v>224.76596283033166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5.6155555753825491E-2</v>
      </c>
      <c r="CM184" s="21">
        <f>EXP(-LN(2)/2)*CM183+(1-EXP(-LN(2)/2))/(LN(2)/2)*CG184*CJ184*VLOOKUP('Données projet'!$B$12,Paramètres!$A$1:$I$89,3,0)*0.475*44/12</f>
        <v>1.3781653168657728E-22</v>
      </c>
      <c r="CN184" s="22">
        <f t="shared" si="172"/>
        <v>5.6155555753825491E-2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-1.0995790944434703E-13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293.19327646293601</v>
      </c>
      <c r="CZ184" s="59">
        <f t="shared" si="150"/>
        <v>200.0769581869605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5.0458615315031562E-2</v>
      </c>
      <c r="DH184" s="21">
        <f>EXP(-LN(2)/2)*DH183+(1-EXP(-LN(2)/2))/(LN(2)/2)*DB184*DE184*VLOOKUP('Données projet'!$B$13,Paramètres!$A$1:$I$89,3,0)*0.475*44/12</f>
        <v>1.2383514441402572E-22</v>
      </c>
      <c r="DI184" s="22">
        <f t="shared" si="175"/>
        <v>5.0458615315031562E-2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-2.7193891583010558E-13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246.59447135626942</v>
      </c>
      <c r="T185" s="59">
        <f t="shared" si="142"/>
        <v>262.00382544285367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0.18993975059406906</v>
      </c>
      <c r="AB185" s="21">
        <f>EXP(-LN(2)/2)*AB184+(1-EXP(-LN(2)/2))/(LN(2)/2)*V185*Y185*VLOOKUP('Données projet'!$B$9,Paramètres!$A$1:$I$89,3,0)*0.475*44/12</f>
        <v>3.14055462974669E-22</v>
      </c>
      <c r="AC185" s="22">
        <f t="shared" si="163"/>
        <v>0.18993975059406906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195.73441209602686</v>
      </c>
      <c r="AO185" s="59">
        <f t="shared" si="144"/>
        <v>219.19129224309006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0.30613969915977901</v>
      </c>
      <c r="AV185" s="21">
        <f>EXP(-LN(2)/25)*AV184+(1-EXP(-LN(2)/25))/(LN(2)/25)*Calculateur!AQ185*Calculateur!AS185*VLOOKUP('Données projet'!$B$10,Paramètres!$A$1:$I$89,3,0)*0.475*44/12</f>
        <v>0.18227696008337091</v>
      </c>
      <c r="AW185" s="21">
        <f>EXP(-LN(2)/2)*AW184+(1-EXP(-LN(2)/2))/(LN(2)/2)*AQ185*AT185*VLOOKUP('Données projet'!$B$10,Paramètres!$A$1:$I$89,3,0)*0.475*44/12</f>
        <v>7.2073138460192388E-23</v>
      </c>
      <c r="AX185" s="21">
        <f t="shared" si="166"/>
        <v>0.48841665924314992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-1.0286385077051818E-13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269.19146943657933</v>
      </c>
      <c r="BJ185" s="59">
        <f t="shared" si="146"/>
        <v>185.94138814570965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4.5912446224078259E-2</v>
      </c>
      <c r="BR185" s="21">
        <f>EXP(-LN(2)/2)*BR184+(1-EXP(-LN(2)/2))/(LN(2)/2)*BL185*BO185*VLOOKUP('Données projet'!$B$11,Paramètres!$A$1:$I$89,3,0)*0.475*44/12</f>
        <v>8.1915336792477985E-23</v>
      </c>
      <c r="BS185" s="22">
        <f t="shared" si="169"/>
        <v>4.5912446224078259E-2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-1.223725121235475E-13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335.12015893291874</v>
      </c>
      <c r="CE185" s="59">
        <f t="shared" si="148"/>
        <v>224.76596283033166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5.4619979128644802E-2</v>
      </c>
      <c r="CM185" s="21">
        <f>EXP(-LN(2)/2)*CM184+(1-EXP(-LN(2)/2))/(LN(2)/2)*CG185*CJ185*VLOOKUP('Données projet'!$B$12,Paramètres!$A$1:$I$89,3,0)*0.475*44/12</f>
        <v>9.7451004115189495E-23</v>
      </c>
      <c r="CN185" s="22">
        <f t="shared" si="172"/>
        <v>5.4619979128644802E-2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-1.0995790944434703E-13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293.19327646293601</v>
      </c>
      <c r="CZ185" s="59">
        <f t="shared" si="150"/>
        <v>200.0769581869605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4.9078821825738771E-2</v>
      </c>
      <c r="DH185" s="21">
        <f>EXP(-LN(2)/2)*DH184+(1-EXP(-LN(2)/2))/(LN(2)/2)*DB185*DE185*VLOOKUP('Données projet'!$B$13,Paramètres!$A$1:$I$89,3,0)*0.475*44/12</f>
        <v>8.7564670364373001E-23</v>
      </c>
      <c r="DI185" s="22">
        <f t="shared" si="175"/>
        <v>4.9078821825738771E-2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-2.7193891583010558E-13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246.59447135626942</v>
      </c>
      <c r="T186" s="59">
        <f t="shared" si="142"/>
        <v>262.00382544285367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0.18474583812557688</v>
      </c>
      <c r="AB186" s="21">
        <f>EXP(-LN(2)/2)*AB185+(1-EXP(-LN(2)/2))/(LN(2)/2)*V186*Y186*VLOOKUP('Données projet'!$B$9,Paramètres!$A$1:$I$89,3,0)*0.475*44/12</f>
        <v>2.2207074753806914E-22</v>
      </c>
      <c r="AC186" s="22">
        <f t="shared" si="163"/>
        <v>0.18474583812557688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195.73441209602686</v>
      </c>
      <c r="AO186" s="59">
        <f t="shared" si="144"/>
        <v>219.19129224309006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0.30013648638603452</v>
      </c>
      <c r="AV186" s="21">
        <f>EXP(-LN(2)/25)*AV185+(1-EXP(-LN(2)/25))/(LN(2)/25)*Calculateur!AQ186*Calculateur!AS186*VLOOKUP('Données projet'!$B$10,Paramètres!$A$1:$I$89,3,0)*0.475*44/12</f>
        <v>0.1772925870243624</v>
      </c>
      <c r="AW186" s="21">
        <f>EXP(-LN(2)/2)*AW185+(1-EXP(-LN(2)/2))/(LN(2)/2)*AQ186*AT186*VLOOKUP('Données projet'!$B$10,Paramètres!$A$1:$I$89,3,0)*0.475*44/12</f>
        <v>5.0963404946599002E-23</v>
      </c>
      <c r="AX186" s="21">
        <f t="shared" si="166"/>
        <v>0.47742907341039692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-1.0286385077051818E-13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269.19146943657933</v>
      </c>
      <c r="BJ186" s="59">
        <f t="shared" si="146"/>
        <v>185.94138814570965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4.4656967967650223E-2</v>
      </c>
      <c r="BR186" s="21">
        <f>EXP(-LN(2)/2)*BR185+(1-EXP(-LN(2)/2))/(LN(2)/2)*BL186*BO186*VLOOKUP('Données projet'!$B$11,Paramètres!$A$1:$I$89,3,0)*0.475*44/12</f>
        <v>5.7922890129141075E-23</v>
      </c>
      <c r="BS186" s="22">
        <f t="shared" si="169"/>
        <v>4.4656967967650223E-2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-1.223725121235475E-13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335.12015893291874</v>
      </c>
      <c r="CE186" s="59">
        <f t="shared" si="148"/>
        <v>224.76596283033166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5.312639292703214E-2</v>
      </c>
      <c r="CM186" s="21">
        <f>EXP(-LN(2)/2)*CM185+(1-EXP(-LN(2)/2))/(LN(2)/2)*CG186*CJ186*VLOOKUP('Données projet'!$B$12,Paramètres!$A$1:$I$89,3,0)*0.475*44/12</f>
        <v>6.890826584328864E-23</v>
      </c>
      <c r="CN186" s="22">
        <f t="shared" si="172"/>
        <v>5.312639292703214E-2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-1.0995790944434703E-13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293.19327646293601</v>
      </c>
      <c r="CZ186" s="59">
        <f t="shared" si="150"/>
        <v>200.0769581869605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4.7736758861970874E-2</v>
      </c>
      <c r="DH186" s="21">
        <f>EXP(-LN(2)/2)*DH185+(1-EXP(-LN(2)/2))/(LN(2)/2)*DB186*DE186*VLOOKUP('Données projet'!$B$13,Paramètres!$A$1:$I$89,3,0)*0.475*44/12</f>
        <v>6.1917572207012861E-23</v>
      </c>
      <c r="DI186" s="22">
        <f t="shared" si="175"/>
        <v>4.7736758861970874E-2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-2.7193891583010558E-13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246.59447135626942</v>
      </c>
      <c r="T187" s="59">
        <f t="shared" si="142"/>
        <v>262.00382544285367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0.17969395346667158</v>
      </c>
      <c r="AB187" s="21">
        <f>EXP(-LN(2)/2)*AB186+(1-EXP(-LN(2)/2))/(LN(2)/2)*V187*Y187*VLOOKUP('Données projet'!$B$9,Paramètres!$A$1:$I$89,3,0)*0.475*44/12</f>
        <v>1.570277314873345E-22</v>
      </c>
      <c r="AC187" s="22">
        <f t="shared" si="163"/>
        <v>0.17969395346667158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195.73441209602686</v>
      </c>
      <c r="AO187" s="59">
        <f t="shared" si="144"/>
        <v>219.19129224309006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0.29425099295318491</v>
      </c>
      <c r="AV187" s="21">
        <f>EXP(-LN(2)/25)*AV186+(1-EXP(-LN(2)/25))/(LN(2)/25)*Calculateur!AQ187*Calculateur!AS187*VLOOKUP('Données projet'!$B$10,Paramètres!$A$1:$I$89,3,0)*0.475*44/12</f>
        <v>0.17244451190876928</v>
      </c>
      <c r="AW187" s="21">
        <f>EXP(-LN(2)/2)*AW186+(1-EXP(-LN(2)/2))/(LN(2)/2)*AQ187*AT187*VLOOKUP('Données projet'!$B$10,Paramètres!$A$1:$I$89,3,0)*0.475*44/12</f>
        <v>3.6036569230096194E-23</v>
      </c>
      <c r="AX187" s="21">
        <f t="shared" si="166"/>
        <v>0.46669550486195421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-1.0286385077051818E-13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269.19146943657933</v>
      </c>
      <c r="BJ187" s="59">
        <f t="shared" si="146"/>
        <v>185.94138814570965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4.3435820830166949E-2</v>
      </c>
      <c r="BR187" s="21">
        <f>EXP(-LN(2)/2)*BR186+(1-EXP(-LN(2)/2))/(LN(2)/2)*BL187*BO187*VLOOKUP('Données projet'!$B$11,Paramètres!$A$1:$I$89,3,0)*0.475*44/12</f>
        <v>4.0957668396238992E-23</v>
      </c>
      <c r="BS187" s="22">
        <f t="shared" si="169"/>
        <v>4.3435820830166949E-2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-1.223725121235475E-13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335.12015893291874</v>
      </c>
      <c r="CE187" s="59">
        <f t="shared" si="148"/>
        <v>224.76596283033166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5.1673648918646863E-2</v>
      </c>
      <c r="CM187" s="21">
        <f>EXP(-LN(2)/2)*CM186+(1-EXP(-LN(2)/2))/(LN(2)/2)*CG187*CJ187*VLOOKUP('Données projet'!$B$12,Paramètres!$A$1:$I$89,3,0)*0.475*44/12</f>
        <v>4.8725502057594748E-23</v>
      </c>
      <c r="CN187" s="22">
        <f t="shared" si="172"/>
        <v>5.1673648918646863E-2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-1.0995790944434703E-13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293.19327646293601</v>
      </c>
      <c r="CZ187" s="59">
        <f t="shared" si="150"/>
        <v>200.0769581869605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4.6431394680523236E-2</v>
      </c>
      <c r="DH187" s="21">
        <f>EXP(-LN(2)/2)*DH186+(1-EXP(-LN(2)/2))/(LN(2)/2)*DB187*DE187*VLOOKUP('Données projet'!$B$13,Paramètres!$A$1:$I$89,3,0)*0.475*44/12</f>
        <v>4.3782335182186501E-23</v>
      </c>
      <c r="DI187" s="22">
        <f t="shared" si="175"/>
        <v>4.6431394680523236E-2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-2.7193891583010558E-13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246.59447135626942</v>
      </c>
      <c r="T188" s="59">
        <f t="shared" si="142"/>
        <v>262.00382544285367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0.17478021285943113</v>
      </c>
      <c r="AB188" s="21">
        <f>EXP(-LN(2)/2)*AB187+(1-EXP(-LN(2)/2))/(LN(2)/2)*V188*Y188*VLOOKUP('Données projet'!$B$9,Paramètres!$A$1:$I$89,3,0)*0.475*44/12</f>
        <v>1.1103537376903457E-22</v>
      </c>
      <c r="AC188" s="22">
        <f t="shared" si="163"/>
        <v>0.17478021285943113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195.73441209602686</v>
      </c>
      <c r="AO188" s="59">
        <f t="shared" si="144"/>
        <v>219.19129224309006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0.28848091045675694</v>
      </c>
      <c r="AV188" s="21">
        <f>EXP(-LN(2)/25)*AV187+(1-EXP(-LN(2)/25))/(LN(2)/25)*Calculateur!AQ188*Calculateur!AS188*VLOOKUP('Données projet'!$B$10,Paramètres!$A$1:$I$89,3,0)*0.475*44/12</f>
        <v>0.16772900766216123</v>
      </c>
      <c r="AW188" s="21">
        <f>EXP(-LN(2)/2)*AW187+(1-EXP(-LN(2)/2))/(LN(2)/2)*AQ188*AT188*VLOOKUP('Données projet'!$B$10,Paramètres!$A$1:$I$89,3,0)*0.475*44/12</f>
        <v>2.5481702473299501E-23</v>
      </c>
      <c r="AX188" s="21">
        <f t="shared" si="166"/>
        <v>0.4562099181189182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-1.0286385077051818E-13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269.19146943657933</v>
      </c>
      <c r="BJ188" s="59">
        <f t="shared" si="146"/>
        <v>185.94138814570965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4.2248066025375487E-2</v>
      </c>
      <c r="BR188" s="21">
        <f>EXP(-LN(2)/2)*BR187+(1-EXP(-LN(2)/2))/(LN(2)/2)*BL188*BO188*VLOOKUP('Données projet'!$B$11,Paramètres!$A$1:$I$89,3,0)*0.475*44/12</f>
        <v>2.8961445064570538E-23</v>
      </c>
      <c r="BS188" s="22">
        <f t="shared" si="169"/>
        <v>4.2248066025375487E-2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-1.223725121235475E-13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335.12015893291874</v>
      </c>
      <c r="CE188" s="59">
        <f t="shared" si="148"/>
        <v>224.76596283033166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5.0260630271567366E-2</v>
      </c>
      <c r="CM188" s="21">
        <f>EXP(-LN(2)/2)*CM187+(1-EXP(-LN(2)/2))/(LN(2)/2)*CG188*CJ188*VLOOKUP('Données projet'!$B$12,Paramètres!$A$1:$I$89,3,0)*0.475*44/12</f>
        <v>3.445413292164432E-23</v>
      </c>
      <c r="CN188" s="22">
        <f t="shared" si="172"/>
        <v>5.0260630271567366E-2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-1.0995790944434703E-13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293.19327646293601</v>
      </c>
      <c r="CZ188" s="59">
        <f t="shared" si="150"/>
        <v>200.0769581869605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4.5161725751263405E-2</v>
      </c>
      <c r="DH188" s="21">
        <f>EXP(-LN(2)/2)*DH187+(1-EXP(-LN(2)/2))/(LN(2)/2)*DB188*DE188*VLOOKUP('Données projet'!$B$13,Paramètres!$A$1:$I$89,3,0)*0.475*44/12</f>
        <v>3.0958786103506431E-23</v>
      </c>
      <c r="DI188" s="22">
        <f t="shared" si="175"/>
        <v>4.5161725751263405E-2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-2.7193891583010558E-13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246.59447135626942</v>
      </c>
      <c r="T189" s="59">
        <f t="shared" si="142"/>
        <v>262.00382544285367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0.17000083874749805</v>
      </c>
      <c r="AB189" s="21">
        <f>EXP(-LN(2)/2)*AB188+(1-EXP(-LN(2)/2))/(LN(2)/2)*V189*Y189*VLOOKUP('Données projet'!$B$9,Paramètres!$A$1:$I$89,3,0)*0.475*44/12</f>
        <v>7.8513865743667249E-23</v>
      </c>
      <c r="AC189" s="22">
        <f t="shared" si="163"/>
        <v>0.17000083874749805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195.73441209602686</v>
      </c>
      <c r="AO189" s="59">
        <f t="shared" si="144"/>
        <v>219.19129224309006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0.28282397575868112</v>
      </c>
      <c r="AV189" s="21">
        <f>EXP(-LN(2)/25)*AV188+(1-EXP(-LN(2)/25))/(LN(2)/25)*Calculateur!AQ189*Calculateur!AS189*VLOOKUP('Données projet'!$B$10,Paramètres!$A$1:$I$89,3,0)*0.475*44/12</f>
        <v>0.16314244912715425</v>
      </c>
      <c r="AW189" s="21">
        <f>EXP(-LN(2)/2)*AW188+(1-EXP(-LN(2)/2))/(LN(2)/2)*AQ189*AT189*VLOOKUP('Données projet'!$B$10,Paramètres!$A$1:$I$89,3,0)*0.475*44/12</f>
        <v>1.8018284615048097E-23</v>
      </c>
      <c r="AX189" s="21">
        <f t="shared" si="166"/>
        <v>0.44596642488583538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-1.0286385077051818E-13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269.19146943657933</v>
      </c>
      <c r="BJ189" s="59">
        <f t="shared" si="146"/>
        <v>185.94138814570965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4.1092790438182362E-2</v>
      </c>
      <c r="BR189" s="21">
        <f>EXP(-LN(2)/2)*BR188+(1-EXP(-LN(2)/2))/(LN(2)/2)*BL189*BO189*VLOOKUP('Données projet'!$B$11,Paramètres!$A$1:$I$89,3,0)*0.475*44/12</f>
        <v>2.0478834198119496E-23</v>
      </c>
      <c r="BS189" s="22">
        <f t="shared" si="169"/>
        <v>4.1092790438182362E-2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-1.223725121235475E-13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335.12015893291874</v>
      </c>
      <c r="CE189" s="59">
        <f t="shared" si="148"/>
        <v>224.76596283033166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4.888625069369968E-2</v>
      </c>
      <c r="CM189" s="21">
        <f>EXP(-LN(2)/2)*CM188+(1-EXP(-LN(2)/2))/(LN(2)/2)*CG189*CJ189*VLOOKUP('Données projet'!$B$12,Paramètres!$A$1:$I$89,3,0)*0.475*44/12</f>
        <v>2.4362751028797374E-23</v>
      </c>
      <c r="CN189" s="22">
        <f t="shared" si="172"/>
        <v>4.888625069369968E-2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-1.0995790944434703E-13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293.19327646293601</v>
      </c>
      <c r="CZ189" s="59">
        <f t="shared" si="150"/>
        <v>200.0769581869605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4.3926775985643166E-2</v>
      </c>
      <c r="DH189" s="21">
        <f>EXP(-LN(2)/2)*DH188+(1-EXP(-LN(2)/2))/(LN(2)/2)*DB189*DE189*VLOOKUP('Données projet'!$B$13,Paramètres!$A$1:$I$89,3,0)*0.475*44/12</f>
        <v>2.189116759109325E-23</v>
      </c>
      <c r="DI189" s="22">
        <f t="shared" si="175"/>
        <v>4.3926775985643166E-2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-2.7193891583010558E-13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246.59447135626942</v>
      </c>
      <c r="T190" s="59">
        <f t="shared" si="142"/>
        <v>262.00382544285367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0.16535215687199215</v>
      </c>
      <c r="AB190" s="21">
        <f>EXP(-LN(2)/2)*AB189+(1-EXP(-LN(2)/2))/(LN(2)/2)*V190*Y190*VLOOKUP('Données projet'!$B$9,Paramètres!$A$1:$I$89,3,0)*0.475*44/12</f>
        <v>5.5517686884517286E-23</v>
      </c>
      <c r="AC190" s="22">
        <f t="shared" si="163"/>
        <v>0.16535215687199215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195.73441209602686</v>
      </c>
      <c r="AO190" s="59">
        <f t="shared" si="144"/>
        <v>219.19129224309006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0.27727797009964511</v>
      </c>
      <c r="AV190" s="21">
        <f>EXP(-LN(2)/25)*AV189+(1-EXP(-LN(2)/25))/(LN(2)/25)*Calculateur!AQ190*Calculateur!AS190*VLOOKUP('Données projet'!$B$10,Paramètres!$A$1:$I$89,3,0)*0.475*44/12</f>
        <v>0.15868131027648369</v>
      </c>
      <c r="AW190" s="21">
        <f>EXP(-LN(2)/2)*AW189+(1-EXP(-LN(2)/2))/(LN(2)/2)*AQ190*AT190*VLOOKUP('Données projet'!$B$10,Paramètres!$A$1:$I$89,3,0)*0.475*44/12</f>
        <v>1.2740851236649751E-23</v>
      </c>
      <c r="AX190" s="21">
        <f t="shared" si="166"/>
        <v>0.4359592803761288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-1.0286385077051818E-13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269.19146943657933</v>
      </c>
      <c r="BJ190" s="59">
        <f t="shared" si="146"/>
        <v>185.94138814570965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3.9969105922674338E-2</v>
      </c>
      <c r="BR190" s="21">
        <f>EXP(-LN(2)/2)*BR189+(1-EXP(-LN(2)/2))/(LN(2)/2)*BL190*BO190*VLOOKUP('Données projet'!$B$11,Paramètres!$A$1:$I$89,3,0)*0.475*44/12</f>
        <v>1.4480722532285269E-23</v>
      </c>
      <c r="BS190" s="22">
        <f t="shared" si="169"/>
        <v>3.9969105922674338E-2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-1.223725121235475E-13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335.12015893291874</v>
      </c>
      <c r="CE190" s="59">
        <f t="shared" si="148"/>
        <v>224.76596283033166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4.7549453597664271E-2</v>
      </c>
      <c r="CM190" s="21">
        <f>EXP(-LN(2)/2)*CM189+(1-EXP(-LN(2)/2))/(LN(2)/2)*CG190*CJ190*VLOOKUP('Données projet'!$B$12,Paramètres!$A$1:$I$89,3,0)*0.475*44/12</f>
        <v>1.722706646082216E-23</v>
      </c>
      <c r="CN190" s="22">
        <f t="shared" si="172"/>
        <v>4.7549453597664271E-2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-1.0995790944434703E-13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293.19327646293601</v>
      </c>
      <c r="CZ190" s="59">
        <f t="shared" si="150"/>
        <v>200.0769581869605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4.2725595986307E-2</v>
      </c>
      <c r="DH190" s="21">
        <f>EXP(-LN(2)/2)*DH189+(1-EXP(-LN(2)/2))/(LN(2)/2)*DB190*DE190*VLOOKUP('Données projet'!$B$13,Paramètres!$A$1:$I$89,3,0)*0.475*44/12</f>
        <v>1.5479393051753215E-23</v>
      </c>
      <c r="DI190" s="22">
        <f t="shared" si="175"/>
        <v>4.2725595986307E-2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-2.7193891583010558E-13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246.59447135626942</v>
      </c>
      <c r="T191" s="59">
        <f t="shared" si="142"/>
        <v>262.00382544285367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0.16083059344683551</v>
      </c>
      <c r="AB191" s="21">
        <f>EXP(-LN(2)/2)*AB190+(1-EXP(-LN(2)/2))/(LN(2)/2)*V191*Y191*VLOOKUP('Données projet'!$B$9,Paramètres!$A$1:$I$89,3,0)*0.475*44/12</f>
        <v>3.9256932871833625E-23</v>
      </c>
      <c r="AC191" s="22">
        <f t="shared" si="163"/>
        <v>0.16083059344683551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195.73441209602686</v>
      </c>
      <c r="AO191" s="59">
        <f t="shared" si="144"/>
        <v>219.19129224309006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0.27184071822885336</v>
      </c>
      <c r="AV191" s="21">
        <f>EXP(-LN(2)/25)*AV190+(1-EXP(-LN(2)/25))/(LN(2)/25)*Calculateur!AQ191*Calculateur!AS191*VLOOKUP('Données projet'!$B$10,Paramètres!$A$1:$I$89,3,0)*0.475*44/12</f>
        <v>0.1543421615022858</v>
      </c>
      <c r="AW191" s="21">
        <f>EXP(-LN(2)/2)*AW190+(1-EXP(-LN(2)/2))/(LN(2)/2)*AQ191*AT191*VLOOKUP('Données projet'!$B$10,Paramètres!$A$1:$I$89,3,0)*0.475*44/12</f>
        <v>9.0091423075240485E-24</v>
      </c>
      <c r="AX191" s="21">
        <f t="shared" si="166"/>
        <v>0.42618287973113916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-1.0286385077051818E-13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269.19146943657933</v>
      </c>
      <c r="BJ191" s="59">
        <f t="shared" si="146"/>
        <v>185.94138814570965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3.8876148619334881E-2</v>
      </c>
      <c r="BR191" s="21">
        <f>EXP(-LN(2)/2)*BR190+(1-EXP(-LN(2)/2))/(LN(2)/2)*BL191*BO191*VLOOKUP('Données projet'!$B$11,Paramètres!$A$1:$I$89,3,0)*0.475*44/12</f>
        <v>1.0239417099059748E-23</v>
      </c>
      <c r="BS191" s="22">
        <f t="shared" si="169"/>
        <v>3.8876148619334881E-2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-1.223725121235475E-13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335.12015893291874</v>
      </c>
      <c r="CE191" s="59">
        <f t="shared" si="148"/>
        <v>224.76596283033166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4.6249211288519054E-2</v>
      </c>
      <c r="CM191" s="21">
        <f>EXP(-LN(2)/2)*CM190+(1-EXP(-LN(2)/2))/(LN(2)/2)*CG191*CJ191*VLOOKUP('Données projet'!$B$12,Paramètres!$A$1:$I$89,3,0)*0.475*44/12</f>
        <v>1.2181375514398687E-23</v>
      </c>
      <c r="CN191" s="22">
        <f t="shared" si="172"/>
        <v>4.6249211288519054E-2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-1.0995790944434703E-13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293.19327646293601</v>
      </c>
      <c r="CZ191" s="59">
        <f t="shared" si="150"/>
        <v>200.0769581869605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4.1557262317219991E-2</v>
      </c>
      <c r="DH191" s="21">
        <f>EXP(-LN(2)/2)*DH190+(1-EXP(-LN(2)/2))/(LN(2)/2)*DB191*DE191*VLOOKUP('Données projet'!$B$13,Paramètres!$A$1:$I$89,3,0)*0.475*44/12</f>
        <v>1.0945583795546625E-23</v>
      </c>
      <c r="DI191" s="22">
        <f t="shared" si="175"/>
        <v>4.1557262317219991E-2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-2.7193891583010558E-13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246.59447135626942</v>
      </c>
      <c r="T192" s="59">
        <f t="shared" si="142"/>
        <v>262.00382544285367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0.15643267241131847</v>
      </c>
      <c r="AB192" s="21">
        <f>EXP(-LN(2)/2)*AB191+(1-EXP(-LN(2)/2))/(LN(2)/2)*V192*Y192*VLOOKUP('Données projet'!$B$9,Paramètres!$A$1:$I$89,3,0)*0.475*44/12</f>
        <v>2.7758843442258643E-23</v>
      </c>
      <c r="AC192" s="22">
        <f t="shared" si="163"/>
        <v>0.15643267241131847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195.73441209602686</v>
      </c>
      <c r="AO192" s="59">
        <f t="shared" si="144"/>
        <v>219.19129224309006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0.26651008755085165</v>
      </c>
      <c r="AV192" s="21">
        <f>EXP(-LN(2)/25)*AV191+(1-EXP(-LN(2)/25))/(LN(2)/25)*Calculateur!AQ192*Calculateur!AS192*VLOOKUP('Données projet'!$B$10,Paramètres!$A$1:$I$89,3,0)*0.475*44/12</f>
        <v>0.15012166697950427</v>
      </c>
      <c r="AW192" s="21">
        <f>EXP(-LN(2)/2)*AW191+(1-EXP(-LN(2)/2))/(LN(2)/2)*AQ192*AT192*VLOOKUP('Données projet'!$B$10,Paramètres!$A$1:$I$89,3,0)*0.475*44/12</f>
        <v>6.3704256183248753E-24</v>
      </c>
      <c r="AX192" s="21">
        <f t="shared" si="166"/>
        <v>0.41663175453035595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-1.0286385077051818E-13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269.19146943657933</v>
      </c>
      <c r="BJ192" s="59">
        <f t="shared" si="146"/>
        <v>185.94138814570965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3.7813078290931362E-2</v>
      </c>
      <c r="BR192" s="21">
        <f>EXP(-LN(2)/2)*BR191+(1-EXP(-LN(2)/2))/(LN(2)/2)*BL192*BO192*VLOOKUP('Données projet'!$B$11,Paramètres!$A$1:$I$89,3,0)*0.475*44/12</f>
        <v>7.2403612661426344E-24</v>
      </c>
      <c r="BS192" s="22">
        <f t="shared" si="169"/>
        <v>3.7813078290931362E-2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-1.223725121235475E-13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335.12015893291874</v>
      </c>
      <c r="CE192" s="59">
        <f t="shared" si="148"/>
        <v>224.76596283033166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4.4984524173694182E-2</v>
      </c>
      <c r="CM192" s="21">
        <f>EXP(-LN(2)/2)*CM191+(1-EXP(-LN(2)/2))/(LN(2)/2)*CG192*CJ192*VLOOKUP('Données projet'!$B$12,Paramètres!$A$1:$I$89,3,0)*0.475*44/12</f>
        <v>8.61353323041108E-24</v>
      </c>
      <c r="CN192" s="22">
        <f t="shared" si="172"/>
        <v>4.4984524173694182E-2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-1.0995790944434703E-13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293.19327646293601</v>
      </c>
      <c r="CZ192" s="59">
        <f t="shared" si="150"/>
        <v>200.0769581869605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4.0420876793754168E-2</v>
      </c>
      <c r="DH192" s="21">
        <f>EXP(-LN(2)/2)*DH191+(1-EXP(-LN(2)/2))/(LN(2)/2)*DB192*DE192*VLOOKUP('Données projet'!$B$13,Paramètres!$A$1:$I$89,3,0)*0.475*44/12</f>
        <v>7.7396965258766076E-24</v>
      </c>
      <c r="DI192" s="22">
        <f t="shared" si="175"/>
        <v>4.0420876793754168E-2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-2.7193891583010558E-13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246.59447135626942</v>
      </c>
      <c r="T193" s="59">
        <f t="shared" si="142"/>
        <v>262.00382544285367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0.15215501275779425</v>
      </c>
      <c r="AB193" s="21">
        <f>EXP(-LN(2)/2)*AB192+(1-EXP(-LN(2)/2))/(LN(2)/2)*V193*Y193*VLOOKUP('Données projet'!$B$9,Paramètres!$A$1:$I$89,3,0)*0.475*44/12</f>
        <v>1.9628466435916812E-23</v>
      </c>
      <c r="AC193" s="22">
        <f t="shared" si="163"/>
        <v>0.15215501275779425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195.73441209602686</v>
      </c>
      <c r="AO193" s="59">
        <f t="shared" si="144"/>
        <v>219.19129224309006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0.26128398728908186</v>
      </c>
      <c r="AV193" s="21">
        <f>EXP(-LN(2)/25)*AV192+(1-EXP(-LN(2)/25))/(LN(2)/25)*Calculateur!AQ193*Calculateur!AS193*VLOOKUP('Données projet'!$B$10,Paramètres!$A$1:$I$89,3,0)*0.475*44/12</f>
        <v>0.14601658210139437</v>
      </c>
      <c r="AW193" s="21">
        <f>EXP(-LN(2)/2)*AW192+(1-EXP(-LN(2)/2))/(LN(2)/2)*AQ193*AT193*VLOOKUP('Données projet'!$B$10,Paramètres!$A$1:$I$89,3,0)*0.475*44/12</f>
        <v>4.5045711537620243E-24</v>
      </c>
      <c r="AX193" s="21">
        <f t="shared" si="166"/>
        <v>0.40730056939047621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-1.0286385077051818E-13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269.19146943657933</v>
      </c>
      <c r="BJ193" s="59">
        <f t="shared" si="146"/>
        <v>185.94138814570965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3.677907767656248E-2</v>
      </c>
      <c r="BR193" s="21">
        <f>EXP(-LN(2)/2)*BR192+(1-EXP(-LN(2)/2))/(LN(2)/2)*BL193*BO193*VLOOKUP('Données projet'!$B$11,Paramètres!$A$1:$I$89,3,0)*0.475*44/12</f>
        <v>5.119708549529874E-24</v>
      </c>
      <c r="BS193" s="22">
        <f t="shared" si="169"/>
        <v>3.677907767656248E-2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-1.223725121235475E-13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335.12015893291874</v>
      </c>
      <c r="CE193" s="59">
        <f t="shared" si="148"/>
        <v>224.76596283033166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4.3754419994531203E-2</v>
      </c>
      <c r="CM193" s="21">
        <f>EXP(-LN(2)/2)*CM192+(1-EXP(-LN(2)/2))/(LN(2)/2)*CG193*CJ193*VLOOKUP('Données projet'!$B$12,Paramètres!$A$1:$I$89,3,0)*0.475*44/12</f>
        <v>6.0906877571993435E-24</v>
      </c>
      <c r="CN193" s="22">
        <f t="shared" si="172"/>
        <v>4.3754419994531203E-2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-1.0995790944434703E-13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293.19327646293601</v>
      </c>
      <c r="CZ193" s="59">
        <f t="shared" si="150"/>
        <v>200.0769581869605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3.931556579218743E-2</v>
      </c>
      <c r="DH193" s="21">
        <f>EXP(-LN(2)/2)*DH192+(1-EXP(-LN(2)/2))/(LN(2)/2)*DB193*DE193*VLOOKUP('Données projet'!$B$13,Paramètres!$A$1:$I$89,3,0)*0.475*44/12</f>
        <v>5.4727918977733126E-24</v>
      </c>
      <c r="DI193" s="22">
        <f t="shared" si="175"/>
        <v>3.931556579218743E-2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-2.7193891583010558E-13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246.59447135626942</v>
      </c>
      <c r="T194" s="59">
        <f t="shared" si="142"/>
        <v>262.00382544285367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0.14799432593244799</v>
      </c>
      <c r="AB194" s="21">
        <f>EXP(-LN(2)/2)*AB193+(1-EXP(-LN(2)/2))/(LN(2)/2)*V194*Y194*VLOOKUP('Données projet'!$B$9,Paramètres!$A$1:$I$89,3,0)*0.475*44/12</f>
        <v>1.3879421721129321E-23</v>
      </c>
      <c r="AC194" s="22">
        <f t="shared" si="163"/>
        <v>0.14799432593244799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195.73441209602686</v>
      </c>
      <c r="AO194" s="59">
        <f t="shared" si="144"/>
        <v>219.19129224309006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0.25616036766583899</v>
      </c>
      <c r="AV194" s="21">
        <f>EXP(-LN(2)/25)*AV193+(1-EXP(-LN(2)/25))/(LN(2)/25)*Calculateur!AQ194*Calculateur!AS194*VLOOKUP('Données projet'!$B$10,Paramètres!$A$1:$I$89,3,0)*0.475*44/12</f>
        <v>0.14202375098515341</v>
      </c>
      <c r="AW194" s="21">
        <f>EXP(-LN(2)/2)*AW193+(1-EXP(-LN(2)/2))/(LN(2)/2)*AQ194*AT194*VLOOKUP('Données projet'!$B$10,Paramètres!$A$1:$I$89,3,0)*0.475*44/12</f>
        <v>3.1852128091624376E-24</v>
      </c>
      <c r="AX194" s="21">
        <f t="shared" si="166"/>
        <v>0.3981841186509924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-1.0286385077051818E-13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269.19146943657933</v>
      </c>
      <c r="BJ194" s="59">
        <f t="shared" si="146"/>
        <v>185.94138814570965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3.5773351863369246E-2</v>
      </c>
      <c r="BR194" s="21">
        <f>EXP(-LN(2)/2)*BR193+(1-EXP(-LN(2)/2))/(LN(2)/2)*BL194*BO194*VLOOKUP('Données projet'!$B$11,Paramètres!$A$1:$I$89,3,0)*0.475*44/12</f>
        <v>3.6201806330713172E-24</v>
      </c>
      <c r="BS194" s="22">
        <f t="shared" si="169"/>
        <v>3.5773351863369246E-2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-1.223725121235475E-13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335.12015893291874</v>
      </c>
      <c r="CE194" s="59">
        <f t="shared" si="148"/>
        <v>224.76596283033166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4.2557953078835802E-2</v>
      </c>
      <c r="CM194" s="21">
        <f>EXP(-LN(2)/2)*CM193+(1-EXP(-LN(2)/2))/(LN(2)/2)*CG194*CJ194*VLOOKUP('Données projet'!$B$12,Paramètres!$A$1:$I$89,3,0)*0.475*44/12</f>
        <v>4.30676661520554E-24</v>
      </c>
      <c r="CN194" s="22">
        <f t="shared" si="172"/>
        <v>4.2557953078835802E-2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-1.0995790944434703E-13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293.19327646293601</v>
      </c>
      <c r="CZ194" s="59">
        <f t="shared" si="150"/>
        <v>200.0769581869605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3.8240479578084317E-2</v>
      </c>
      <c r="DH194" s="21">
        <f>EXP(-LN(2)/2)*DH193+(1-EXP(-LN(2)/2))/(LN(2)/2)*DB194*DE194*VLOOKUP('Données projet'!$B$13,Paramètres!$A$1:$I$89,3,0)*0.475*44/12</f>
        <v>3.8698482629383038E-24</v>
      </c>
      <c r="DI194" s="22">
        <f t="shared" si="175"/>
        <v>3.8240479578084317E-2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-2.7193891583010558E-13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246.59447135626942</v>
      </c>
      <c r="T195" s="59">
        <f t="shared" si="142"/>
        <v>262.00382544285367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0.14394741330714184</v>
      </c>
      <c r="AB195" s="21">
        <f>EXP(-LN(2)/2)*AB194+(1-EXP(-LN(2)/2))/(LN(2)/2)*V195*Y195*VLOOKUP('Données projet'!$B$9,Paramètres!$A$1:$I$89,3,0)*0.475*44/12</f>
        <v>9.8142332179584062E-24</v>
      </c>
      <c r="AC195" s="22">
        <f t="shared" si="163"/>
        <v>0.14394741330714184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195.73441209602686</v>
      </c>
      <c r="AO195" s="59">
        <f t="shared" si="144"/>
        <v>219.19129224309006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0.2511372190983085</v>
      </c>
      <c r="AV195" s="21">
        <f>EXP(-LN(2)/25)*AV194+(1-EXP(-LN(2)/25))/(LN(2)/25)*Calculateur!AQ195*Calculateur!AS195*VLOOKUP('Données projet'!$B$10,Paramètres!$A$1:$I$89,3,0)*0.475*44/12</f>
        <v>0.13814010404575991</v>
      </c>
      <c r="AW195" s="21">
        <f>EXP(-LN(2)/2)*AW194+(1-EXP(-LN(2)/2))/(LN(2)/2)*AQ195*AT195*VLOOKUP('Données projet'!$B$10,Paramètres!$A$1:$I$89,3,0)*0.475*44/12</f>
        <v>2.2522855768810121E-24</v>
      </c>
      <c r="AX195" s="21">
        <f t="shared" si="166"/>
        <v>0.38927732314406838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-1.0286385077051818E-13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269.19146943657933</v>
      </c>
      <c r="BJ195" s="59">
        <f t="shared" si="146"/>
        <v>185.94138814570965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3.4795127675426599E-2</v>
      </c>
      <c r="BR195" s="21">
        <f>EXP(-LN(2)/2)*BR194+(1-EXP(-LN(2)/2))/(LN(2)/2)*BL195*BO195*VLOOKUP('Données projet'!$B$11,Paramètres!$A$1:$I$89,3,0)*0.475*44/12</f>
        <v>2.559854274764937E-24</v>
      </c>
      <c r="BS195" s="22">
        <f t="shared" si="169"/>
        <v>3.4795127675426599E-2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-1.223725121235475E-13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335.12015893291874</v>
      </c>
      <c r="CE195" s="59">
        <f t="shared" si="148"/>
        <v>224.76596283033166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4.139420361386955E-2</v>
      </c>
      <c r="CM195" s="21">
        <f>EXP(-LN(2)/2)*CM194+(1-EXP(-LN(2)/2))/(LN(2)/2)*CG195*CJ195*VLOOKUP('Données projet'!$B$12,Paramètres!$A$1:$I$89,3,0)*0.475*44/12</f>
        <v>3.0453438785996717E-24</v>
      </c>
      <c r="CN195" s="22">
        <f t="shared" si="172"/>
        <v>4.139420361386955E-2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-1.0995790944434703E-13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293.19327646293601</v>
      </c>
      <c r="CZ195" s="59">
        <f t="shared" si="150"/>
        <v>200.0769581869605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3.7194791653042181E-2</v>
      </c>
      <c r="DH195" s="21">
        <f>EXP(-LN(2)/2)*DH194+(1-EXP(-LN(2)/2))/(LN(2)/2)*DB195*DE195*VLOOKUP('Données projet'!$B$13,Paramètres!$A$1:$I$89,3,0)*0.475*44/12</f>
        <v>2.7363959488866563E-24</v>
      </c>
      <c r="DI195" s="22">
        <f t="shared" si="175"/>
        <v>3.7194791653042181E-2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-2.7193891583010558E-13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246.59447135626942</v>
      </c>
      <c r="T196" s="59">
        <f t="shared" si="142"/>
        <v>262.00382544285367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0.14001116372039257</v>
      </c>
      <c r="AB196" s="21">
        <f>EXP(-LN(2)/2)*AB195+(1-EXP(-LN(2)/2))/(LN(2)/2)*V196*Y196*VLOOKUP('Données projet'!$B$9,Paramètres!$A$1:$I$89,3,0)*0.475*44/12</f>
        <v>6.9397108605646607E-24</v>
      </c>
      <c r="AC196" s="22">
        <f t="shared" si="163"/>
        <v>0.14001116372039257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195.73441209602686</v>
      </c>
      <c r="AO196" s="59">
        <f t="shared" si="144"/>
        <v>219.19129224309006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0.24621257141036917</v>
      </c>
      <c r="AV196" s="21">
        <f>EXP(-LN(2)/25)*AV195+(1-EXP(-LN(2)/25))/(LN(2)/25)*Calculateur!AQ196*Calculateur!AS196*VLOOKUP('Données projet'!$B$10,Paramètres!$A$1:$I$89,3,0)*0.475*44/12</f>
        <v>0.13436265563615626</v>
      </c>
      <c r="AW196" s="21">
        <f>EXP(-LN(2)/2)*AW195+(1-EXP(-LN(2)/2))/(LN(2)/2)*AQ196*AT196*VLOOKUP('Données projet'!$B$10,Paramètres!$A$1:$I$89,3,0)*0.475*44/12</f>
        <v>1.5926064045812188E-24</v>
      </c>
      <c r="AX196" s="21">
        <f t="shared" si="166"/>
        <v>0.38057522704652547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-1.0286385077051818E-13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269.19146943657933</v>
      </c>
      <c r="BJ196" s="59">
        <f t="shared" si="146"/>
        <v>185.94138814570965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3.3843653079345816E-2</v>
      </c>
      <c r="BR196" s="21">
        <f>EXP(-LN(2)/2)*BR195+(1-EXP(-LN(2)/2))/(LN(2)/2)*BL196*BO196*VLOOKUP('Données projet'!$B$11,Paramètres!$A$1:$I$89,3,0)*0.475*44/12</f>
        <v>1.8100903165356586E-24</v>
      </c>
      <c r="BS196" s="22">
        <f t="shared" si="169"/>
        <v>3.3843653079345816E-2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-1.223725121235475E-13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335.12015893291874</v>
      </c>
      <c r="CE196" s="59">
        <f t="shared" si="148"/>
        <v>224.76596283033166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4.0262276939221728E-2</v>
      </c>
      <c r="CM196" s="21">
        <f>EXP(-LN(2)/2)*CM195+(1-EXP(-LN(2)/2))/(LN(2)/2)*CG196*CJ196*VLOOKUP('Données projet'!$B$12,Paramètres!$A$1:$I$89,3,0)*0.475*44/12</f>
        <v>2.15338330760277E-24</v>
      </c>
      <c r="CN196" s="22">
        <f t="shared" si="172"/>
        <v>4.0262276939221728E-2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-1.0995790944434703E-13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293.19327646293601</v>
      </c>
      <c r="CZ196" s="59">
        <f t="shared" si="150"/>
        <v>200.0769581869605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3.6177698119300661E-2</v>
      </c>
      <c r="DH196" s="21">
        <f>EXP(-LN(2)/2)*DH195+(1-EXP(-LN(2)/2))/(LN(2)/2)*DB196*DE196*VLOOKUP('Données projet'!$B$13,Paramètres!$A$1:$I$89,3,0)*0.475*44/12</f>
        <v>1.9349241314691519E-24</v>
      </c>
      <c r="DI196" s="22">
        <f t="shared" si="175"/>
        <v>3.6177698119300661E-2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-2.7193891583010558E-13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246.59447135626942</v>
      </c>
      <c r="T197" s="59">
        <f t="shared" ref="T197:T203" si="204">$T$3</f>
        <v>262.00382544285367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0.13618255108559132</v>
      </c>
      <c r="AB197" s="21">
        <f>EXP(-LN(2)/2)*AB196+(1-EXP(-LN(2)/2))/(LN(2)/2)*V197*Y197*VLOOKUP('Données projet'!$B$9,Paramètres!$A$1:$I$89,3,0)*0.475*44/12</f>
        <v>4.9071166089792031E-24</v>
      </c>
      <c r="AC197" s="22">
        <f t="shared" si="163"/>
        <v>0.13618255108559132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195.73441209602686</v>
      </c>
      <c r="AO197" s="59">
        <f t="shared" ref="AO197:AO203" si="205">$AO$3</f>
        <v>219.19129224309006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0.24138449305985185</v>
      </c>
      <c r="AV197" s="21">
        <f>EXP(-LN(2)/25)*AV196+(1-EXP(-LN(2)/25))/(LN(2)/25)*Calculateur!AQ197*Calculateur!AS197*VLOOKUP('Données projet'!$B$10,Paramètres!$A$1:$I$89,3,0)*0.475*44/12</f>
        <v>0.13068850175196059</v>
      </c>
      <c r="AW197" s="21">
        <f>EXP(-LN(2)/2)*AW196+(1-EXP(-LN(2)/2))/(LN(2)/2)*AQ197*AT197*VLOOKUP('Données projet'!$B$10,Paramètres!$A$1:$I$89,3,0)*0.475*44/12</f>
        <v>1.1261427884405061E-24</v>
      </c>
      <c r="AX197" s="21">
        <f t="shared" si="166"/>
        <v>0.37207299481181244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-1.0286385077051818E-13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269.19146943657933</v>
      </c>
      <c r="BJ197" s="59">
        <f t="shared" ref="BJ197:BJ203" si="206">$BJ$3</f>
        <v>185.94138814570965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3.291819660613074E-2</v>
      </c>
      <c r="BR197" s="21">
        <f>EXP(-LN(2)/2)*BR196+(1-EXP(-LN(2)/2))/(LN(2)/2)*BL197*BO197*VLOOKUP('Données projet'!$B$11,Paramètres!$A$1:$I$89,3,0)*0.475*44/12</f>
        <v>1.2799271373824685E-24</v>
      </c>
      <c r="BS197" s="22">
        <f t="shared" si="169"/>
        <v>3.291819660613074E-2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-1.223725121235475E-13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335.12015893291874</v>
      </c>
      <c r="CE197" s="59">
        <f t="shared" ref="CE197:CE203" si="207">$CE$3</f>
        <v>224.76596283033166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3.9161302859017588E-2</v>
      </c>
      <c r="CM197" s="21">
        <f>EXP(-LN(2)/2)*CM196+(1-EXP(-LN(2)/2))/(LN(2)/2)*CG197*CJ197*VLOOKUP('Données projet'!$B$12,Paramètres!$A$1:$I$89,3,0)*0.475*44/12</f>
        <v>1.5226719392998359E-24</v>
      </c>
      <c r="CN197" s="22">
        <f t="shared" si="172"/>
        <v>3.9161302859017588E-2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-1.0995790944434703E-13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293.19327646293601</v>
      </c>
      <c r="CZ197" s="59">
        <f t="shared" ref="CZ197:CZ203" si="208">$CZ$3</f>
        <v>200.0769581869605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3.5188417061725923E-2</v>
      </c>
      <c r="DH197" s="21">
        <f>EXP(-LN(2)/2)*DH196+(1-EXP(-LN(2)/2))/(LN(2)/2)*DB197*DE197*VLOOKUP('Données projet'!$B$13,Paramètres!$A$1:$I$89,3,0)*0.475*44/12</f>
        <v>1.3681979744433281E-24</v>
      </c>
      <c r="DI197" s="22">
        <f t="shared" si="175"/>
        <v>3.5188417061725923E-2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-2.7193891583010558E-13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246.59447135626942</v>
      </c>
      <c r="T198" s="59">
        <f t="shared" si="204"/>
        <v>262.00382544285367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0.13245863206462671</v>
      </c>
      <c r="AB198" s="21">
        <f>EXP(-LN(2)/2)*AB197+(1-EXP(-LN(2)/2))/(LN(2)/2)*V198*Y198*VLOOKUP('Données projet'!$B$9,Paramètres!$A$1:$I$89,3,0)*0.475*44/12</f>
        <v>3.4698554302823304E-24</v>
      </c>
      <c r="AC198" s="22">
        <f t="shared" si="163"/>
        <v>0.13245863206462671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195.73441209602686</v>
      </c>
      <c r="AO198" s="59">
        <f t="shared" si="205"/>
        <v>219.19129224309006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0.23665109038095117</v>
      </c>
      <c r="AV198" s="21">
        <f>EXP(-LN(2)/25)*AV197+(1-EXP(-LN(2)/25))/(LN(2)/25)*Calculateur!AQ198*Calculateur!AS198*VLOOKUP('Données projet'!$B$10,Paramètres!$A$1:$I$89,3,0)*0.475*44/12</f>
        <v>0.12711481779894362</v>
      </c>
      <c r="AW198" s="21">
        <f>EXP(-LN(2)/2)*AW197+(1-EXP(-LN(2)/2))/(LN(2)/2)*AQ198*AT198*VLOOKUP('Données projet'!$B$10,Paramètres!$A$1:$I$89,3,0)*0.475*44/12</f>
        <v>7.9630320229060941E-25</v>
      </c>
      <c r="AX198" s="21">
        <f t="shared" si="166"/>
        <v>0.36376590817989479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-1.0286385077051818E-13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269.19146943657933</v>
      </c>
      <c r="BJ198" s="59">
        <f t="shared" si="206"/>
        <v>185.94138814570965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3.2018046788843374E-2</v>
      </c>
      <c r="BR198" s="21">
        <f>EXP(-LN(2)/2)*BR197+(1-EXP(-LN(2)/2))/(LN(2)/2)*BL198*BO198*VLOOKUP('Données projet'!$B$11,Paramètres!$A$1:$I$89,3,0)*0.475*44/12</f>
        <v>9.050451582678293E-25</v>
      </c>
      <c r="BS198" s="22">
        <f t="shared" si="169"/>
        <v>3.2018046788843374E-2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-1.223725121235475E-13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335.12015893291874</v>
      </c>
      <c r="CE198" s="59">
        <f t="shared" si="207"/>
        <v>224.76596283033166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3.8090434972934337E-2</v>
      </c>
      <c r="CM198" s="21">
        <f>EXP(-LN(2)/2)*CM197+(1-EXP(-LN(2)/2))/(LN(2)/2)*CG198*CJ198*VLOOKUP('Données projet'!$B$12,Paramètres!$A$1:$I$89,3,0)*0.475*44/12</f>
        <v>1.076691653801385E-24</v>
      </c>
      <c r="CN198" s="22">
        <f t="shared" si="172"/>
        <v>3.8090434972934337E-2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-1.0995790944434703E-13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293.19327646293601</v>
      </c>
      <c r="CZ198" s="59">
        <f t="shared" si="208"/>
        <v>200.0769581869605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3.4226187946694596E-2</v>
      </c>
      <c r="DH198" s="21">
        <f>EXP(-LN(2)/2)*DH197+(1-EXP(-LN(2)/2))/(LN(2)/2)*DB198*DE198*VLOOKUP('Données projet'!$B$13,Paramètres!$A$1:$I$89,3,0)*0.475*44/12</f>
        <v>9.6746206573457596E-25</v>
      </c>
      <c r="DI198" s="22">
        <f t="shared" si="175"/>
        <v>3.4226187946694596E-2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-2.7193891583010558E-13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246.59447135626942</v>
      </c>
      <c r="T199" s="59">
        <f t="shared" si="204"/>
        <v>262.00382544285367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0.12883654380512277</v>
      </c>
      <c r="AB199" s="21">
        <f>EXP(-LN(2)/2)*AB198+(1-EXP(-LN(2)/2))/(LN(2)/2)*V199*Y199*VLOOKUP('Données projet'!$B$9,Paramètres!$A$1:$I$89,3,0)*0.475*44/12</f>
        <v>2.4535583044896015E-24</v>
      </c>
      <c r="AC199" s="22">
        <f t="shared" si="163"/>
        <v>0.12883654380512277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195.73441209602686</v>
      </c>
      <c r="AO199" s="59">
        <f t="shared" si="205"/>
        <v>219.19129224309006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0.23201050684149316</v>
      </c>
      <c r="AV199" s="21">
        <f>EXP(-LN(2)/25)*AV198+(1-EXP(-LN(2)/25))/(LN(2)/25)*Calculateur!AQ199*Calculateur!AS199*VLOOKUP('Données projet'!$B$10,Paramètres!$A$1:$I$89,3,0)*0.475*44/12</f>
        <v>0.12363885642155377</v>
      </c>
      <c r="AW199" s="21">
        <f>EXP(-LN(2)/2)*AW198+(1-EXP(-LN(2)/2))/(LN(2)/2)*AQ199*AT199*VLOOKUP('Données projet'!$B$10,Paramètres!$A$1:$I$89,3,0)*0.475*44/12</f>
        <v>5.6307139422025303E-25</v>
      </c>
      <c r="AX199" s="21">
        <f t="shared" si="166"/>
        <v>0.35564936326304691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-1.0286385077051818E-13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269.19146943657933</v>
      </c>
      <c r="BJ199" s="59">
        <f t="shared" si="206"/>
        <v>185.94138814570965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3.1142511615646549E-2</v>
      </c>
      <c r="BR199" s="21">
        <f>EXP(-LN(2)/2)*BR198+(1-EXP(-LN(2)/2))/(LN(2)/2)*BL199*BO199*VLOOKUP('Données projet'!$B$11,Paramètres!$A$1:$I$89,3,0)*0.475*44/12</f>
        <v>6.3996356869123425E-25</v>
      </c>
      <c r="BS199" s="22">
        <f t="shared" si="169"/>
        <v>3.1142511615646549E-2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-1.223725121235475E-13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335.12015893291874</v>
      </c>
      <c r="CE199" s="59">
        <f t="shared" si="207"/>
        <v>224.76596283033166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3.7048850025510525E-2</v>
      </c>
      <c r="CM199" s="21">
        <f>EXP(-LN(2)/2)*CM198+(1-EXP(-LN(2)/2))/(LN(2)/2)*CG199*CJ199*VLOOKUP('Données projet'!$B$12,Paramètres!$A$1:$I$89,3,0)*0.475*44/12</f>
        <v>7.6133596964991793E-25</v>
      </c>
      <c r="CN199" s="22">
        <f t="shared" si="172"/>
        <v>3.7048850025510525E-2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-1.0995790944434703E-13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293.19327646293601</v>
      </c>
      <c r="CZ199" s="59">
        <f t="shared" si="208"/>
        <v>200.0769581869605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3.3290271037415234E-2</v>
      </c>
      <c r="DH199" s="21">
        <f>EXP(-LN(2)/2)*DH198+(1-EXP(-LN(2)/2))/(LN(2)/2)*DB199*DE199*VLOOKUP('Données projet'!$B$13,Paramètres!$A$1:$I$89,3,0)*0.475*44/12</f>
        <v>6.8409898722166407E-25</v>
      </c>
      <c r="DI199" s="22">
        <f t="shared" si="175"/>
        <v>3.3290271037415234E-2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-2.7193891583010558E-13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246.59447135626942</v>
      </c>
      <c r="T200" s="59">
        <f t="shared" si="204"/>
        <v>262.00382544285367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0.1253135017395523</v>
      </c>
      <c r="AB200" s="21">
        <f>EXP(-LN(2)/2)*AB199+(1-EXP(-LN(2)/2))/(LN(2)/2)*V200*Y200*VLOOKUP('Données projet'!$B$9,Paramètres!$A$1:$I$89,3,0)*0.475*44/12</f>
        <v>1.7349277151411652E-24</v>
      </c>
      <c r="AC200" s="22">
        <f t="shared" si="163"/>
        <v>0.1253135017395523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195.73441209602686</v>
      </c>
      <c r="AO200" s="59">
        <f t="shared" si="205"/>
        <v>219.19129224309006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0.22746092231476747</v>
      </c>
      <c r="AV200" s="21">
        <f>EXP(-LN(2)/25)*AV199+(1-EXP(-LN(2)/25))/(LN(2)/25)*Calculateur!AQ200*Calculateur!AS200*VLOOKUP('Données projet'!$B$10,Paramètres!$A$1:$I$89,3,0)*0.475*44/12</f>
        <v>0.12025794539082151</v>
      </c>
      <c r="AW200" s="21">
        <f>EXP(-LN(2)/2)*AW199+(1-EXP(-LN(2)/2))/(LN(2)/2)*AQ200*AT200*VLOOKUP('Données projet'!$B$10,Paramètres!$A$1:$I$89,3,0)*0.475*44/12</f>
        <v>3.9815160114530471E-25</v>
      </c>
      <c r="AX200" s="21">
        <f t="shared" si="166"/>
        <v>0.34771886770558896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-1.0286385077051818E-13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269.19146943657933</v>
      </c>
      <c r="BJ200" s="59">
        <f t="shared" si="206"/>
        <v>185.94138814570965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3.0290917997803184E-2</v>
      </c>
      <c r="BR200" s="21">
        <f>EXP(-LN(2)/2)*BR199+(1-EXP(-LN(2)/2))/(LN(2)/2)*BL200*BO200*VLOOKUP('Données projet'!$B$11,Paramètres!$A$1:$I$89,3,0)*0.475*44/12</f>
        <v>4.5252257913391465E-25</v>
      </c>
      <c r="BS200" s="22">
        <f t="shared" si="169"/>
        <v>3.0290917997803184E-2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-1.223725121235475E-13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335.12015893291874</v>
      </c>
      <c r="CE200" s="59">
        <f t="shared" si="207"/>
        <v>224.76596283033166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3.603574727324859E-2</v>
      </c>
      <c r="CM200" s="21">
        <f>EXP(-LN(2)/2)*CM199+(1-EXP(-LN(2)/2))/(LN(2)/2)*CG200*CJ200*VLOOKUP('Données projet'!$B$12,Paramètres!$A$1:$I$89,3,0)*0.475*44/12</f>
        <v>5.383458269006925E-25</v>
      </c>
      <c r="CN200" s="22">
        <f t="shared" si="172"/>
        <v>3.603574727324859E-2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-1.0995790944434703E-13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293.19327646293601</v>
      </c>
      <c r="CZ200" s="59">
        <f t="shared" si="208"/>
        <v>200.0769581869605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3.2379946825237843E-2</v>
      </c>
      <c r="DH200" s="21">
        <f>EXP(-LN(2)/2)*DH199+(1-EXP(-LN(2)/2))/(LN(2)/2)*DB200*DE200*VLOOKUP('Données projet'!$B$13,Paramètres!$A$1:$I$89,3,0)*0.475*44/12</f>
        <v>4.8373103286728798E-25</v>
      </c>
      <c r="DI200" s="22">
        <f t="shared" si="175"/>
        <v>3.2379946825237843E-2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-2.7193891583010558E-13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246.59447135626942</v>
      </c>
      <c r="T201" s="59">
        <f t="shared" si="204"/>
        <v>262.00382544285367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0.1218867974445336</v>
      </c>
      <c r="AB201" s="21">
        <f>EXP(-LN(2)/2)*AB200+(1-EXP(-LN(2)/2))/(LN(2)/2)*V201*Y201*VLOOKUP('Données projet'!$B$9,Paramètres!$A$1:$I$89,3,0)*0.475*44/12</f>
        <v>1.2267791522448008E-24</v>
      </c>
      <c r="AC201" s="22">
        <f t="shared" si="163"/>
        <v>0.1218867974445336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195.73441209602686</v>
      </c>
      <c r="AO201" s="59">
        <f t="shared" si="205"/>
        <v>219.19129224309006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0.22300055236563832</v>
      </c>
      <c r="AV201" s="21">
        <f>EXP(-LN(2)/25)*AV200+(1-EXP(-LN(2)/25))/(LN(2)/25)*Calculateur!AQ201*Calculateur!AS201*VLOOKUP('Données projet'!$B$10,Paramètres!$A$1:$I$89,3,0)*0.475*44/12</f>
        <v>0.116969485550019</v>
      </c>
      <c r="AW201" s="21">
        <f>EXP(-LN(2)/2)*AW200+(1-EXP(-LN(2)/2))/(LN(2)/2)*AQ201*AT201*VLOOKUP('Données projet'!$B$10,Paramètres!$A$1:$I$89,3,0)*0.475*44/12</f>
        <v>2.8153569711012652E-25</v>
      </c>
      <c r="AX201" s="21">
        <f t="shared" si="166"/>
        <v>0.33997003791565733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-1.0286385077051818E-13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269.19146943657933</v>
      </c>
      <c r="BJ201" s="59">
        <f t="shared" si="206"/>
        <v>185.94138814570965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2.946261125222311E-2</v>
      </c>
      <c r="BR201" s="21">
        <f>EXP(-LN(2)/2)*BR200+(1-EXP(-LN(2)/2))/(LN(2)/2)*BL201*BO201*VLOOKUP('Données projet'!$B$11,Paramètres!$A$1:$I$89,3,0)*0.475*44/12</f>
        <v>3.1998178434561713E-25</v>
      </c>
      <c r="BS201" s="22">
        <f t="shared" si="169"/>
        <v>2.946261125222311E-2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-1.223725121235475E-13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335.12015893291874</v>
      </c>
      <c r="CE201" s="59">
        <f t="shared" si="207"/>
        <v>224.76596283033166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3.5050347869024022E-2</v>
      </c>
      <c r="CM201" s="21">
        <f>EXP(-LN(2)/2)*CM200+(1-EXP(-LN(2)/2))/(LN(2)/2)*CG201*CJ201*VLOOKUP('Données projet'!$B$12,Paramètres!$A$1:$I$89,3,0)*0.475*44/12</f>
        <v>3.8066798482495897E-25</v>
      </c>
      <c r="CN201" s="22">
        <f t="shared" si="172"/>
        <v>3.5050347869024022E-2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-1.0995790944434703E-13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293.19327646293601</v>
      </c>
      <c r="CZ201" s="59">
        <f t="shared" si="208"/>
        <v>200.0769581869605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3.1494515476514315E-2</v>
      </c>
      <c r="DH201" s="21">
        <f>EXP(-LN(2)/2)*DH200+(1-EXP(-LN(2)/2))/(LN(2)/2)*DB201*DE201*VLOOKUP('Données projet'!$B$13,Paramètres!$A$1:$I$89,3,0)*0.475*44/12</f>
        <v>3.4204949361083204E-25</v>
      </c>
      <c r="DI201" s="22">
        <f t="shared" si="175"/>
        <v>3.1494515476514315E-2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-2.7193891583010558E-13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246.59447135626942</v>
      </c>
      <c r="T202" s="59">
        <f t="shared" si="204"/>
        <v>262.00382544285367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0.11855379655866473</v>
      </c>
      <c r="AB202" s="21">
        <f>EXP(-LN(2)/2)*AB201+(1-EXP(-LN(2)/2))/(LN(2)/2)*V202*Y202*VLOOKUP('Données projet'!$B$9,Paramètres!$A$1:$I$89,3,0)*0.475*44/12</f>
        <v>8.6746385757058259E-25</v>
      </c>
      <c r="AC202" s="22">
        <f t="shared" si="163"/>
        <v>0.11855379655866473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195.73441209602686</v>
      </c>
      <c r="AO202" s="59">
        <f t="shared" si="205"/>
        <v>219.19129224309006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0.21862764755065453</v>
      </c>
      <c r="AV202" s="21">
        <f>EXP(-LN(2)/25)*AV201+(1-EXP(-LN(2)/25))/(LN(2)/25)*Calculateur!AQ202*Calculateur!AS202*VLOOKUP('Données projet'!$B$10,Paramètres!$A$1:$I$89,3,0)*0.475*44/12</f>
        <v>0.11377094881649583</v>
      </c>
      <c r="AW202" s="21">
        <f>EXP(-LN(2)/2)*AW201+(1-EXP(-LN(2)/2))/(LN(2)/2)*AQ202*AT202*VLOOKUP('Données projet'!$B$10,Paramètres!$A$1:$I$89,3,0)*0.475*44/12</f>
        <v>1.9907580057265235E-25</v>
      </c>
      <c r="AX202" s="21">
        <f t="shared" si="166"/>
        <v>0.33239859636715036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-1.0286385077051818E-13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269.19146943657933</v>
      </c>
      <c r="BJ202" s="59">
        <f t="shared" si="206"/>
        <v>185.94138814570965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2.865695459815968E-2</v>
      </c>
      <c r="BR202" s="21">
        <f>EXP(-LN(2)/2)*BR201+(1-EXP(-LN(2)/2))/(LN(2)/2)*BL202*BO202*VLOOKUP('Données projet'!$B$11,Paramètres!$A$1:$I$89,3,0)*0.475*44/12</f>
        <v>2.2626128956695732E-25</v>
      </c>
      <c r="BS202" s="22">
        <f t="shared" si="169"/>
        <v>2.865695459815968E-2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-1.223725121235475E-13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335.12015893291874</v>
      </c>
      <c r="CE202" s="59">
        <f t="shared" si="207"/>
        <v>224.76596283033166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3.4091894263327871E-2</v>
      </c>
      <c r="CM202" s="21">
        <f>EXP(-LN(2)/2)*CM201+(1-EXP(-LN(2)/2))/(LN(2)/2)*CG202*CJ202*VLOOKUP('Données projet'!$B$12,Paramètres!$A$1:$I$89,3,0)*0.475*44/12</f>
        <v>2.6917291345034625E-25</v>
      </c>
      <c r="CN202" s="22">
        <f t="shared" si="172"/>
        <v>3.4091894263327871E-2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-1.0995790944434703E-13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293.19327646293601</v>
      </c>
      <c r="CZ202" s="59">
        <f t="shared" si="208"/>
        <v>200.0769581869605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3.0633296294584444E-2</v>
      </c>
      <c r="DH202" s="21">
        <f>EXP(-LN(2)/2)*DH201+(1-EXP(-LN(2)/2))/(LN(2)/2)*DB202*DE202*VLOOKUP('Données projet'!$B$13,Paramètres!$A$1:$I$89,3,0)*0.475*44/12</f>
        <v>2.4186551643364399E-25</v>
      </c>
      <c r="DI202" s="22">
        <f t="shared" si="175"/>
        <v>3.0633296294584444E-2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-2.7193891583010558E-13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246.59447135626942</v>
      </c>
      <c r="T203" s="59">
        <f t="shared" si="204"/>
        <v>262.00382544285367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0.11531193675729484</v>
      </c>
      <c r="AB203" s="21">
        <f>EXP(-LN(2)/2)*AB202+(1-EXP(-LN(2)/2))/(LN(2)/2)*V203*Y203*VLOOKUP('Données projet'!$B$9,Paramètres!$A$1:$I$89,3,0)*0.475*44/12</f>
        <v>6.1338957612240039E-25</v>
      </c>
      <c r="AC203" s="22">
        <f t="shared" si="163"/>
        <v>0.11531193675729484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195.73441209602686</v>
      </c>
      <c r="AO203" s="59">
        <f t="shared" si="205"/>
        <v>219.19129224309006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0.21434049273188402</v>
      </c>
      <c r="AV203" s="21">
        <f>EXP(-LN(2)/25)*AV202+(1-EXP(-LN(2)/25))/(LN(2)/25)*Calculateur!AQ203*Calculateur!AS203*VLOOKUP('Données projet'!$B$10,Paramètres!$A$1:$I$89,3,0)*0.475*44/12</f>
        <v>0.11065987623815457</v>
      </c>
      <c r="AW203" s="21">
        <f>EXP(-LN(2)/2)*AW202+(1-EXP(-LN(2)/2))/(LN(2)/2)*AQ203*AT203*VLOOKUP('Données projet'!$B$10,Paramètres!$A$1:$I$89,3,0)*0.475*44/12</f>
        <v>1.4076784855506326E-25</v>
      </c>
      <c r="AX203" s="21">
        <f t="shared" si="166"/>
        <v>0.32500036897003859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-1.0286385077051818E-13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269.19146943657933</v>
      </c>
      <c r="BJ203" s="59">
        <f t="shared" si="206"/>
        <v>185.94138814570965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2.7873328667669256E-2</v>
      </c>
      <c r="BR203" s="21">
        <f>EXP(-LN(2)/2)*BR202+(1-EXP(-LN(2)/2))/(LN(2)/2)*BL203*BO203*VLOOKUP('Données projet'!$B$11,Paramètres!$A$1:$I$89,3,0)*0.475*44/12</f>
        <v>1.5999089217280856E-25</v>
      </c>
      <c r="BS203" s="22">
        <f t="shared" si="169"/>
        <v>2.7873328667669256E-2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-1.223725121235475E-13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335.12015893291874</v>
      </c>
      <c r="CE203" s="59">
        <f t="shared" si="207"/>
        <v>224.76596283033166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3.3159649621882371E-2</v>
      </c>
      <c r="CM203" s="21">
        <f>EXP(-LN(2)/2)*CM202+(1-EXP(-LN(2)/2))/(LN(2)/2)*CG203*CJ203*VLOOKUP('Données projet'!$B$12,Paramètres!$A$1:$I$89,3,0)*0.475*44/12</f>
        <v>1.9033399241247948E-25</v>
      </c>
      <c r="CN203" s="22">
        <f t="shared" si="172"/>
        <v>3.3159649621882371E-2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-1.0995790944434703E-13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293.19327646293601</v>
      </c>
      <c r="CZ203" s="59">
        <f t="shared" si="208"/>
        <v>200.0769581869605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2.9795627196473995E-2</v>
      </c>
      <c r="DH203" s="21">
        <f>EXP(-LN(2)/2)*DH202+(1-EXP(-LN(2)/2))/(LN(2)/2)*DB203*DE203*VLOOKUP('Données projet'!$B$13,Paramètres!$A$1:$I$89,3,0)*0.475*44/12</f>
        <v>1.7102474680541602E-25</v>
      </c>
      <c r="DI203" s="22">
        <f t="shared" si="175"/>
        <v>2.9795627196473995E-2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1.2530028811664373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1.3480061545972777</v>
      </c>
      <c r="BA205" s="82">
        <f>EXP(LN('Données projet'!B88)/'Données projet'!A88)</f>
        <v>1.2054868146447177</v>
      </c>
      <c r="BV205" s="82">
        <f>EXP(LN('Données projet'!B114)/'Données projet'!A114)</f>
        <v>1.2054868146447177</v>
      </c>
      <c r="CQ205" s="82">
        <f>EXP(LN('Données projet'!B140)/'Données projet'!A140)</f>
        <v>1.2054868146447177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5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5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5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4" zoomScale="80" zoomScaleNormal="80" workbookViewId="0">
      <selection activeCell="E142" sqref="E1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6" t="s">
        <v>272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0" t="s">
        <v>315</v>
      </c>
      <c r="I4" s="260"/>
      <c r="K4" s="302" t="s">
        <v>253</v>
      </c>
      <c r="L4" s="30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-930.75886494417523</v>
      </c>
      <c r="U10" s="178">
        <f>'Données projet'!D9</f>
        <v>1.32</v>
      </c>
      <c r="V10" s="177">
        <f>U10*T10</f>
        <v>-1228.6017017263114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905.43314710961454</v>
      </c>
      <c r="U11" s="178">
        <f>'Données projet'!D10</f>
        <v>1.32</v>
      </c>
      <c r="V11" s="177">
        <f t="shared" ref="V11" si="0">U11*T11</f>
        <v>1195.1717541846913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-2231.7760201885367</v>
      </c>
      <c r="U12" s="178">
        <f>'Données projet'!D11</f>
        <v>0.68</v>
      </c>
      <c r="V12" s="177">
        <f t="shared" ref="V12:V19" si="1">U12*T12</f>
        <v>-1517.607693728205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-4356.687570024038</v>
      </c>
      <c r="U13" s="178">
        <f>'Données projet'!D12</f>
        <v>0.24</v>
      </c>
      <c r="V13" s="177">
        <f t="shared" si="1"/>
        <v>-1045.6050168057691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-7112.687570024038</v>
      </c>
      <c r="U14" s="178">
        <f>'Données projet'!D13</f>
        <v>0.24</v>
      </c>
      <c r="V14" s="177">
        <f t="shared" si="1"/>
        <v>-1707.0450168057691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5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0.2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5"/>
      <c r="H16" s="190"/>
      <c r="I16" s="191"/>
      <c r="J16" s="202"/>
      <c r="K16" s="208"/>
      <c r="L16" s="302" t="s">
        <v>254</v>
      </c>
      <c r="M16" s="303"/>
      <c r="N16" s="2">
        <v>62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1939</v>
      </c>
      <c r="F17" s="230"/>
      <c r="G17" s="305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62.000000000000064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5"/>
      <c r="J18" s="202"/>
      <c r="K18" s="208"/>
      <c r="L18" s="262" t="s">
        <v>255</v>
      </c>
      <c r="M18" s="264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5"/>
      <c r="H19" s="212" t="s">
        <v>178</v>
      </c>
      <c r="I19" s="212" t="s">
        <v>287</v>
      </c>
      <c r="J19" s="93"/>
      <c r="K19" s="173"/>
      <c r="L19" s="302" t="s">
        <v>288</v>
      </c>
      <c r="M19" s="303"/>
      <c r="N19" s="179">
        <f>N17*N18</f>
        <v>1860.0000000000018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5"/>
      <c r="H20" s="190">
        <v>0</v>
      </c>
      <c r="I20" s="191">
        <v>4460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57"/>
      <c r="H21" s="190">
        <v>0</v>
      </c>
      <c r="I21" s="191">
        <v>7875</v>
      </c>
      <c r="J21" s="258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v>420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3</v>
      </c>
      <c r="C23" s="193"/>
      <c r="D23" s="182">
        <f>B23*C23</f>
        <v>0</v>
      </c>
      <c r="E23" s="193"/>
      <c r="F23" s="230"/>
      <c r="H23" s="190">
        <v>3</v>
      </c>
      <c r="I23" s="191">
        <v>445</v>
      </c>
      <c r="K23" s="208"/>
      <c r="L23" s="304" t="s">
        <v>260</v>
      </c>
      <c r="M23" s="304"/>
      <c r="N23" s="304"/>
      <c r="O23" s="23"/>
      <c r="P23" s="23"/>
      <c r="Q23" s="234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-58322.968904098729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70</v>
      </c>
      <c r="C24" s="193">
        <v>8</v>
      </c>
      <c r="D24" s="182">
        <f t="shared" ref="D24:D42" si="2">B24*C24</f>
        <v>560</v>
      </c>
      <c r="E24" s="193"/>
      <c r="F24" s="233"/>
      <c r="H24" s="190">
        <v>5</v>
      </c>
      <c r="I24" s="191">
        <v>471</v>
      </c>
      <c r="K24" s="208"/>
      <c r="O24" s="23"/>
      <c r="P24" s="23"/>
      <c r="Q24" s="234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485.69421177052277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70</v>
      </c>
      <c r="C25" s="193">
        <v>8</v>
      </c>
      <c r="D25" s="182">
        <f t="shared" si="2"/>
        <v>560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1">
        <f ca="1">T23-T24</f>
        <v>-58808.663115869254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70</v>
      </c>
      <c r="C26" s="193">
        <v>15</v>
      </c>
      <c r="D26" s="182">
        <f t="shared" si="2"/>
        <v>1050</v>
      </c>
      <c r="E26" s="193"/>
      <c r="F26" s="233"/>
      <c r="G26" s="229"/>
      <c r="H26" s="190"/>
      <c r="I26" s="191"/>
      <c r="K26" s="208"/>
      <c r="L26" s="288" t="s">
        <v>258</v>
      </c>
      <c r="M26" s="289"/>
      <c r="N26" s="289"/>
      <c r="O26" s="289"/>
      <c r="P26" s="290"/>
      <c r="Q26" s="234"/>
      <c r="R26" s="23"/>
      <c r="S26" s="186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57</v>
      </c>
      <c r="C27" s="193">
        <v>22</v>
      </c>
      <c r="D27" s="182">
        <f t="shared" si="2"/>
        <v>1254</v>
      </c>
      <c r="E27" s="193"/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44</v>
      </c>
      <c r="C28" s="193">
        <v>32</v>
      </c>
      <c r="D28" s="182">
        <f t="shared" si="2"/>
        <v>1408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450</v>
      </c>
      <c r="C29" s="193">
        <v>37</v>
      </c>
      <c r="D29" s="182">
        <f t="shared" si="2"/>
        <v>16650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1955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12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16</v>
      </c>
      <c r="B55" s="181">
        <f>'Données projet'!D63</f>
        <v>15</v>
      </c>
      <c r="C55" s="191">
        <v>15</v>
      </c>
      <c r="D55" s="179">
        <f t="shared" ref="D55:D73" si="4">B55*C55</f>
        <v>225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22</v>
      </c>
      <c r="C56" s="191">
        <v>22</v>
      </c>
      <c r="D56" s="179">
        <f t="shared" si="4"/>
        <v>484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24</v>
      </c>
      <c r="B57" s="181">
        <f>'Données projet'!D65</f>
        <v>31</v>
      </c>
      <c r="C57" s="191">
        <v>30</v>
      </c>
      <c r="D57" s="179">
        <f t="shared" si="4"/>
        <v>930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28</v>
      </c>
      <c r="B58" s="181">
        <f>'Données projet'!D66</f>
        <v>35</v>
      </c>
      <c r="C58" s="191">
        <v>37</v>
      </c>
      <c r="D58" s="179">
        <f t="shared" si="4"/>
        <v>1295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34</v>
      </c>
      <c r="B59" s="181">
        <f>'Données projet'!D67</f>
        <v>46</v>
      </c>
      <c r="C59" s="191">
        <v>41</v>
      </c>
      <c r="D59" s="179">
        <f t="shared" si="4"/>
        <v>1886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41</v>
      </c>
      <c r="C60" s="191">
        <v>45</v>
      </c>
      <c r="D60" s="179">
        <f t="shared" si="4"/>
        <v>1845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46</v>
      </c>
      <c r="B61" s="181">
        <f>'Données projet'!D69</f>
        <v>29</v>
      </c>
      <c r="C61" s="191">
        <v>47</v>
      </c>
      <c r="D61" s="179">
        <f t="shared" si="4"/>
        <v>1363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54</v>
      </c>
      <c r="B62" s="181">
        <f>'Données projet'!D70</f>
        <v>16</v>
      </c>
      <c r="C62" s="191">
        <v>47</v>
      </c>
      <c r="D62" s="179">
        <f t="shared" si="4"/>
        <v>752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62</v>
      </c>
      <c r="B63" s="181">
        <f>'Données projet'!D71</f>
        <v>316</v>
      </c>
      <c r="C63" s="191">
        <v>47</v>
      </c>
      <c r="D63" s="179">
        <f t="shared" si="4"/>
        <v>14852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3440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>
        <v>10</v>
      </c>
      <c r="D86" s="179">
        <f t="shared" ref="D86:D104" si="6">B86*C86</f>
        <v>290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>
        <v>17</v>
      </c>
      <c r="D87" s="179">
        <f t="shared" si="6"/>
        <v>714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>
        <v>25</v>
      </c>
      <c r="D88" s="179">
        <f t="shared" si="6"/>
        <v>1050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>
        <v>35</v>
      </c>
      <c r="D89" s="179">
        <f t="shared" si="6"/>
        <v>1470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>
        <v>50</v>
      </c>
      <c r="D90" s="179">
        <f t="shared" si="6"/>
        <v>2100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>
        <v>70</v>
      </c>
      <c r="D91" s="179">
        <f t="shared" si="6"/>
        <v>2940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>
        <v>100</v>
      </c>
      <c r="D92" s="179">
        <f t="shared" si="6"/>
        <v>4200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>
        <v>150</v>
      </c>
      <c r="D93" s="179">
        <f t="shared" si="6"/>
        <v>6300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>
        <v>200</v>
      </c>
      <c r="D94" s="179">
        <f t="shared" si="6"/>
        <v>7800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303</v>
      </c>
      <c r="C95" s="191">
        <v>250</v>
      </c>
      <c r="D95" s="179">
        <f t="shared" si="6"/>
        <v>75750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5420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29</v>
      </c>
      <c r="C117" s="191">
        <v>15</v>
      </c>
      <c r="D117" s="179">
        <f t="shared" ref="D117:D135" si="8">B117*C117</f>
        <v>435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>
        <v>22</v>
      </c>
      <c r="D118" s="179">
        <f t="shared" si="8"/>
        <v>924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42</v>
      </c>
      <c r="C119" s="191">
        <v>22</v>
      </c>
      <c r="D119" s="179">
        <f t="shared" si="8"/>
        <v>924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42</v>
      </c>
      <c r="C120" s="191">
        <v>22</v>
      </c>
      <c r="D120" s="179">
        <f t="shared" si="8"/>
        <v>924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42</v>
      </c>
      <c r="C121" s="191">
        <v>40</v>
      </c>
      <c r="D121" s="179">
        <f t="shared" si="8"/>
        <v>1680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42</v>
      </c>
      <c r="C122" s="191">
        <v>80</v>
      </c>
      <c r="D122" s="179">
        <f t="shared" si="8"/>
        <v>3360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42</v>
      </c>
      <c r="C123" s="191">
        <v>90</v>
      </c>
      <c r="D123" s="179">
        <f t="shared" si="8"/>
        <v>3780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42</v>
      </c>
      <c r="C124" s="191">
        <v>100</v>
      </c>
      <c r="D124" s="179">
        <f t="shared" si="8"/>
        <v>4200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39</v>
      </c>
      <c r="C125" s="191">
        <v>140</v>
      </c>
      <c r="D125" s="179">
        <f t="shared" si="8"/>
        <v>5460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303</v>
      </c>
      <c r="C126" s="191">
        <v>180</v>
      </c>
      <c r="D126" s="179">
        <f t="shared" si="8"/>
        <v>54540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8176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29</v>
      </c>
      <c r="C148" s="191">
        <v>15</v>
      </c>
      <c r="D148" s="182">
        <f t="shared" ref="D148:D166" si="10">B148*C148</f>
        <v>435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42</v>
      </c>
      <c r="C149" s="191">
        <v>22</v>
      </c>
      <c r="D149" s="182">
        <f t="shared" si="10"/>
        <v>924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42</v>
      </c>
      <c r="C150" s="191">
        <v>22</v>
      </c>
      <c r="D150" s="182">
        <f t="shared" si="10"/>
        <v>924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42</v>
      </c>
      <c r="C151" s="191">
        <v>22</v>
      </c>
      <c r="D151" s="182">
        <f t="shared" si="10"/>
        <v>924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42</v>
      </c>
      <c r="C152" s="191">
        <v>40</v>
      </c>
      <c r="D152" s="182">
        <f t="shared" si="10"/>
        <v>1680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42</v>
      </c>
      <c r="C153" s="191">
        <v>80</v>
      </c>
      <c r="D153" s="182">
        <f t="shared" si="10"/>
        <v>3360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42</v>
      </c>
      <c r="C154" s="191">
        <v>90</v>
      </c>
      <c r="D154" s="182">
        <f t="shared" si="10"/>
        <v>3780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42</v>
      </c>
      <c r="C155" s="191">
        <v>100</v>
      </c>
      <c r="D155" s="182">
        <f t="shared" si="10"/>
        <v>4200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39</v>
      </c>
      <c r="C156" s="191">
        <v>140</v>
      </c>
      <c r="D156" s="182">
        <f t="shared" si="10"/>
        <v>5460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303</v>
      </c>
      <c r="C157" s="191">
        <v>180</v>
      </c>
      <c r="D157" s="182">
        <f t="shared" si="10"/>
        <v>54540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188*1.12</f>
        <v>210.56000000000003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v>8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v>15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v>22</v>
      </c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v>22</v>
      </c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v>22</v>
      </c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v>30</v>
      </c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v>40</v>
      </c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v>50</v>
      </c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v>60</v>
      </c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v>70</v>
      </c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v>80</v>
      </c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2024-07-24T13:58:35Z</dcterms:modified>
</cp:coreProperties>
</file>