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tsforestierecdc.sharepoint.com/sites/S2F/Shared Documents/06_Label Bas Carbone/06_Projets/SMAPP/Maubuisson_B2/"/>
    </mc:Choice>
  </mc:AlternateContent>
  <xr:revisionPtr revIDLastSave="230" documentId="13_ncr:1_{02564279-AA6F-4CC2-9E51-DC54DF667DB3}" xr6:coauthVersionLast="47" xr6:coauthVersionMax="47" xr10:uidLastSave="{BABE2B8E-C3B7-4832-B7B2-F35C98E3B369}"/>
  <bookViews>
    <workbookView xWindow="22932" yWindow="3372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2" i="1" l="1"/>
  <c r="D94" i="1" l="1"/>
  <c r="B94" i="1"/>
  <c r="D93" i="1"/>
  <c r="D92" i="1"/>
  <c r="D91" i="1"/>
  <c r="D90" i="1"/>
  <c r="D89" i="1"/>
  <c r="D88" i="1"/>
  <c r="B72" i="1"/>
  <c r="D72" i="1" s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46" i="1"/>
  <c r="D46" i="1" s="1"/>
  <c r="D45" i="1"/>
  <c r="B45" i="1"/>
  <c r="D44" i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EA4" i="2"/>
  <c r="BQ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EC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H20" i="2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Q35" i="2"/>
  <c r="EB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G38" i="2"/>
  <c r="HI38" i="2"/>
  <c r="EW38" i="2"/>
  <c r="EA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C44" i="2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HI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I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A75" i="2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HI85" i="2"/>
  <c r="EC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B112" i="2"/>
  <c r="EC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C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HH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FS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HG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EA146" i="2"/>
  <c r="HG146" i="2"/>
  <c r="FS146" i="2"/>
  <c r="HI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I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HH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AC154" i="2"/>
  <c r="HG155" i="2"/>
  <c r="HH155" i="2"/>
  <c r="EY154" i="2"/>
  <c r="EX155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AB156" i="2"/>
  <c r="EX156" i="2"/>
  <c r="HI156" i="2"/>
  <c r="FS156" i="2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HG157" i="2"/>
  <c r="EX157" i="2"/>
  <c r="EA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D157" i="2"/>
  <c r="EV158" i="2"/>
  <c r="EC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ED159" i="2"/>
  <c r="HG160" i="2"/>
  <c r="FS160" i="2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HH161" i="2"/>
  <c r="HG161" i="2"/>
  <c r="EX161" i="2"/>
  <c r="EB161" i="2"/>
  <c r="ED160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Y162" i="2"/>
  <c r="HG163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H164" i="2"/>
  <c r="HG164" i="2"/>
  <c r="EY163" i="2"/>
  <c r="FR164" i="2"/>
  <c r="EX164" i="2"/>
  <c r="DI163" i="2"/>
  <c r="EA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HH165" i="2"/>
  <c r="HG165" i="2"/>
  <c r="EX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EY166" i="2"/>
  <c r="HJ166" i="2"/>
  <c r="FR167" i="2"/>
  <c r="EX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EW168" i="2"/>
  <c r="HH168" i="2"/>
  <c r="EV168" i="2"/>
  <c r="EB168" i="2"/>
  <c r="DI167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D171" i="2"/>
  <c r="HI172" i="2"/>
  <c r="EA172" i="2"/>
  <c r="EY171" i="2"/>
  <c r="EW172" i="2"/>
  <c r="HG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J172" i="2"/>
  <c r="HH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HI175" i="2"/>
  <c r="EB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EW177" i="2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H178" i="2"/>
  <c r="FQ178" i="2"/>
  <c r="EW178" i="2"/>
  <c r="FS178" i="2"/>
  <c r="EA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A179" i="2"/>
  <c r="ED178" i="2"/>
  <c r="EB179" i="2"/>
  <c r="EV179" i="2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Y184" i="2"/>
  <c r="ED184" i="2"/>
  <c r="EW185" i="2"/>
  <c r="EB185" i="2"/>
  <c r="EA185" i="2"/>
  <c r="EV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EA186" i="2"/>
  <c r="HH186" i="2"/>
  <c r="HG186" i="2"/>
  <c r="FS186" i="2"/>
  <c r="FR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G190" i="2"/>
  <c r="EY189" i="2"/>
  <c r="EB190" i="2"/>
  <c r="HJ189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D190" i="2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Y191" i="2"/>
  <c r="EC192" i="2"/>
  <c r="EW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HI193" i="2"/>
  <c r="EY192" i="2"/>
  <c r="FQ193" i="2"/>
  <c r="EB193" i="2"/>
  <c r="DI192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HI194" i="2"/>
  <c r="ED193" i="2"/>
  <c r="EB194" i="2"/>
  <c r="CN193" i="2"/>
  <c r="HG194" i="2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B195" i="2"/>
  <c r="EA195" i="2"/>
  <c r="HI195" i="2"/>
  <c r="HG195" i="2"/>
  <c r="FQ195" i="2"/>
  <c r="EX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FS197" i="2"/>
  <c r="EY196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EV199" i="2"/>
  <c r="EY198" i="2"/>
  <c r="EB199" i="2"/>
  <c r="EW199" i="2"/>
  <c r="HH199" i="2"/>
  <c r="HG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EB201" i="2"/>
  <c r="EY200" i="2"/>
  <c r="ED200" i="2"/>
  <c r="DI200" i="2"/>
  <c r="HJ200" i="2"/>
  <c r="HH201" i="2"/>
  <c r="HG201" i="2"/>
  <c r="FS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I202" i="2"/>
  <c r="HG202" i="2"/>
  <c r="EW202" i="2"/>
  <c r="EX202" i="2"/>
  <c r="HH202" i="2"/>
  <c r="FZ6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22" i="2" a="1"/>
  <c r="FY22" i="2" s="1"/>
  <c r="FY32" i="2" a="1"/>
  <c r="FY32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47" i="2" a="1"/>
  <c r="BC47" i="2" s="1"/>
  <c r="BC65" i="2" a="1"/>
  <c r="BC6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15" i="2" a="1"/>
  <c r="DN115" i="2" s="1"/>
  <c r="CS116" i="2" a="1"/>
  <c r="CS116" i="2" s="1"/>
  <c r="EI195" i="2" a="1"/>
  <c r="EI195" i="2" s="1"/>
  <c r="CS137" i="2" a="1"/>
  <c r="CS137" i="2" s="1"/>
  <c r="AH151" i="2" a="1"/>
  <c r="AH151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164" i="2" a="1"/>
  <c r="BC164" i="2" s="1"/>
  <c r="BC84" i="2" a="1"/>
  <c r="BC84" i="2" s="1"/>
  <c r="BC31" i="2" a="1"/>
  <c r="BC31" i="2" s="1"/>
  <c r="BC151" i="2" a="1"/>
  <c r="BC151" i="2" s="1"/>
  <c r="BC83" i="2" a="1"/>
  <c r="BC83" i="2" s="1"/>
  <c r="BC18" i="2" a="1"/>
  <c r="BC18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CS56" i="2" a="1"/>
  <c r="CS56" i="2" s="1"/>
  <c r="CS114" i="2" a="1"/>
  <c r="CS114" i="2" s="1"/>
  <c r="DN135" i="2" a="1"/>
  <c r="DN135" i="2" s="1"/>
  <c r="DN6" i="2" a="1"/>
  <c r="DN6" i="2" s="1"/>
  <c r="DO6" i="2" s="1"/>
  <c r="DN46" i="2" a="1"/>
  <c r="DN46" i="2" s="1"/>
  <c r="DN30" i="2" a="1"/>
  <c r="DN30" i="2" s="1"/>
  <c r="CS24" i="2" a="1"/>
  <c r="CS24" i="2" s="1"/>
  <c r="CS134" i="2" a="1"/>
  <c r="CS134" i="2" s="1"/>
  <c r="CS72" i="2" a="1"/>
  <c r="CS72" i="2" s="1"/>
  <c r="FD82" i="2" a="1"/>
  <c r="FD82" i="2" s="1"/>
  <c r="DN187" i="2" a="1"/>
  <c r="DN187" i="2" s="1"/>
  <c r="HJ202" i="2"/>
  <c r="AX200" i="2"/>
  <c r="BX107" i="2" l="1" a="1"/>
  <c r="BX107" i="2" s="1"/>
  <c r="DN38" i="2" a="1"/>
  <c r="DN38" i="2" s="1"/>
  <c r="DN113" i="2" a="1"/>
  <c r="DN113" i="2" s="1"/>
  <c r="DN176" i="2" a="1"/>
  <c r="DN176" i="2" s="1"/>
  <c r="DN152" i="2" a="1"/>
  <c r="DN152" i="2" s="1"/>
  <c r="DN65" i="2" a="1"/>
  <c r="DN65" i="2" s="1"/>
  <c r="DN137" i="2" a="1"/>
  <c r="DN137" i="2" s="1"/>
  <c r="DN70" i="2" a="1"/>
  <c r="DN70" i="2" s="1"/>
  <c r="DN55" i="2" a="1"/>
  <c r="DN55" i="2" s="1"/>
  <c r="DN132" i="2" a="1"/>
  <c r="DN132" i="2" s="1"/>
  <c r="DN110" i="2" a="1"/>
  <c r="DN110" i="2" s="1"/>
  <c r="DN167" i="2" a="1"/>
  <c r="DN167" i="2" s="1"/>
  <c r="DN188" i="2" a="1"/>
  <c r="DN188" i="2" s="1"/>
  <c r="DN25" i="2" a="1"/>
  <c r="DN25" i="2" s="1"/>
  <c r="DN86" i="2" a="1"/>
  <c r="DN86" i="2" s="1"/>
  <c r="DN31" i="2" a="1"/>
  <c r="DN31" i="2" s="1"/>
  <c r="DN123" i="2" a="1"/>
  <c r="DN123" i="2" s="1"/>
  <c r="DN177" i="2" a="1"/>
  <c r="DN177" i="2" s="1"/>
  <c r="DN184" i="2" a="1"/>
  <c r="DN184" i="2" s="1"/>
  <c r="DN124" i="2" a="1"/>
  <c r="DN124" i="2" s="1"/>
  <c r="DN45" i="2" a="1"/>
  <c r="DN45" i="2" s="1"/>
  <c r="DN190" i="2" a="1"/>
  <c r="DN190" i="2" s="1"/>
  <c r="DN16" i="2" a="1"/>
  <c r="DN16" i="2" s="1"/>
  <c r="DN80" i="2" a="1"/>
  <c r="DN80" i="2" s="1"/>
  <c r="DN153" i="2" a="1"/>
  <c r="DN153" i="2" s="1"/>
  <c r="DN29" i="2" a="1"/>
  <c r="DN29" i="2" s="1"/>
  <c r="DN133" i="2" a="1"/>
  <c r="DN133" i="2" s="1"/>
  <c r="DN162" i="2" a="1"/>
  <c r="DN162" i="2" s="1"/>
  <c r="DN150" i="2" a="1"/>
  <c r="DN150" i="2" s="1"/>
  <c r="DN170" i="2" a="1"/>
  <c r="DN170" i="2" s="1"/>
  <c r="DN41" i="2" a="1"/>
  <c r="DN41" i="2" s="1"/>
  <c r="DN155" i="2" a="1"/>
  <c r="DN155" i="2" s="1"/>
  <c r="DN56" i="2" a="1"/>
  <c r="DN56" i="2" s="1"/>
  <c r="DN49" i="2" a="1"/>
  <c r="DN49" i="2" s="1"/>
  <c r="DN168" i="2" a="1"/>
  <c r="DN168" i="2" s="1"/>
  <c r="DN114" i="2" a="1"/>
  <c r="DN114" i="2" s="1"/>
  <c r="DN192" i="2" a="1"/>
  <c r="DN192" i="2" s="1"/>
  <c r="DN129" i="2" a="1"/>
  <c r="DN129" i="2" s="1"/>
  <c r="DN43" i="2" a="1"/>
  <c r="DN43" i="2" s="1"/>
  <c r="DN164" i="2" a="1"/>
  <c r="DN164" i="2" s="1"/>
  <c r="DN63" i="2" a="1"/>
  <c r="DN63" i="2" s="1"/>
  <c r="DN103" i="2" a="1"/>
  <c r="DN103" i="2" s="1"/>
  <c r="DN66" i="2" a="1"/>
  <c r="DN66" i="2" s="1"/>
  <c r="DN50" i="2" a="1"/>
  <c r="DN50" i="2" s="1"/>
  <c r="DN186" i="2" a="1"/>
  <c r="DN186" i="2" s="1"/>
  <c r="BC114" i="2" a="1"/>
  <c r="BC114" i="2" s="1"/>
  <c r="BC38" i="2" a="1"/>
  <c r="BC38" i="2" s="1"/>
  <c r="BC32" i="2" a="1"/>
  <c r="BC32" i="2" s="1"/>
  <c r="BC126" i="2" a="1"/>
  <c r="BC126" i="2" s="1"/>
  <c r="BC82" i="2" a="1"/>
  <c r="BC82" i="2" s="1"/>
  <c r="BC7" i="2" a="1"/>
  <c r="BC7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55" i="2" a="1"/>
  <c r="BC55" i="2" s="1"/>
  <c r="BC143" i="2" a="1"/>
  <c r="BC143" i="2" s="1"/>
  <c r="BC181" i="2" a="1"/>
  <c r="BC181" i="2" s="1"/>
  <c r="BC34" i="2" a="1"/>
  <c r="BC34" i="2" s="1"/>
  <c r="FY165" i="2" a="1"/>
  <c r="FY165" i="2" s="1"/>
  <c r="FY146" i="2" a="1"/>
  <c r="FY146" i="2" s="1"/>
  <c r="FY109" i="2" a="1"/>
  <c r="FY109" i="2" s="1"/>
  <c r="FY79" i="2" a="1"/>
  <c r="FY79" i="2" s="1"/>
  <c r="FY90" i="2" a="1"/>
  <c r="FY90" i="2" s="1"/>
  <c r="FY57" i="2" a="1"/>
  <c r="FY57" i="2" s="1"/>
  <c r="FY54" i="2" a="1"/>
  <c r="FY54" i="2" s="1"/>
  <c r="HG203" i="2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DI203" i="2"/>
  <c r="EY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5" i="2" l="1"/>
  <c r="CY24" i="2"/>
  <c r="CY190" i="2"/>
  <c r="CY33" i="2"/>
  <c r="CY108" i="2"/>
  <c r="CY203" i="2"/>
  <c r="CY72" i="2"/>
  <c r="CY104" i="2"/>
  <c r="CY166" i="2"/>
  <c r="CY78" i="2"/>
  <c r="CY63" i="2"/>
  <c r="CY140" i="2"/>
  <c r="CY138" i="2"/>
  <c r="CY99" i="2"/>
  <c r="CY54" i="2"/>
  <c r="CY37" i="2"/>
  <c r="CY142" i="2"/>
  <c r="CY110" i="2"/>
  <c r="CY181" i="2"/>
  <c r="CY4" i="2"/>
  <c r="CY65" i="2"/>
  <c r="CY116" i="2"/>
  <c r="CY22" i="2"/>
  <c r="CY122" i="2"/>
  <c r="CY185" i="2"/>
  <c r="CY124" i="2"/>
  <c r="CY109" i="2"/>
  <c r="CY151" i="2"/>
  <c r="CY107" i="2"/>
  <c r="CY200" i="2"/>
  <c r="CY64" i="2"/>
  <c r="CY169" i="2"/>
  <c r="CY18" i="2"/>
  <c r="CY191" i="2"/>
  <c r="CY180" i="2"/>
  <c r="CY143" i="2"/>
  <c r="CY84" i="2"/>
  <c r="CY132" i="2"/>
  <c r="CY133" i="2"/>
  <c r="CY53" i="2"/>
  <c r="CY92" i="2"/>
  <c r="CY125" i="2"/>
  <c r="CY45" i="2"/>
  <c r="CY16" i="2"/>
  <c r="CY201" i="2"/>
  <c r="CY86" i="2"/>
  <c r="CY57" i="2"/>
  <c r="CY74" i="2"/>
  <c r="CY12" i="2"/>
  <c r="CY126" i="2"/>
  <c r="CY156" i="2"/>
  <c r="CY61" i="2"/>
  <c r="CY186" i="2"/>
  <c r="CY136" i="2"/>
  <c r="CY106" i="2"/>
  <c r="CY89" i="2"/>
  <c r="CY13" i="2"/>
  <c r="CY10" i="2"/>
  <c r="CY85" i="2"/>
  <c r="CY90" i="2"/>
  <c r="CY105" i="2"/>
  <c r="CY194" i="2"/>
  <c r="CY193" i="2"/>
  <c r="CY113" i="2"/>
  <c r="CY176" i="2"/>
  <c r="CY59" i="2"/>
  <c r="CY155" i="2"/>
  <c r="CY197" i="2"/>
  <c r="CY81" i="2"/>
  <c r="CY8" i="2"/>
  <c r="CY29" i="2"/>
  <c r="CY135" i="2"/>
  <c r="CY75" i="2"/>
  <c r="CY192" i="2"/>
  <c r="CY150" i="2"/>
  <c r="CY187" i="2"/>
  <c r="CY49" i="2"/>
  <c r="CY88" i="2"/>
  <c r="CY87" i="2"/>
  <c r="CY157" i="2"/>
  <c r="CY91" i="2"/>
  <c r="CY98" i="2"/>
  <c r="CY178" i="2"/>
  <c r="CY71" i="2"/>
  <c r="CY146" i="2"/>
  <c r="CY67" i="2"/>
  <c r="CY134" i="2"/>
  <c r="CY23" i="2"/>
  <c r="CY158" i="2"/>
  <c r="CY183" i="2"/>
  <c r="CY153" i="2"/>
  <c r="CY202" i="2"/>
  <c r="CY149" i="2"/>
  <c r="CY42" i="2"/>
  <c r="CY93" i="2"/>
  <c r="CY68" i="2"/>
  <c r="CY141" i="2"/>
  <c r="CY161" i="2"/>
  <c r="CY55" i="2"/>
  <c r="CY46" i="2"/>
  <c r="CY123" i="2"/>
  <c r="CY131" i="2"/>
  <c r="CY30" i="2"/>
  <c r="CY35" i="2"/>
  <c r="CY174" i="2"/>
  <c r="CY31" i="2"/>
  <c r="CY130" i="2"/>
  <c r="CY96" i="2"/>
  <c r="CY112" i="2"/>
  <c r="CY175" i="2"/>
  <c r="CY94" i="2"/>
  <c r="CY167" i="2"/>
  <c r="CY34" i="2"/>
  <c r="CY101" i="2"/>
  <c r="CY177" i="2"/>
  <c r="CY83" i="2"/>
  <c r="CY70" i="2"/>
  <c r="CY159" i="2"/>
  <c r="CY154" i="2"/>
  <c r="CY6" i="2"/>
  <c r="CY148" i="2"/>
  <c r="CY82" i="2"/>
  <c r="CY128" i="2"/>
  <c r="CY28" i="2"/>
  <c r="CY73" i="2"/>
  <c r="CY118" i="2"/>
  <c r="CY195" i="2"/>
  <c r="CY163" i="2"/>
  <c r="CY60" i="2"/>
  <c r="CY5" i="2"/>
  <c r="CY198" i="2"/>
  <c r="CY164" i="2"/>
  <c r="CY103" i="2"/>
  <c r="CY196" i="2"/>
  <c r="CY7" i="2"/>
  <c r="CY188" i="2"/>
  <c r="CY3" i="2"/>
  <c r="C10" i="4" s="1"/>
  <c r="E10" i="4" s="1"/>
  <c r="F10" i="4" s="1"/>
  <c r="G10" i="4" s="1"/>
  <c r="L10" i="4" s="1"/>
  <c r="CY20" i="2"/>
  <c r="CY102" i="2"/>
  <c r="CY162" i="2"/>
  <c r="CY189" i="2"/>
  <c r="CY120" i="2"/>
  <c r="CY121" i="2"/>
  <c r="CY9" i="2"/>
  <c r="CY111" i="2"/>
  <c r="CY144" i="2"/>
  <c r="CY47" i="2"/>
  <c r="CY173" i="2"/>
  <c r="CY44" i="2"/>
  <c r="CY182" i="2"/>
  <c r="CY171" i="2"/>
  <c r="CY119" i="2"/>
  <c r="CY145" i="2"/>
  <c r="CY199" i="2"/>
  <c r="CY79" i="2"/>
  <c r="CY129" i="2"/>
  <c r="CY80" i="2"/>
  <c r="CY179" i="2"/>
  <c r="CY62" i="2"/>
  <c r="CY50" i="2"/>
  <c r="CY21" i="2"/>
  <c r="CY36" i="2"/>
  <c r="CY137" i="2"/>
  <c r="CY48" i="2"/>
  <c r="CY147" i="2"/>
  <c r="CY19" i="2"/>
  <c r="CY168" i="2"/>
  <c r="CY170" i="2"/>
  <c r="CY32" i="2"/>
  <c r="CY117" i="2"/>
  <c r="CY14" i="2"/>
  <c r="CY41" i="2"/>
  <c r="CY152" i="2"/>
  <c r="CY51" i="2"/>
  <c r="CY43" i="2"/>
  <c r="CY40" i="2"/>
  <c r="CY66" i="2"/>
  <c r="CY139" i="2"/>
  <c r="CY115" i="2"/>
  <c r="CY58" i="2"/>
  <c r="CY56" i="2"/>
  <c r="CY100" i="2"/>
  <c r="CY127" i="2"/>
  <c r="CY38" i="2"/>
  <c r="CY172" i="2"/>
  <c r="CY77" i="2"/>
  <c r="CY165" i="2"/>
  <c r="CY69" i="2"/>
  <c r="CY95" i="2"/>
  <c r="CY160" i="2"/>
  <c r="CY11" i="2"/>
  <c r="CY97" i="2"/>
  <c r="CY52" i="2"/>
  <c r="CY114" i="2"/>
  <c r="CY184" i="2"/>
  <c r="CY26" i="2"/>
  <c r="CY76" i="2"/>
  <c r="CY15" i="2"/>
  <c r="CY17" i="2"/>
  <c r="CY39" i="2"/>
  <c r="CY27" i="2"/>
  <c r="GE11" i="2"/>
  <c r="GE151" i="2"/>
  <c r="GE169" i="2"/>
  <c r="GE76" i="2"/>
  <c r="GE153" i="2"/>
  <c r="GE5" i="2"/>
  <c r="GE94" i="2"/>
  <c r="GE190" i="2"/>
  <c r="GE63" i="2"/>
  <c r="GE192" i="2"/>
  <c r="GE143" i="2"/>
  <c r="GE73" i="2"/>
  <c r="GE113" i="2"/>
  <c r="GE62" i="2"/>
  <c r="GE84" i="2"/>
  <c r="GE44" i="2"/>
  <c r="GE98" i="2"/>
  <c r="GE9" i="2"/>
  <c r="GE82" i="2"/>
  <c r="GE64" i="2"/>
  <c r="GE65" i="2"/>
  <c r="GE71" i="2"/>
  <c r="GE80" i="2"/>
  <c r="GE33" i="2"/>
  <c r="GE179" i="2"/>
  <c r="GE26" i="2"/>
  <c r="GE135" i="2"/>
  <c r="GE149" i="2"/>
  <c r="GE43" i="2"/>
  <c r="GE193" i="2"/>
  <c r="GE173" i="2"/>
  <c r="GE184" i="2"/>
  <c r="GE18" i="2"/>
  <c r="GE158" i="2"/>
  <c r="GE30" i="2"/>
  <c r="GE56" i="2"/>
  <c r="GE199" i="2"/>
  <c r="GE124" i="2"/>
  <c r="GE3" i="2"/>
  <c r="C14" i="4" s="1"/>
  <c r="E14" i="4" s="1"/>
  <c r="F14" i="4" s="1"/>
  <c r="G14" i="4" s="1"/>
  <c r="L14" i="4" s="1"/>
  <c r="GE163" i="2"/>
  <c r="GE61" i="2"/>
  <c r="GE130" i="2"/>
  <c r="GE39" i="2"/>
  <c r="GE175" i="2"/>
  <c r="GE183" i="2"/>
  <c r="GE95" i="2"/>
  <c r="GE182" i="2"/>
  <c r="GE59" i="2"/>
  <c r="GE148" i="2"/>
  <c r="GE134" i="2"/>
  <c r="GE48" i="2"/>
  <c r="GE45" i="2"/>
  <c r="GE75" i="2"/>
  <c r="GE38" i="2"/>
  <c r="GE6" i="2"/>
  <c r="GE160" i="2"/>
  <c r="GE145" i="2"/>
  <c r="GE133" i="2"/>
  <c r="GE110" i="2"/>
  <c r="GE100" i="2"/>
  <c r="GE12" i="2"/>
  <c r="GE127" i="2"/>
  <c r="GE117" i="2"/>
  <c r="GE178" i="2"/>
  <c r="GE121" i="2"/>
  <c r="GE122" i="2"/>
  <c r="GE176" i="2"/>
  <c r="GE107" i="2"/>
  <c r="GE27" i="2"/>
  <c r="GE23" i="2"/>
  <c r="GE90" i="2"/>
  <c r="GE185" i="2"/>
  <c r="GE101" i="2"/>
  <c r="GE105" i="2"/>
  <c r="GE140" i="2"/>
  <c r="GE159" i="2"/>
  <c r="GE70" i="2"/>
  <c r="GE21" i="2"/>
  <c r="GE17" i="2"/>
  <c r="GE96" i="2"/>
  <c r="GE79" i="2"/>
  <c r="GE119" i="2"/>
  <c r="GE157" i="2"/>
  <c r="GE41" i="2"/>
  <c r="GE146" i="2"/>
  <c r="GE74" i="2"/>
  <c r="GE118" i="2"/>
  <c r="GE188" i="2"/>
  <c r="GE161" i="2"/>
  <c r="GE42" i="2"/>
  <c r="GE37" i="2"/>
  <c r="GE165" i="2"/>
  <c r="GE77" i="2"/>
  <c r="GE109" i="2"/>
  <c r="GE152" i="2"/>
  <c r="GE85" i="2"/>
  <c r="GE51" i="2"/>
  <c r="GE32" i="2"/>
  <c r="GE197" i="2"/>
  <c r="GE147" i="2"/>
  <c r="GE106" i="2"/>
  <c r="GE54" i="2"/>
  <c r="GE52" i="2"/>
  <c r="GE177" i="2"/>
  <c r="GE137" i="2"/>
  <c r="GE174" i="2"/>
  <c r="GE139" i="2"/>
  <c r="GE60" i="2"/>
  <c r="GE29" i="2"/>
  <c r="GE115" i="2"/>
  <c r="GE120" i="2"/>
  <c r="GE129" i="2"/>
  <c r="GE36" i="2"/>
  <c r="GE154" i="2"/>
  <c r="GE99" i="2"/>
  <c r="GE69" i="2"/>
  <c r="GE195" i="2"/>
  <c r="GE164" i="2"/>
  <c r="GE28" i="2"/>
  <c r="GE83" i="2"/>
  <c r="GE87" i="2"/>
  <c r="GE72" i="2"/>
  <c r="GE49" i="2"/>
  <c r="GE125" i="2"/>
  <c r="GE57" i="2"/>
  <c r="GE20" i="2"/>
  <c r="GE200" i="2"/>
  <c r="GE150" i="2"/>
  <c r="GE15" i="2"/>
  <c r="GE13" i="2"/>
  <c r="GE66" i="2"/>
  <c r="GE203" i="2"/>
  <c r="GE93" i="2"/>
  <c r="GE47" i="2"/>
  <c r="GE53" i="2"/>
  <c r="GE24" i="2"/>
  <c r="GE202" i="2"/>
  <c r="GE102" i="2"/>
  <c r="GE55" i="2"/>
  <c r="GE86" i="2"/>
  <c r="GE132" i="2"/>
  <c r="GE81" i="2"/>
  <c r="GE46" i="2"/>
  <c r="GE156" i="2"/>
  <c r="GE92" i="2"/>
  <c r="GE4" i="2"/>
  <c r="GE58" i="2"/>
  <c r="GE196" i="2"/>
  <c r="GE111" i="2"/>
  <c r="GE35" i="2"/>
  <c r="GE186" i="2"/>
  <c r="GE10" i="2"/>
  <c r="GE16" i="2"/>
  <c r="GE34" i="2"/>
  <c r="GE155" i="2"/>
  <c r="GE126" i="2"/>
  <c r="GE187" i="2"/>
  <c r="GE180" i="2"/>
  <c r="GE78" i="2"/>
  <c r="GE112" i="2"/>
  <c r="GE88" i="2"/>
  <c r="GE116" i="2"/>
  <c r="GE194" i="2"/>
  <c r="GE162" i="2"/>
  <c r="GE67" i="2"/>
  <c r="GE22" i="2"/>
  <c r="GE201" i="2"/>
  <c r="GE166" i="2"/>
  <c r="GE191" i="2"/>
  <c r="GE168" i="2"/>
  <c r="GE14" i="2"/>
  <c r="GE91" i="2"/>
  <c r="GE181" i="2"/>
  <c r="GE68" i="2"/>
  <c r="GE8" i="2"/>
  <c r="GE89" i="2"/>
  <c r="GE108" i="2"/>
  <c r="GE131" i="2"/>
  <c r="GE97" i="2"/>
  <c r="GE123" i="2"/>
  <c r="GE138" i="2"/>
  <c r="GE40" i="2"/>
  <c r="GE31" i="2"/>
  <c r="GE144" i="2"/>
  <c r="GE19" i="2"/>
  <c r="GE172" i="2"/>
  <c r="GE50" i="2"/>
  <c r="GE141" i="2"/>
  <c r="GE167" i="2"/>
  <c r="GE171" i="2"/>
  <c r="GE25" i="2"/>
  <c r="GE114" i="2"/>
  <c r="GE142" i="2"/>
  <c r="GE136" i="2"/>
  <c r="GE103" i="2"/>
  <c r="GE7" i="2"/>
  <c r="GE198" i="2"/>
  <c r="GE170" i="2"/>
  <c r="GE104" i="2"/>
  <c r="GE128" i="2"/>
  <c r="GE189" i="2"/>
  <c r="FJ190" i="2"/>
  <c r="FJ164" i="2"/>
  <c r="FJ161" i="2"/>
  <c r="FJ146" i="2"/>
  <c r="FJ18" i="2"/>
  <c r="FJ5" i="2"/>
  <c r="FJ9" i="2"/>
  <c r="FJ85" i="2"/>
  <c r="FJ91" i="2"/>
  <c r="FJ30" i="2"/>
  <c r="FJ37" i="2"/>
  <c r="FJ156" i="2"/>
  <c r="FJ112" i="2"/>
  <c r="FJ145" i="2"/>
  <c r="FJ71" i="2"/>
  <c r="FJ4" i="2"/>
  <c r="FJ133" i="2"/>
  <c r="FJ185" i="2"/>
  <c r="FJ125" i="2"/>
  <c r="FJ14" i="2"/>
  <c r="FJ65" i="2"/>
  <c r="FJ194" i="2"/>
  <c r="FJ13" i="2"/>
  <c r="FJ166" i="2"/>
  <c r="FJ139" i="2"/>
  <c r="FJ184" i="2"/>
  <c r="FJ163" i="2"/>
  <c r="FJ76" i="2"/>
  <c r="FJ188" i="2"/>
  <c r="FJ50" i="2"/>
  <c r="FJ34" i="2"/>
  <c r="FJ67" i="2"/>
  <c r="FJ10" i="2"/>
  <c r="FJ122" i="2"/>
  <c r="FJ52" i="2"/>
  <c r="FJ143" i="2"/>
  <c r="FJ117" i="2"/>
  <c r="FJ8" i="2"/>
  <c r="FJ131" i="2"/>
  <c r="FJ63" i="2"/>
  <c r="FJ183" i="2"/>
  <c r="FJ198" i="2"/>
  <c r="FJ68" i="2"/>
  <c r="FJ118" i="2"/>
  <c r="FJ73" i="2"/>
  <c r="FJ97" i="2"/>
  <c r="FJ135" i="2"/>
  <c r="FJ74" i="2"/>
  <c r="FJ126" i="2"/>
  <c r="FJ40" i="2"/>
  <c r="FJ121" i="2"/>
  <c r="FJ86" i="2"/>
  <c r="FJ29" i="2"/>
  <c r="FJ203" i="2"/>
  <c r="FJ41" i="2"/>
  <c r="FJ95" i="2"/>
  <c r="FJ109" i="2"/>
  <c r="FJ92" i="2"/>
  <c r="FJ88" i="2"/>
  <c r="FJ82" i="2"/>
  <c r="FJ155" i="2"/>
  <c r="FJ96" i="2"/>
  <c r="FJ101" i="2"/>
  <c r="FJ168" i="2"/>
  <c r="FJ72" i="2"/>
  <c r="FJ144" i="2"/>
  <c r="FJ69" i="2"/>
  <c r="FJ136" i="2"/>
  <c r="FJ178" i="2"/>
  <c r="FJ53" i="2"/>
  <c r="FJ177" i="2"/>
  <c r="FJ172" i="2"/>
  <c r="FJ116" i="2"/>
  <c r="FJ102" i="2"/>
  <c r="FJ90" i="2"/>
  <c r="FJ43" i="2"/>
  <c r="FJ180" i="2"/>
  <c r="FJ108" i="2"/>
  <c r="FJ150" i="2"/>
  <c r="FJ110" i="2"/>
  <c r="FJ138" i="2"/>
  <c r="FJ104" i="2"/>
  <c r="FJ99" i="2"/>
  <c r="FJ192" i="2"/>
  <c r="FJ78" i="2"/>
  <c r="FJ158" i="2"/>
  <c r="FJ137" i="2"/>
  <c r="FJ202" i="2"/>
  <c r="FJ162" i="2"/>
  <c r="FJ114" i="2"/>
  <c r="FJ16" i="2"/>
  <c r="FJ111" i="2"/>
  <c r="FJ147" i="2"/>
  <c r="FJ49" i="2"/>
  <c r="FJ174" i="2"/>
  <c r="FJ119" i="2"/>
  <c r="FJ66" i="2"/>
  <c r="FJ38" i="2"/>
  <c r="FJ51" i="2"/>
  <c r="FJ148" i="2"/>
  <c r="FJ179" i="2"/>
  <c r="FJ22" i="2"/>
  <c r="FJ31" i="2"/>
  <c r="FJ127" i="2"/>
  <c r="FJ107" i="2"/>
  <c r="FJ75" i="2"/>
  <c r="FJ3" i="2"/>
  <c r="C13" i="4" s="1"/>
  <c r="E13" i="4" s="1"/>
  <c r="F13" i="4" s="1"/>
  <c r="G13" i="4" s="1"/>
  <c r="L13" i="4" s="1"/>
  <c r="FJ197" i="2"/>
  <c r="FJ20" i="2"/>
  <c r="FJ141" i="2"/>
  <c r="FJ21" i="2"/>
  <c r="FJ193" i="2"/>
  <c r="FJ79" i="2"/>
  <c r="FJ19" i="2"/>
  <c r="FJ6" i="2"/>
  <c r="FJ35" i="2"/>
  <c r="FJ58" i="2"/>
  <c r="FJ28" i="2"/>
  <c r="FJ176" i="2"/>
  <c r="FJ57" i="2"/>
  <c r="FJ46" i="2"/>
  <c r="FJ201" i="2"/>
  <c r="FJ15" i="2"/>
  <c r="FJ175" i="2"/>
  <c r="FJ154" i="2"/>
  <c r="FJ48" i="2"/>
  <c r="FJ23" i="2"/>
  <c r="FJ27" i="2"/>
  <c r="FJ169" i="2"/>
  <c r="FJ62" i="2"/>
  <c r="FJ153" i="2"/>
  <c r="FJ103" i="2"/>
  <c r="FJ100" i="2"/>
  <c r="FJ12" i="2"/>
  <c r="FJ61" i="2"/>
  <c r="FJ128" i="2"/>
  <c r="FJ39" i="2"/>
  <c r="FJ33" i="2"/>
  <c r="FJ98" i="2"/>
  <c r="FJ189" i="2"/>
  <c r="FJ187" i="2"/>
  <c r="FJ130" i="2"/>
  <c r="FJ106" i="2"/>
  <c r="FJ186" i="2"/>
  <c r="FJ181" i="2"/>
  <c r="FJ159" i="2"/>
  <c r="FJ56" i="2"/>
  <c r="FJ54" i="2"/>
  <c r="FJ199" i="2"/>
  <c r="FJ64" i="2"/>
  <c r="FJ45" i="2"/>
  <c r="FJ80" i="2"/>
  <c r="FJ120" i="2"/>
  <c r="FJ167" i="2"/>
  <c r="FJ115" i="2"/>
  <c r="FJ170" i="2"/>
  <c r="FJ157" i="2"/>
  <c r="FJ191" i="2"/>
  <c r="FJ105" i="2"/>
  <c r="FJ36" i="2"/>
  <c r="FJ165" i="2"/>
  <c r="FJ11" i="2"/>
  <c r="FJ89" i="2"/>
  <c r="FJ173" i="2"/>
  <c r="FJ200" i="2"/>
  <c r="FJ124" i="2"/>
  <c r="FJ182" i="2"/>
  <c r="FJ24" i="2"/>
  <c r="FJ17" i="2"/>
  <c r="FJ160" i="2"/>
  <c r="FJ113" i="2"/>
  <c r="FJ149" i="2"/>
  <c r="FJ151" i="2"/>
  <c r="FJ94" i="2"/>
  <c r="FJ171" i="2"/>
  <c r="FJ196" i="2"/>
  <c r="FJ25" i="2"/>
  <c r="FJ134" i="2"/>
  <c r="FJ77" i="2"/>
  <c r="FJ26" i="2"/>
  <c r="FJ140" i="2"/>
  <c r="FJ55" i="2"/>
  <c r="FJ84" i="2"/>
  <c r="FJ123" i="2"/>
  <c r="FJ59" i="2"/>
  <c r="FJ60" i="2"/>
  <c r="FJ87" i="2"/>
  <c r="FJ44" i="2"/>
  <c r="FJ195" i="2"/>
  <c r="FJ93" i="2"/>
  <c r="FJ42" i="2"/>
  <c r="FJ129" i="2"/>
  <c r="FJ70" i="2"/>
  <c r="FJ81" i="2"/>
  <c r="FJ142" i="2"/>
  <c r="FJ83" i="2"/>
  <c r="FJ132" i="2"/>
  <c r="FJ152" i="2"/>
  <c r="FJ7" i="2"/>
  <c r="FJ32" i="2"/>
  <c r="FJ4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64" i="2" l="1"/>
  <c r="GZ45" i="2"/>
  <c r="GZ180" i="2"/>
  <c r="GZ141" i="2"/>
  <c r="GZ191" i="2"/>
  <c r="GZ187" i="2"/>
  <c r="GZ127" i="2"/>
  <c r="GZ163" i="2"/>
  <c r="GZ190" i="2"/>
  <c r="GZ27" i="2"/>
  <c r="GZ199" i="2"/>
  <c r="GZ104" i="2"/>
  <c r="GZ168" i="2"/>
  <c r="GZ31" i="2"/>
  <c r="GZ23" i="2"/>
  <c r="GZ155" i="2"/>
  <c r="GZ70" i="2"/>
  <c r="GZ29" i="2"/>
  <c r="GZ7" i="2"/>
  <c r="GZ102" i="2"/>
  <c r="GZ58" i="2"/>
  <c r="GZ38" i="2"/>
  <c r="GZ90" i="2"/>
  <c r="GZ125" i="2"/>
  <c r="GZ172" i="2"/>
  <c r="GZ186" i="2"/>
  <c r="GZ99" i="2"/>
  <c r="GZ88" i="2"/>
  <c r="GZ114" i="2"/>
  <c r="GZ96" i="2"/>
  <c r="GZ77" i="2"/>
  <c r="GZ97" i="2"/>
  <c r="GZ105" i="2"/>
  <c r="GZ175" i="2"/>
  <c r="GZ100" i="2"/>
  <c r="GZ32" i="2"/>
  <c r="GZ171" i="2"/>
  <c r="GZ53" i="2"/>
  <c r="GZ52" i="2"/>
  <c r="GZ54" i="2"/>
  <c r="GZ41" i="2"/>
  <c r="GZ165" i="2"/>
  <c r="GZ95" i="2"/>
  <c r="GZ120" i="2"/>
  <c r="GZ151" i="2"/>
  <c r="GZ19" i="2"/>
  <c r="GZ10" i="2"/>
  <c r="GZ91" i="2"/>
  <c r="GZ4" i="2"/>
  <c r="GZ57" i="2"/>
  <c r="GZ43" i="2"/>
  <c r="GZ121" i="2"/>
  <c r="GZ147" i="2"/>
  <c r="GZ64" i="2"/>
  <c r="GZ153" i="2"/>
  <c r="GZ138" i="2"/>
  <c r="GZ119" i="2"/>
  <c r="GZ61" i="2"/>
  <c r="GZ122" i="2"/>
  <c r="GZ82" i="2"/>
  <c r="GZ94" i="2"/>
  <c r="GZ202" i="2"/>
  <c r="GZ83" i="2"/>
  <c r="GZ66" i="2"/>
  <c r="GZ162" i="2"/>
  <c r="GZ173" i="2"/>
  <c r="GZ44" i="2"/>
  <c r="GZ65" i="2"/>
  <c r="GZ92" i="2"/>
  <c r="GZ108" i="2"/>
  <c r="GZ36" i="2"/>
  <c r="GZ194" i="2"/>
  <c r="GZ185" i="2"/>
  <c r="GZ59" i="2"/>
  <c r="GZ72" i="2"/>
  <c r="GZ145" i="2"/>
  <c r="GZ111" i="2"/>
  <c r="GZ80" i="2"/>
  <c r="GZ134" i="2"/>
  <c r="GZ13" i="2"/>
  <c r="GZ178" i="2"/>
  <c r="GZ176" i="2"/>
  <c r="GZ87" i="2"/>
  <c r="GZ62" i="2"/>
  <c r="GZ144" i="2"/>
  <c r="GZ115" i="2"/>
  <c r="GZ106" i="2"/>
  <c r="GZ34" i="2"/>
  <c r="GZ28" i="2"/>
  <c r="GZ48" i="2"/>
  <c r="GZ79" i="2"/>
  <c r="GZ40" i="2"/>
  <c r="GZ75" i="2"/>
  <c r="GZ184" i="2"/>
  <c r="GZ195" i="2"/>
  <c r="GZ192" i="2"/>
  <c r="GZ21" i="2"/>
  <c r="GZ81" i="2"/>
  <c r="GZ22" i="2"/>
  <c r="GZ20" i="2"/>
  <c r="GZ157" i="2"/>
  <c r="GZ9" i="2"/>
  <c r="GZ93" i="2"/>
  <c r="GZ201" i="2"/>
  <c r="GZ167" i="2"/>
  <c r="GZ37" i="2"/>
  <c r="GZ46" i="2"/>
  <c r="GZ166" i="2"/>
  <c r="GZ174" i="2"/>
  <c r="GZ143" i="2"/>
  <c r="GZ130" i="2"/>
  <c r="GZ55" i="2"/>
  <c r="GZ181" i="2"/>
  <c r="GZ26" i="2"/>
  <c r="GZ76" i="2"/>
  <c r="GZ149" i="2"/>
  <c r="GZ98" i="2"/>
  <c r="GZ3" i="2"/>
  <c r="C15" i="4" s="1"/>
  <c r="E15" i="4" s="1"/>
  <c r="F15" i="4" s="1"/>
  <c r="G15" i="4" s="1"/>
  <c r="L15" i="4" s="1"/>
  <c r="GZ6" i="2"/>
  <c r="GZ33" i="2"/>
  <c r="GZ107" i="2"/>
  <c r="GZ16" i="2"/>
  <c r="GZ161" i="2"/>
  <c r="GZ39" i="2"/>
  <c r="GZ140" i="2"/>
  <c r="GZ89" i="2"/>
  <c r="GZ196" i="2"/>
  <c r="GZ124" i="2"/>
  <c r="GZ15" i="2"/>
  <c r="GZ128" i="2"/>
  <c r="GZ110" i="2"/>
  <c r="GZ156" i="2"/>
  <c r="GZ117" i="2"/>
  <c r="GZ112" i="2"/>
  <c r="GZ69" i="2"/>
  <c r="GZ63" i="2"/>
  <c r="GZ158" i="2"/>
  <c r="GZ18" i="2"/>
  <c r="GZ142" i="2"/>
  <c r="GZ133" i="2"/>
  <c r="GZ85" i="2"/>
  <c r="GZ50" i="2"/>
  <c r="GZ103" i="2"/>
  <c r="GZ73" i="2"/>
  <c r="GZ14" i="2"/>
  <c r="GZ24" i="2"/>
  <c r="GZ123" i="2"/>
  <c r="GZ170" i="2"/>
  <c r="GZ131" i="2"/>
  <c r="GZ30" i="2"/>
  <c r="GZ137" i="2"/>
  <c r="GZ42" i="2"/>
  <c r="GZ25" i="2"/>
  <c r="GZ150" i="2"/>
  <c r="GZ101" i="2"/>
  <c r="GZ67" i="2"/>
  <c r="GZ11" i="2"/>
  <c r="GZ182" i="2"/>
  <c r="GZ47" i="2"/>
  <c r="GZ35" i="2"/>
  <c r="GZ51" i="2"/>
  <c r="GZ113" i="2"/>
  <c r="GZ136" i="2"/>
  <c r="GZ189" i="2"/>
  <c r="GZ200" i="2"/>
  <c r="GZ169" i="2"/>
  <c r="GZ154" i="2"/>
  <c r="GZ132" i="2"/>
  <c r="GZ5" i="2"/>
  <c r="GZ56" i="2"/>
  <c r="GZ74" i="2"/>
  <c r="GZ118" i="2"/>
  <c r="GZ49" i="2"/>
  <c r="GZ17" i="2"/>
  <c r="GZ135" i="2"/>
  <c r="GZ129" i="2"/>
  <c r="GZ197" i="2"/>
  <c r="GZ71" i="2"/>
  <c r="GZ159" i="2"/>
  <c r="GZ86" i="2"/>
  <c r="GZ78" i="2"/>
  <c r="GZ68" i="2"/>
  <c r="GZ179" i="2"/>
  <c r="GZ160" i="2"/>
  <c r="GZ198" i="2"/>
  <c r="GZ60" i="2"/>
  <c r="GZ8" i="2"/>
  <c r="GZ177" i="2"/>
  <c r="GZ146" i="2"/>
  <c r="GZ126" i="2"/>
  <c r="GZ12" i="2"/>
  <c r="GZ183" i="2"/>
  <c r="GZ193" i="2"/>
  <c r="GZ116" i="2"/>
  <c r="GZ84" i="2"/>
  <c r="GZ148" i="2"/>
  <c r="GZ139" i="2"/>
  <c r="GZ152" i="2"/>
  <c r="GZ109" i="2"/>
  <c r="GZ188" i="2"/>
  <c r="GZ203" i="2"/>
  <c r="CD37" i="2"/>
  <c r="CD88" i="2"/>
  <c r="CD123" i="2"/>
  <c r="CD6" i="2"/>
  <c r="CD77" i="2"/>
  <c r="CD16" i="2"/>
  <c r="CD30" i="2"/>
  <c r="CD128" i="2"/>
  <c r="CD3" i="2"/>
  <c r="C9" i="4" s="1"/>
  <c r="E9" i="4" s="1"/>
  <c r="F9" i="4" s="1"/>
  <c r="G9" i="4" s="1"/>
  <c r="L9" i="4" s="1"/>
  <c r="CD60" i="2"/>
  <c r="CD32" i="2"/>
  <c r="CD188" i="2"/>
  <c r="CD17" i="2"/>
  <c r="CD29" i="2"/>
  <c r="CD93" i="2"/>
  <c r="CD177" i="2"/>
  <c r="CD109" i="2"/>
  <c r="CD38" i="2"/>
  <c r="CD130" i="2"/>
  <c r="CD78" i="2"/>
  <c r="CD76" i="2"/>
  <c r="CD8" i="2"/>
  <c r="CD163" i="2"/>
  <c r="CD127" i="2"/>
  <c r="CD154" i="2"/>
  <c r="CD28" i="2"/>
  <c r="CD53" i="2"/>
  <c r="CD174" i="2"/>
  <c r="CD129" i="2"/>
  <c r="CD63" i="2"/>
  <c r="CD182" i="2"/>
  <c r="CD84" i="2"/>
  <c r="CD87" i="2"/>
  <c r="CD65" i="2"/>
  <c r="CD169" i="2"/>
  <c r="CD75" i="2"/>
  <c r="CD179" i="2"/>
  <c r="CD146" i="2"/>
  <c r="CD81" i="2"/>
  <c r="CD153" i="2"/>
  <c r="CD118" i="2"/>
  <c r="CD69" i="2"/>
  <c r="CD85" i="2"/>
  <c r="CD31" i="2"/>
  <c r="CD67" i="2"/>
  <c r="CD52" i="2"/>
  <c r="CD94" i="2"/>
  <c r="CD72" i="2"/>
  <c r="CD34" i="2"/>
  <c r="CD116" i="2"/>
  <c r="CD165" i="2"/>
  <c r="CD198" i="2"/>
  <c r="CD64" i="2"/>
  <c r="CD149" i="2"/>
  <c r="CD134" i="2"/>
  <c r="CD33" i="2"/>
  <c r="CD140" i="2"/>
  <c r="CD148" i="2"/>
  <c r="CD193" i="2"/>
  <c r="CD68" i="2"/>
  <c r="CD7" i="2"/>
  <c r="CD36" i="2"/>
  <c r="CD162" i="2"/>
  <c r="CD13" i="2"/>
  <c r="CD161" i="2"/>
  <c r="CD121" i="2"/>
  <c r="CD183" i="2"/>
  <c r="CD167" i="2"/>
  <c r="CD54" i="2"/>
  <c r="CD23" i="2"/>
  <c r="CD178" i="2"/>
  <c r="CD82" i="2"/>
  <c r="CD122" i="2"/>
  <c r="CD95" i="2"/>
  <c r="CD35" i="2"/>
  <c r="CD59" i="2"/>
  <c r="CD91" i="2"/>
  <c r="CD70" i="2"/>
  <c r="CD144" i="2"/>
  <c r="CD126" i="2"/>
  <c r="CD185" i="2"/>
  <c r="CD20" i="2"/>
  <c r="CD201" i="2"/>
  <c r="CD79" i="2"/>
  <c r="CD46" i="2"/>
  <c r="CD107" i="2"/>
  <c r="CD112" i="2"/>
  <c r="CD9" i="2"/>
  <c r="CD27" i="2"/>
  <c r="CD120" i="2"/>
  <c r="CD158" i="2"/>
  <c r="CD102" i="2"/>
  <c r="CD45" i="2"/>
  <c r="CD192" i="2"/>
  <c r="CD195" i="2"/>
  <c r="CD73" i="2"/>
  <c r="CD133" i="2"/>
  <c r="CD5" i="2"/>
  <c r="CD180" i="2"/>
  <c r="CD104" i="2"/>
  <c r="CD155" i="2"/>
  <c r="CD100" i="2"/>
  <c r="CD175" i="2"/>
  <c r="CD138" i="2"/>
  <c r="CD19" i="2"/>
  <c r="CD157" i="2"/>
  <c r="CD124" i="2"/>
  <c r="CD196" i="2"/>
  <c r="CD80" i="2"/>
  <c r="CD42" i="2"/>
  <c r="CD110" i="2"/>
  <c r="CD143" i="2"/>
  <c r="CD181" i="2"/>
  <c r="CD131" i="2"/>
  <c r="CD142" i="2"/>
  <c r="CD55" i="2"/>
  <c r="CD21" i="2"/>
  <c r="CD106" i="2"/>
  <c r="CD117" i="2"/>
  <c r="CD10" i="2"/>
  <c r="CD135" i="2"/>
  <c r="CD12" i="2"/>
  <c r="CD141" i="2"/>
  <c r="CD173" i="2"/>
  <c r="CD172" i="2"/>
  <c r="CD147" i="2"/>
  <c r="CD151" i="2"/>
  <c r="CD48" i="2"/>
  <c r="CD156" i="2"/>
  <c r="CD40" i="2"/>
  <c r="CD191" i="2"/>
  <c r="CD74" i="2"/>
  <c r="CD43" i="2"/>
  <c r="CD111" i="2"/>
  <c r="CD199" i="2"/>
  <c r="CD97" i="2"/>
  <c r="CD90" i="2"/>
  <c r="CD164" i="2"/>
  <c r="CD160" i="2"/>
  <c r="CD132" i="2"/>
  <c r="CD115" i="2"/>
  <c r="CD136" i="2"/>
  <c r="CD51" i="2"/>
  <c r="CD58" i="2"/>
  <c r="CD61" i="2"/>
  <c r="CD89" i="2"/>
  <c r="CD57" i="2"/>
  <c r="CD83" i="2"/>
  <c r="CD150" i="2"/>
  <c r="CD49" i="2"/>
  <c r="CD176" i="2"/>
  <c r="CD145" i="2"/>
  <c r="CD47" i="2"/>
  <c r="CD56" i="2"/>
  <c r="CD184" i="2"/>
  <c r="CD26" i="2"/>
  <c r="CD96" i="2"/>
  <c r="CD189" i="2"/>
  <c r="CD41" i="2"/>
  <c r="CD125" i="2"/>
  <c r="CD86" i="2"/>
  <c r="CD152" i="2"/>
  <c r="CD24" i="2"/>
  <c r="CD203" i="2"/>
  <c r="CD15" i="2"/>
  <c r="CD168" i="2"/>
  <c r="CD202" i="2"/>
  <c r="CD11" i="2"/>
  <c r="CD187" i="2"/>
  <c r="CD139" i="2"/>
  <c r="CD25" i="2"/>
  <c r="CD159" i="2"/>
  <c r="CD62" i="2"/>
  <c r="CD137" i="2"/>
  <c r="CD194" i="2"/>
  <c r="CD166" i="2"/>
  <c r="CD113" i="2"/>
  <c r="CD98" i="2"/>
  <c r="CD190" i="2"/>
  <c r="CD22" i="2"/>
  <c r="CD99" i="2"/>
  <c r="CD186" i="2"/>
  <c r="CD44" i="2"/>
  <c r="CD71" i="2"/>
  <c r="CD197" i="2"/>
  <c r="CD18" i="2"/>
  <c r="CD114" i="2"/>
  <c r="CD170" i="2"/>
  <c r="CD119" i="2"/>
  <c r="CD200" i="2"/>
  <c r="CD103" i="2"/>
  <c r="CD105" i="2"/>
  <c r="CD108" i="2"/>
  <c r="CD39" i="2"/>
  <c r="CD14" i="2"/>
  <c r="CD50" i="2"/>
  <c r="CD101" i="2"/>
  <c r="CD4" i="2"/>
  <c r="CD92" i="2"/>
  <c r="CD66" i="2"/>
  <c r="CD17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30" i="2"/>
  <c r="BI171" i="2"/>
  <c r="BI98" i="2"/>
  <c r="BI146" i="2"/>
  <c r="BI80" i="2"/>
  <c r="BI125" i="2"/>
  <c r="BI145" i="2"/>
  <c r="BI102" i="2"/>
  <c r="BI198" i="2"/>
  <c r="BI165" i="2"/>
  <c r="BI135" i="2"/>
  <c r="BI69" i="2"/>
  <c r="BI199" i="2"/>
  <c r="BI152" i="2"/>
  <c r="BI154" i="2"/>
  <c r="BI168" i="2"/>
  <c r="BI142" i="2"/>
  <c r="BI158" i="2"/>
  <c r="BI38" i="2"/>
  <c r="BI81" i="2"/>
  <c r="BI182" i="2"/>
  <c r="BI91" i="2"/>
  <c r="BI75" i="2"/>
  <c r="BI195" i="2"/>
  <c r="BI32" i="2"/>
  <c r="BI123" i="2"/>
  <c r="BI63" i="2"/>
  <c r="BI94" i="2"/>
  <c r="BI31" i="2"/>
  <c r="BI170" i="2"/>
  <c r="BI90" i="2"/>
  <c r="BI167" i="2"/>
  <c r="BI39" i="2"/>
  <c r="BI45" i="2"/>
  <c r="BI68" i="2"/>
  <c r="BI56" i="2"/>
  <c r="BI144" i="2"/>
  <c r="BI101" i="2"/>
  <c r="BI19" i="2"/>
  <c r="BI108" i="2"/>
  <c r="BI15" i="2"/>
  <c r="BI114" i="2"/>
  <c r="BI93" i="2"/>
  <c r="BI121" i="2"/>
  <c r="BI169" i="2"/>
  <c r="BI29" i="2"/>
  <c r="BI196" i="2"/>
  <c r="BI52" i="2"/>
  <c r="BI201" i="2"/>
  <c r="BI46" i="2"/>
  <c r="BI79" i="2"/>
  <c r="BI132" i="2"/>
  <c r="BI151" i="2"/>
  <c r="BI156" i="2"/>
  <c r="BI6" i="2"/>
  <c r="BI66" i="2"/>
  <c r="BI60" i="2"/>
  <c r="BI166" i="2"/>
  <c r="BI9" i="2"/>
  <c r="BI36" i="2"/>
  <c r="BI150" i="2"/>
  <c r="BI117" i="2"/>
  <c r="BI33" i="2"/>
  <c r="BI76" i="2"/>
  <c r="BI103" i="2"/>
  <c r="BI3" i="2"/>
  <c r="C8" i="4" s="1"/>
  <c r="E8" i="4" s="1"/>
  <c r="F8" i="4" s="1"/>
  <c r="G8" i="4" s="1"/>
  <c r="L8" i="4" s="1"/>
  <c r="BI74" i="2"/>
  <c r="BI28" i="2"/>
  <c r="BI131" i="2"/>
  <c r="BI11" i="2"/>
  <c r="BI85" i="2"/>
  <c r="BI120" i="2"/>
  <c r="BI95" i="2"/>
  <c r="BI58" i="2"/>
  <c r="BI71" i="2"/>
  <c r="BI160" i="2"/>
  <c r="BI77" i="2"/>
  <c r="BI127" i="2"/>
  <c r="BI147" i="2"/>
  <c r="BI53" i="2"/>
  <c r="BI10" i="2"/>
  <c r="BI105" i="2"/>
  <c r="BI173" i="2"/>
  <c r="BI82" i="2"/>
  <c r="BI155" i="2"/>
  <c r="BI64" i="2"/>
  <c r="BI191" i="2"/>
  <c r="BI41" i="2"/>
  <c r="BI153" i="2"/>
  <c r="BI133" i="2"/>
  <c r="BI116" i="2"/>
  <c r="BI197" i="2"/>
  <c r="BI176" i="2"/>
  <c r="BI126" i="2"/>
  <c r="BI194" i="2"/>
  <c r="BI162" i="2"/>
  <c r="BI37" i="2"/>
  <c r="BI164" i="2"/>
  <c r="BI149" i="2"/>
  <c r="BI13" i="2"/>
  <c r="BI57" i="2"/>
  <c r="BI113" i="2"/>
  <c r="BI186" i="2"/>
  <c r="BI183" i="2"/>
  <c r="BI138" i="2"/>
  <c r="BI35" i="2"/>
  <c r="BI7" i="2"/>
  <c r="BI26" i="2"/>
  <c r="BI188" i="2"/>
  <c r="BI122" i="2"/>
  <c r="BI59" i="2"/>
  <c r="BI96" i="2"/>
  <c r="BI200" i="2"/>
  <c r="BI134" i="2"/>
  <c r="BI187" i="2"/>
  <c r="BI73" i="2"/>
  <c r="BI43" i="2"/>
  <c r="BI34" i="2"/>
  <c r="BI20" i="2"/>
  <c r="BI24" i="2"/>
  <c r="BI109" i="2"/>
  <c r="BI92" i="2"/>
  <c r="BI143" i="2"/>
  <c r="BI42" i="2"/>
  <c r="BI129" i="2"/>
  <c r="BI128" i="2"/>
  <c r="BI51" i="2"/>
  <c r="BI49" i="2"/>
  <c r="BI84" i="2"/>
  <c r="BI192" i="2"/>
  <c r="BI25" i="2"/>
  <c r="BI50" i="2"/>
  <c r="BI23" i="2"/>
  <c r="BI172" i="2"/>
  <c r="BI130" i="2"/>
  <c r="BI185" i="2"/>
  <c r="BI179" i="2"/>
  <c r="BI40" i="2"/>
  <c r="BI27" i="2"/>
  <c r="BI106" i="2"/>
  <c r="BI175" i="2"/>
  <c r="BI139" i="2"/>
  <c r="BI65" i="2"/>
  <c r="BI83" i="2"/>
  <c r="BI70" i="2"/>
  <c r="BI180" i="2"/>
  <c r="BI17" i="2"/>
  <c r="BI21" i="2"/>
  <c r="BI44" i="2"/>
  <c r="BI157" i="2"/>
  <c r="BI203" i="2"/>
  <c r="BI54" i="2"/>
  <c r="BI148" i="2"/>
  <c r="BI111" i="2"/>
  <c r="BI16" i="2"/>
  <c r="BI104" i="2"/>
  <c r="BI178" i="2"/>
  <c r="BI78" i="2"/>
  <c r="BI12" i="2"/>
  <c r="BI184" i="2"/>
  <c r="BI86" i="2"/>
  <c r="BI163" i="2"/>
  <c r="BI119" i="2"/>
  <c r="BI89" i="2"/>
  <c r="BI141" i="2"/>
  <c r="BI55" i="2"/>
  <c r="BI137" i="2"/>
  <c r="BI112" i="2"/>
  <c r="BI110" i="2"/>
  <c r="BI193" i="2"/>
  <c r="BI115" i="2"/>
  <c r="BI181" i="2"/>
  <c r="BI61" i="2"/>
  <c r="BI8" i="2"/>
  <c r="BI118" i="2"/>
  <c r="BI87" i="2"/>
  <c r="BI62" i="2"/>
  <c r="BI159" i="2"/>
  <c r="BI72" i="2"/>
  <c r="BI5" i="2"/>
  <c r="BI202" i="2"/>
  <c r="BI18" i="2"/>
  <c r="BI97" i="2"/>
  <c r="BI190" i="2"/>
  <c r="BI107" i="2"/>
  <c r="BI14" i="2"/>
  <c r="BI99" i="2"/>
  <c r="BI88" i="2"/>
  <c r="BI140" i="2"/>
  <c r="BI189" i="2"/>
  <c r="BI136" i="2"/>
  <c r="BI22" i="2"/>
  <c r="BI48" i="2"/>
  <c r="BI100" i="2"/>
  <c r="BI174" i="2"/>
  <c r="BI161" i="2"/>
  <c r="BI67" i="2"/>
  <c r="BI177" i="2"/>
  <c r="BI4" i="2"/>
  <c r="BI12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<sst xmlns="http://schemas.openxmlformats.org/spreadsheetml/2006/main" count="1173" uniqueCount="324">
  <si>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</si>
  <si>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</si>
  <si>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</si>
  <si>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</si>
  <si>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</si>
  <si>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</si>
  <si>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</si>
  <si>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</si>
  <si>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</si>
  <si>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</si>
  <si>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</si>
  <si>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</si>
  <si>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</si>
  <si>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</si>
  <si>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</si>
  <si>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</si>
  <si>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Alisier torminal</t>
  </si>
  <si>
    <t>NB : La durée de révolution doit être identique à la dernière année indiquée dans la table de production renseignée en dessous</t>
  </si>
  <si>
    <t>Essence 2</t>
  </si>
  <si>
    <t>Bouleau verruqueux</t>
  </si>
  <si>
    <t>Essence 3</t>
  </si>
  <si>
    <t>Charme</t>
  </si>
  <si>
    <t>Essence 4</t>
  </si>
  <si>
    <t>Chêne chevelu</t>
  </si>
  <si>
    <t>Essence 5</t>
  </si>
  <si>
    <t>Chêne sessile</t>
  </si>
  <si>
    <t>Essence 6</t>
  </si>
  <si>
    <t>Chêne pubescent</t>
  </si>
  <si>
    <t>Essence 7</t>
  </si>
  <si>
    <t>Cormier</t>
  </si>
  <si>
    <t>Essence 8</t>
  </si>
  <si>
    <t>Erable champêtre</t>
  </si>
  <si>
    <t>Essence 9</t>
  </si>
  <si>
    <t>Erable plane</t>
  </si>
  <si>
    <t>Essence 10</t>
  </si>
  <si>
    <t>Hêtre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</si>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</sst>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14" borderId="54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110.29146199065519</c:v>
                </c:pt>
                <c:pt idx="22">
                  <c:v>124.27700087602052</c:v>
                </c:pt>
                <c:pt idx="23">
                  <c:v>138.22430277628158</c:v>
                </c:pt>
                <c:pt idx="24">
                  <c:v>152.13777377111359</c:v>
                </c:pt>
                <c:pt idx="25">
                  <c:v>166.02094629475889</c:v>
                </c:pt>
                <c:pt idx="26">
                  <c:v>179.87671263181528</c:v>
                </c:pt>
                <c:pt idx="27">
                  <c:v>193.70748241961212</c:v>
                </c:pt>
                <c:pt idx="28">
                  <c:v>207.51529266966918</c:v>
                </c:pt>
                <c:pt idx="29">
                  <c:v>221.30188689717423</c:v>
                </c:pt>
                <c:pt idx="30">
                  <c:v>235.06877345752699</c:v>
                </c:pt>
                <c:pt idx="31">
                  <c:v>189.53880266603633</c:v>
                </c:pt>
                <c:pt idx="32">
                  <c:v>207.51529266966918</c:v>
                </c:pt>
                <c:pt idx="33">
                  <c:v>225.45581704538475</c:v>
                </c:pt>
                <c:pt idx="34">
                  <c:v>243.36364067727686</c:v>
                </c:pt>
                <c:pt idx="35">
                  <c:v>261.24150838162944</c:v>
                </c:pt>
                <c:pt idx="36">
                  <c:v>279.09175844081614</c:v>
                </c:pt>
                <c:pt idx="37">
                  <c:v>296.91640552163273</c:v>
                </c:pt>
                <c:pt idx="38">
                  <c:v>314.71720261424775</c:v>
                </c:pt>
                <c:pt idx="39">
                  <c:v>332.49568821053043</c:v>
                </c:pt>
                <c:pt idx="40">
                  <c:v>350.25322285655164</c:v>
                </c:pt>
                <c:pt idx="41">
                  <c:v>277.13386946464016</c:v>
                </c:pt>
                <c:pt idx="42">
                  <c:v>295.17849192957436</c:v>
                </c:pt>
                <c:pt idx="43">
                  <c:v>313.19851383460843</c:v>
                </c:pt>
                <c:pt idx="44">
                  <c:v>331.19554939327526</c:v>
                </c:pt>
                <c:pt idx="45">
                  <c:v>349.17102307812593</c:v>
                </c:pt>
                <c:pt idx="46">
                  <c:v>367.12620074726834</c:v>
                </c:pt>
                <c:pt idx="47">
                  <c:v>385.06221436094899</c:v>
                </c:pt>
                <c:pt idx="48">
                  <c:v>402.9800818512519</c:v>
                </c:pt>
                <c:pt idx="49">
                  <c:v>420.88072327292639</c:v>
                </c:pt>
                <c:pt idx="50">
                  <c:v>438.76497406308482</c:v>
                </c:pt>
                <c:pt idx="51">
                  <c:v>364.96396296815823</c:v>
                </c:pt>
                <c:pt idx="52">
                  <c:v>381.82213777185649</c:v>
                </c:pt>
                <c:pt idx="53">
                  <c:v>398.66413205286977</c:v>
                </c:pt>
                <c:pt idx="54">
                  <c:v>415.49072537978219</c:v>
                </c:pt>
                <c:pt idx="55">
                  <c:v>432.3026290462214</c:v>
                </c:pt>
                <c:pt idx="56">
                  <c:v>449.10049452796119</c:v>
                </c:pt>
                <c:pt idx="57">
                  <c:v>465.88492060890161</c:v>
                </c:pt>
                <c:pt idx="58">
                  <c:v>482.65645942680254</c:v>
                </c:pt>
                <c:pt idx="59">
                  <c:v>499.41562163511918</c:v>
                </c:pt>
                <c:pt idx="60">
                  <c:v>516.16288083607799</c:v>
                </c:pt>
                <c:pt idx="61">
                  <c:v>440.91863377904184</c:v>
                </c:pt>
                <c:pt idx="62">
                  <c:v>455.9880063323198</c:v>
                </c:pt>
                <c:pt idx="63">
                  <c:v>471.0467422191993</c:v>
                </c:pt>
                <c:pt idx="64">
                  <c:v>486.095229268786</c:v>
                </c:pt>
                <c:pt idx="65">
                  <c:v>501.13382934663713</c:v>
                </c:pt>
                <c:pt idx="66">
                  <c:v>516.16288083607799</c:v>
                </c:pt>
                <c:pt idx="67">
                  <c:v>531.18270081556864</c:v>
                </c:pt>
                <c:pt idx="68">
                  <c:v>546.19358697705945</c:v>
                </c:pt>
                <c:pt idx="69">
                  <c:v>561.19581932256801</c:v>
                </c:pt>
                <c:pt idx="70">
                  <c:v>576.18966166997234</c:v>
                </c:pt>
                <c:pt idx="71">
                  <c:v>499.20083687929633</c:v>
                </c:pt>
                <c:pt idx="72">
                  <c:v>512.29916163754626</c:v>
                </c:pt>
                <c:pt idx="73">
                  <c:v>525.39041594713956</c:v>
                </c:pt>
                <c:pt idx="74">
                  <c:v>538.47480076592342</c:v>
                </c:pt>
                <c:pt idx="75">
                  <c:v>551.55250649172569</c:v>
                </c:pt>
                <c:pt idx="76">
                  <c:v>564.6237137597426</c:v>
                </c:pt>
                <c:pt idx="77">
                  <c:v>577.68859416226462</c:v>
                </c:pt>
                <c:pt idx="78">
                  <c:v>590.747310899936</c:v>
                </c:pt>
                <c:pt idx="79">
                  <c:v>603.80001937245117</c:v>
                </c:pt>
                <c:pt idx="80">
                  <c:v>616.8468677155405</c:v>
                </c:pt>
                <c:pt idx="81">
                  <c:v>538.90368289481785</c:v>
                </c:pt>
                <c:pt idx="82">
                  <c:v>550.9094940154306</c:v>
                </c:pt>
                <c:pt idx="83">
                  <c:v>562.90982113451958</c:v>
                </c:pt>
                <c:pt idx="84">
                  <c:v>574.90479761309177</c:v>
                </c:pt>
                <c:pt idx="85">
                  <c:v>586.89455079472998</c:v>
                </c:pt>
                <c:pt idx="86">
                  <c:v>598.87920239708058</c:v>
                </c:pt>
                <c:pt idx="87">
                  <c:v>610.85886887038123</c:v>
                </c:pt>
                <c:pt idx="88">
                  <c:v>622.8336617264132</c:v>
                </c:pt>
                <c:pt idx="89">
                  <c:v>634.80368784084919</c:v>
                </c:pt>
                <c:pt idx="90">
                  <c:v>646.76904973162129</c:v>
                </c:pt>
                <c:pt idx="91">
                  <c:v>567.40855737534184</c:v>
                </c:pt>
                <c:pt idx="92">
                  <c:v>577.90272074471466</c:v>
                </c:pt>
                <c:pt idx="93">
                  <c:v>588.39290880026499</c:v>
                </c:pt>
                <c:pt idx="94">
                  <c:v>598.87920239708058</c:v>
                </c:pt>
                <c:pt idx="95">
                  <c:v>609.36167932827254</c:v>
                </c:pt>
                <c:pt idx="96">
                  <c:v>619.84041449272661</c:v>
                </c:pt>
                <c:pt idx="97">
                  <c:v>630.31548005092793</c:v>
                </c:pt>
                <c:pt idx="98">
                  <c:v>640.78694556988842</c:v>
                </c:pt>
                <c:pt idx="99">
                  <c:v>651.25487815811414</c:v>
                </c:pt>
                <c:pt idx="100">
                  <c:v>661.71934259144575</c:v>
                </c:pt>
                <c:pt idx="101">
                  <c:v>581.32852138015051</c:v>
                </c:pt>
                <c:pt idx="102">
                  <c:v>590.74731089993577</c:v>
                </c:pt>
                <c:pt idx="103">
                  <c:v>600.16297452894207</c:v>
                </c:pt>
                <c:pt idx="104">
                  <c:v>609.57556821855803</c:v>
                </c:pt>
                <c:pt idx="105">
                  <c:v>618.98514605149205</c:v>
                </c:pt>
                <c:pt idx="106">
                  <c:v>628.3917603322484</c:v>
                </c:pt>
                <c:pt idx="107">
                  <c:v>637.79546167190301</c:v>
                </c:pt>
                <c:pt idx="108">
                  <c:v>647.19629906762555</c:v>
                </c:pt>
                <c:pt idx="109">
                  <c:v>656.59431997733589</c:v>
                </c:pt>
                <c:pt idx="110">
                  <c:v>665.9895703898718</c:v>
                </c:pt>
                <c:pt idx="111">
                  <c:v>590.53328243145256</c:v>
                </c:pt>
                <c:pt idx="112">
                  <c:v>598.45126564391796</c:v>
                </c:pt>
                <c:pt idx="113">
                  <c:v>606.36707095513873</c:v>
                </c:pt>
                <c:pt idx="114">
                  <c:v>614.28073080742217</c:v>
                </c:pt>
                <c:pt idx="115">
                  <c:v>622.19227673896933</c:v>
                </c:pt>
                <c:pt idx="116">
                  <c:v>630.10173942049767</c:v>
                </c:pt>
                <c:pt idx="117">
                  <c:v>638.00914868992481</c:v>
                </c:pt>
                <c:pt idx="118">
                  <c:v>645.91453358524529</c:v>
                </c:pt>
                <c:pt idx="119">
                  <c:v>653.81792237571403</c:v>
                </c:pt>
                <c:pt idx="120">
                  <c:v>661.71934259144507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116.89485563510304</c:v>
                </c:pt>
                <c:pt idx="22">
                  <c:v>131.72001628084266</c:v>
                </c:pt>
                <c:pt idx="23">
                  <c:v>146.50486807208301</c:v>
                </c:pt>
                <c:pt idx="24">
                  <c:v>161.25405583173711</c:v>
                </c:pt>
                <c:pt idx="25">
                  <c:v>175.97130339884507</c:v>
                </c:pt>
                <c:pt idx="26">
                  <c:v>190.65965977632126</c:v>
                </c:pt>
                <c:pt idx="27">
                  <c:v>205.32166516759025</c:v>
                </c:pt>
                <c:pt idx="28">
                  <c:v>219.95946695955351</c:v>
                </c:pt>
                <c:pt idx="29">
                  <c:v>234.57490313969427</c:v>
                </c:pt>
                <c:pt idx="30">
                  <c:v>249.16956379358496</c:v>
                </c:pt>
                <c:pt idx="31">
                  <c:v>200.90243103308021</c:v>
                </c:pt>
                <c:pt idx="32">
                  <c:v>219.95946695955351</c:v>
                </c:pt>
                <c:pt idx="33">
                  <c:v>238.97858846210613</c:v>
                </c:pt>
                <c:pt idx="34">
                  <c:v>257.96323733243617</c:v>
                </c:pt>
                <c:pt idx="35">
                  <c:v>276.91630711457987</c:v>
                </c:pt>
                <c:pt idx="36">
                  <c:v>295.84026279064108</c:v>
                </c:pt>
                <c:pt idx="37">
                  <c:v>314.7372281920492</c:v>
                </c:pt>
                <c:pt idx="38">
                  <c:v>333.60905129466971</c:v>
                </c:pt>
                <c:pt idx="39">
                  <c:v>352.45735395348788</c:v>
                </c:pt>
                <c:pt idx="40">
                  <c:v>371.28357043570469</c:v>
                </c:pt>
                <c:pt idx="41">
                  <c:v>293.76459769344609</c:v>
                </c:pt>
                <c:pt idx="42">
                  <c:v>312.89475650137189</c:v>
                </c:pt>
                <c:pt idx="43">
                  <c:v>331.9989817691162</c:v>
                </c:pt>
                <c:pt idx="44">
                  <c:v>351.07897517630312</c:v>
                </c:pt>
                <c:pt idx="45">
                  <c:v>370.13623838046755</c:v>
                </c:pt>
                <c:pt idx="46">
                  <c:v>389.17210583018453</c:v>
                </c:pt>
                <c:pt idx="47">
                  <c:v>408.18777082091782</c:v>
                </c:pt>
                <c:pt idx="48">
                  <c:v>427.18430644135782</c:v>
                </c:pt>
                <c:pt idx="49">
                  <c:v>446.16268259938101</c:v>
                </c:pt>
                <c:pt idx="50">
                  <c:v>465.12378000022363</c:v>
                </c:pt>
                <c:pt idx="51">
                  <c:v>386.87972063328522</c:v>
                </c:pt>
                <c:pt idx="52">
                  <c:v>404.75265083611265</c:v>
                </c:pt>
                <c:pt idx="53">
                  <c:v>422.60852377532825</c:v>
                </c:pt>
                <c:pt idx="54">
                  <c:v>440.44816126040695</c:v>
                </c:pt>
                <c:pt idx="55">
                  <c:v>458.27231312639077</c:v>
                </c:pt>
                <c:pt idx="56">
                  <c:v>476.08166614924016</c:v>
                </c:pt>
                <c:pt idx="57">
                  <c:v>493.87685155793548</c:v>
                </c:pt>
                <c:pt idx="58">
                  <c:v>511.65845140779737</c:v>
                </c:pt>
                <c:pt idx="59">
                  <c:v>529.42700402201615</c:v>
                </c:pt>
                <c:pt idx="60">
                  <c:v>547.18300866493496</c:v>
                </c:pt>
                <c:pt idx="61">
                  <c:v>467.40712233198627</c:v>
                </c:pt>
                <c:pt idx="62">
                  <c:v>483.3839347860071</c:v>
                </c:pt>
                <c:pt idx="63">
                  <c:v>499.34953422631787</c:v>
                </c:pt>
                <c:pt idx="64">
                  <c:v>515.30432949652743</c:v>
                </c:pt>
                <c:pt idx="65">
                  <c:v>531.2487020698627</c:v>
                </c:pt>
                <c:pt idx="66">
                  <c:v>547.18300866493496</c:v>
                </c:pt>
                <c:pt idx="67">
                  <c:v>563.10758354108691</c:v>
                </c:pt>
                <c:pt idx="68">
                  <c:v>579.02274052069481</c:v>
                </c:pt>
                <c:pt idx="69">
                  <c:v>594.92877477767308</c:v>
                </c:pt>
                <c:pt idx="70">
                  <c:v>610.82596442486022</c:v>
                </c:pt>
                <c:pt idx="71">
                  <c:v>529.19928249776444</c:v>
                </c:pt>
                <c:pt idx="72">
                  <c:v>543.08655802570433</c:v>
                </c:pt>
                <c:pt idx="73">
                  <c:v>556.96637999303061</c:v>
                </c:pt>
                <c:pt idx="74">
                  <c:v>570.83896024648345</c:v>
                </c:pt>
                <c:pt idx="75">
                  <c:v>584.70449950058844</c:v>
                </c:pt>
                <c:pt idx="76">
                  <c:v>598.56318817825183</c:v>
                </c:pt>
                <c:pt idx="77">
                  <c:v>612.4152071694856</c:v>
                </c:pt>
                <c:pt idx="78">
                  <c:v>626.26072851795345</c:v>
                </c:pt>
                <c:pt idx="79">
                  <c:v>640.09991604367588</c:v>
                </c:pt>
                <c:pt idx="80">
                  <c:v>653.93292590911119</c:v>
                </c:pt>
                <c:pt idx="81">
                  <c:v>571.29367866643076</c:v>
                </c:pt>
                <c:pt idx="82">
                  <c:v>584.02274942390375</c:v>
                </c:pt>
                <c:pt idx="83">
                  <c:v>596.74603902946581</c:v>
                </c:pt>
                <c:pt idx="84">
                  <c:v>609.46368807028455</c:v>
                </c:pt>
                <c:pt idx="85">
                  <c:v>622.17583079004964</c:v>
                </c:pt>
                <c:pt idx="86">
                  <c:v>634.8825955016722</c:v>
                </c:pt>
                <c:pt idx="87">
                  <c:v>647.58410496524175</c:v>
                </c:pt>
                <c:pt idx="88">
                  <c:v>660.28047673480012</c:v>
                </c:pt>
                <c:pt idx="89">
                  <c:v>672.97182347707405</c:v>
                </c:pt>
                <c:pt idx="90">
                  <c:v>685.65825326492529</c:v>
                </c:pt>
                <c:pt idx="91">
                  <c:v>601.51581107912864</c:v>
                </c:pt>
                <c:pt idx="92">
                  <c:v>612.6422348572687</c:v>
                </c:pt>
                <c:pt idx="93">
                  <c:v>623.76446791937724</c:v>
                </c:pt>
                <c:pt idx="94">
                  <c:v>634.8825955016722</c:v>
                </c:pt>
                <c:pt idx="95">
                  <c:v>645.9966996124806</c:v>
                </c:pt>
                <c:pt idx="96">
                  <c:v>657.10685920908134</c:v>
                </c:pt>
                <c:pt idx="97">
                  <c:v>668.213150361972</c:v>
                </c:pt>
                <c:pt idx="98">
                  <c:v>679.31564640765021</c:v>
                </c:pt>
                <c:pt idx="99">
                  <c:v>690.41441809089395</c:v>
                </c:pt>
                <c:pt idx="100">
                  <c:v>701.50953369741922</c:v>
                </c:pt>
                <c:pt idx="101">
                  <c:v>616.2744410035516</c:v>
                </c:pt>
                <c:pt idx="102">
                  <c:v>626.26072851795345</c:v>
                </c:pt>
                <c:pt idx="103">
                  <c:v>636.24372076531847</c:v>
                </c:pt>
                <c:pt idx="104">
                  <c:v>646.22347672875947</c:v>
                </c:pt>
                <c:pt idx="105">
                  <c:v>656.20005342145384</c:v>
                </c:pt>
                <c:pt idx="106">
                  <c:v>666.17350598202279</c:v>
                </c:pt>
                <c:pt idx="107">
                  <c:v>676.14388776390194</c:v>
                </c:pt>
                <c:pt idx="108">
                  <c:v>686.11125041916978</c:v>
                </c:pt>
                <c:pt idx="109">
                  <c:v>696.07564397725218</c:v>
                </c:pt>
                <c:pt idx="110">
                  <c:v>706.03711691888964</c:v>
                </c:pt>
                <c:pt idx="111">
                  <c:v>626.03380426043839</c:v>
                </c:pt>
                <c:pt idx="112">
                  <c:v>634.42887368260006</c:v>
                </c:pt>
                <c:pt idx="113">
                  <c:v>642.82164719403238</c:v>
                </c:pt>
                <c:pt idx="114">
                  <c:v>651.21215899492643</c:v>
                </c:pt>
                <c:pt idx="115">
                  <c:v>659.60044233238023</c:v>
                </c:pt>
                <c:pt idx="116">
                  <c:v>667.98652953900239</c:v>
                </c:pt>
                <c:pt idx="117">
                  <c:v>676.37045206947698</c:v>
                </c:pt>
                <c:pt idx="118">
                  <c:v>684.75224053522061</c:v>
                </c:pt>
                <c:pt idx="119">
                  <c:v>693.13192473725724</c:v>
                </c:pt>
                <c:pt idx="120">
                  <c:v>701.50953369741853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2.7816112555333632</c:v>
                </c:pt>
                <c:pt idx="2">
                  <c:v>3.4642637344519134</c:v>
                </c:pt>
                <c:pt idx="3">
                  <c:v>4.3150955514659701</c:v>
                </c:pt>
                <c:pt idx="4">
                  <c:v>5.375689482554324</c:v>
                </c:pt>
                <c:pt idx="5">
                  <c:v>6.6979444136316602</c:v>
                </c:pt>
                <c:pt idx="6">
                  <c:v>8.3466426127515607</c:v>
                </c:pt>
                <c:pt idx="7">
                  <c:v>10.40265772985753</c:v>
                </c:pt>
                <c:pt idx="8">
                  <c:v>12.966963853972665</c:v>
                </c:pt>
                <c:pt idx="9">
                  <c:v>16.165646173161679</c:v>
                </c:pt>
                <c:pt idx="10">
                  <c:v>20.156164107103098</c:v>
                </c:pt>
                <c:pt idx="11">
                  <c:v>25.135180761778766</c:v>
                </c:pt>
                <c:pt idx="12">
                  <c:v>31.348351379123169</c:v>
                </c:pt>
                <c:pt idx="13">
                  <c:v>39.102562114708071</c:v>
                </c:pt>
                <c:pt idx="14">
                  <c:v>48.781233975044579</c:v>
                </c:pt>
                <c:pt idx="15">
                  <c:v>60.863461347290858</c:v>
                </c:pt>
                <c:pt idx="16">
                  <c:v>75.947948104970536</c:v>
                </c:pt>
                <c:pt idx="17">
                  <c:v>94.782946603468645</c:v>
                </c:pt>
                <c:pt idx="18">
                  <c:v>118.30370830287877</c:v>
                </c:pt>
                <c:pt idx="19">
                  <c:v>147.67933470094917</c:v>
                </c:pt>
                <c:pt idx="20">
                  <c:v>184.37139305479852</c:v>
                </c:pt>
                <c:pt idx="21">
                  <c:v>125.85236526427535</c:v>
                </c:pt>
                <c:pt idx="22">
                  <c:v>149.09615963333522</c:v>
                </c:pt>
                <c:pt idx="23">
                  <c:v>172.25335699280072</c:v>
                </c:pt>
                <c:pt idx="24">
                  <c:v>195.33725403815274</c:v>
                </c:pt>
                <c:pt idx="25">
                  <c:v>218.35773715529604</c:v>
                </c:pt>
                <c:pt idx="26">
                  <c:v>241.32243325977709</c:v>
                </c:pt>
                <c:pt idx="27">
                  <c:v>264.23739708984232</c:v>
                </c:pt>
                <c:pt idx="28">
                  <c:v>287.10754659858628</c:v>
                </c:pt>
                <c:pt idx="29">
                  <c:v>309.93695192564945</c:v>
                </c:pt>
                <c:pt idx="30">
                  <c:v>332.72903457884451</c:v>
                </c:pt>
                <c:pt idx="31">
                  <c:v>246.9616654808882</c:v>
                </c:pt>
                <c:pt idx="32">
                  <c:v>266.11362550427401</c:v>
                </c:pt>
                <c:pt idx="33">
                  <c:v>285.23452771013774</c:v>
                </c:pt>
                <c:pt idx="34">
                  <c:v>304.32674644619146</c:v>
                </c:pt>
                <c:pt idx="35">
                  <c:v>323.39233379750675</c:v>
                </c:pt>
                <c:pt idx="36">
                  <c:v>342.43308014615872</c:v>
                </c:pt>
                <c:pt idx="37">
                  <c:v>361.45056054643442</c:v>
                </c:pt>
                <c:pt idx="38">
                  <c:v>380.44617082446968</c:v>
                </c:pt>
                <c:pt idx="39">
                  <c:v>399.42115608877901</c:v>
                </c:pt>
                <c:pt idx="40">
                  <c:v>418.37663353903207</c:v>
                </c:pt>
                <c:pt idx="41">
                  <c:v>328.43488071771361</c:v>
                </c:pt>
                <c:pt idx="42">
                  <c:v>342.80619071488053</c:v>
                </c:pt>
                <c:pt idx="43">
                  <c:v>357.16426213426615</c:v>
                </c:pt>
                <c:pt idx="44">
                  <c:v>371.50970211515914</c:v>
                </c:pt>
                <c:pt idx="45">
                  <c:v>385.843067081963</c:v>
                </c:pt>
                <c:pt idx="46">
                  <c:v>400.16486874659626</c:v>
                </c:pt>
                <c:pt idx="47">
                  <c:v>414.47557920665781</c:v>
                </c:pt>
                <c:pt idx="48">
                  <c:v>428.7756353027205</c:v>
                </c:pt>
                <c:pt idx="49">
                  <c:v>443.06544236403448</c:v>
                </c:pt>
                <c:pt idx="50">
                  <c:v>457.34537744583582</c:v>
                </c:pt>
                <c:pt idx="51">
                  <c:v>395.33019874057192</c:v>
                </c:pt>
                <c:pt idx="52">
                  <c:v>405.74176424723083</c:v>
                </c:pt>
                <c:pt idx="53">
                  <c:v>416.14755615430403</c:v>
                </c:pt>
                <c:pt idx="54">
                  <c:v>426.54773922354372</c:v>
                </c:pt>
                <c:pt idx="55">
                  <c:v>436.94246952460372</c:v>
                </c:pt>
                <c:pt idx="56">
                  <c:v>447.33189509390394</c:v>
                </c:pt>
                <c:pt idx="57">
                  <c:v>457.71615652908628</c:v>
                </c:pt>
                <c:pt idx="58">
                  <c:v>468.09538752671023</c:v>
                </c:pt>
                <c:pt idx="59">
                  <c:v>478.46971536976963</c:v>
                </c:pt>
                <c:pt idx="60">
                  <c:v>488.8392613707224</c:v>
                </c:pt>
                <c:pt idx="61">
                  <c:v>450.11389440093325</c:v>
                </c:pt>
                <c:pt idx="62">
                  <c:v>457.71615652908628</c:v>
                </c:pt>
                <c:pt idx="63">
                  <c:v>465.31572230869818</c:v>
                </c:pt>
                <c:pt idx="64">
                  <c:v>472.91264200880033</c:v>
                </c:pt>
                <c:pt idx="65">
                  <c:v>480.5069641508781</c:v>
                </c:pt>
                <c:pt idx="66">
                  <c:v>488.09873559688481</c:v>
                </c:pt>
                <c:pt idx="67">
                  <c:v>495.68800163149422</c:v>
                </c:pt>
                <c:pt idx="68">
                  <c:v>503.27480603905195</c:v>
                </c:pt>
                <c:pt idx="69">
                  <c:v>510.85919117564441</c:v>
                </c:pt>
                <c:pt idx="70">
                  <c:v>518.44119803666342</c:v>
                </c:pt>
                <c:pt idx="71">
                  <c:v>485.32155123080798</c:v>
                </c:pt>
                <c:pt idx="72">
                  <c:v>491.06069603012844</c:v>
                </c:pt>
                <c:pt idx="73">
                  <c:v>496.79841842488571</c:v>
                </c:pt>
                <c:pt idx="74">
                  <c:v>502.53473717055203</c:v>
                </c:pt>
                <c:pt idx="75">
                  <c:v>508.26967055923734</c:v>
                </c:pt>
                <c:pt idx="76">
                  <c:v>514.00323643635181</c:v>
                </c:pt>
                <c:pt idx="77">
                  <c:v>519.73545221648567</c:v>
                </c:pt>
                <c:pt idx="78">
                  <c:v>525.46633489855151</c:v>
                </c:pt>
                <c:pt idx="79">
                  <c:v>531.19590108023328</c:v>
                </c:pt>
                <c:pt idx="80">
                  <c:v>536.92416697177521</c:v>
                </c:pt>
                <c:pt idx="81">
                  <c:v>1.4960899118586383E-12</c:v>
                </c:pt>
                <c:pt idx="82">
                  <c:v>1.4960899118586383E-12</c:v>
                </c:pt>
                <c:pt idx="83">
                  <c:v>1.4960899118586383E-12</c:v>
                </c:pt>
                <c:pt idx="84">
                  <c:v>1.4960899118586383E-12</c:v>
                </c:pt>
                <c:pt idx="85">
                  <c:v>1.4960899118586383E-12</c:v>
                </c:pt>
                <c:pt idx="86">
                  <c:v>1.4960899118586383E-12</c:v>
                </c:pt>
                <c:pt idx="87">
                  <c:v>1.4960899118586383E-12</c:v>
                </c:pt>
                <c:pt idx="88">
                  <c:v>1.4960899118586383E-12</c:v>
                </c:pt>
                <c:pt idx="89">
                  <c:v>1.4960899118586383E-12</c:v>
                </c:pt>
                <c:pt idx="90">
                  <c:v>1.4960899118586383E-12</c:v>
                </c:pt>
                <c:pt idx="91">
                  <c:v>1.4960899118586383E-12</c:v>
                </c:pt>
                <c:pt idx="92">
                  <c:v>1.4960899118586383E-12</c:v>
                </c:pt>
                <c:pt idx="93">
                  <c:v>1.4960899118586383E-12</c:v>
                </c:pt>
                <c:pt idx="94">
                  <c:v>1.4960899118586383E-12</c:v>
                </c:pt>
                <c:pt idx="95">
                  <c:v>1.4960899118586383E-12</c:v>
                </c:pt>
                <c:pt idx="96">
                  <c:v>1.4960899118586383E-12</c:v>
                </c:pt>
                <c:pt idx="97">
                  <c:v>1.4960899118586383E-12</c:v>
                </c:pt>
                <c:pt idx="98">
                  <c:v>1.4960899118586383E-12</c:v>
                </c:pt>
                <c:pt idx="99">
                  <c:v>1.4960899118586383E-12</c:v>
                </c:pt>
                <c:pt idx="100">
                  <c:v>1.4960899118586383E-12</c:v>
                </c:pt>
                <c:pt idx="101">
                  <c:v>1.4960899118586383E-12</c:v>
                </c:pt>
                <c:pt idx="102">
                  <c:v>1.4960899118586383E-12</c:v>
                </c:pt>
                <c:pt idx="103">
                  <c:v>1.4960899118586383E-12</c:v>
                </c:pt>
                <c:pt idx="104">
                  <c:v>1.4960899118586383E-12</c:v>
                </c:pt>
                <c:pt idx="105">
                  <c:v>1.4960899118586383E-12</c:v>
                </c:pt>
                <c:pt idx="106">
                  <c:v>1.4960899118586383E-12</c:v>
                </c:pt>
                <c:pt idx="107">
                  <c:v>1.4960899118586383E-12</c:v>
                </c:pt>
                <c:pt idx="108">
                  <c:v>1.4960899118586383E-12</c:v>
                </c:pt>
                <c:pt idx="109">
                  <c:v>1.4960899118586383E-12</c:v>
                </c:pt>
                <c:pt idx="110">
                  <c:v>1.4960899118586383E-12</c:v>
                </c:pt>
                <c:pt idx="111">
                  <c:v>1.4960899118586383E-12</c:v>
                </c:pt>
                <c:pt idx="112">
                  <c:v>1.4960899118586383E-12</c:v>
                </c:pt>
                <c:pt idx="113">
                  <c:v>1.4960899118586383E-12</c:v>
                </c:pt>
                <c:pt idx="114">
                  <c:v>1.4960899118586383E-12</c:v>
                </c:pt>
                <c:pt idx="115">
                  <c:v>1.4960899118586383E-12</c:v>
                </c:pt>
                <c:pt idx="116">
                  <c:v>1.4960899118586383E-12</c:v>
                </c:pt>
                <c:pt idx="117">
                  <c:v>1.4960899118586383E-12</c:v>
                </c:pt>
                <c:pt idx="118">
                  <c:v>1.4960899118586383E-12</c:v>
                </c:pt>
                <c:pt idx="119">
                  <c:v>1.4960899118586383E-12</c:v>
                </c:pt>
                <c:pt idx="120">
                  <c:v>1.4960899118586383E-12</c:v>
                </c:pt>
                <c:pt idx="121">
                  <c:v>1.4960899118586383E-12</c:v>
                </c:pt>
                <c:pt idx="122">
                  <c:v>1.4960899118586383E-12</c:v>
                </c:pt>
                <c:pt idx="123">
                  <c:v>1.4960899118586383E-12</c:v>
                </c:pt>
                <c:pt idx="124">
                  <c:v>1.4960899118586383E-12</c:v>
                </c:pt>
                <c:pt idx="125">
                  <c:v>1.4960899118586383E-12</c:v>
                </c:pt>
                <c:pt idx="126">
                  <c:v>1.4960899118586383E-12</c:v>
                </c:pt>
                <c:pt idx="127">
                  <c:v>1.4960899118586383E-12</c:v>
                </c:pt>
                <c:pt idx="128">
                  <c:v>1.4960899118586383E-12</c:v>
                </c:pt>
                <c:pt idx="129">
                  <c:v>1.4960899118586383E-12</c:v>
                </c:pt>
                <c:pt idx="130">
                  <c:v>1.4960899118586383E-12</c:v>
                </c:pt>
                <c:pt idx="131">
                  <c:v>1.4960899118586383E-12</c:v>
                </c:pt>
                <c:pt idx="132">
                  <c:v>1.4960899118586383E-12</c:v>
                </c:pt>
                <c:pt idx="133">
                  <c:v>1.4960899118586383E-12</c:v>
                </c:pt>
                <c:pt idx="134">
                  <c:v>1.4960899118586383E-12</c:v>
                </c:pt>
                <c:pt idx="135">
                  <c:v>1.4960899118586383E-12</c:v>
                </c:pt>
                <c:pt idx="136">
                  <c:v>1.4960899118586383E-12</c:v>
                </c:pt>
                <c:pt idx="137">
                  <c:v>1.4960899118586383E-12</c:v>
                </c:pt>
                <c:pt idx="138">
                  <c:v>1.4960899118586383E-12</c:v>
                </c:pt>
                <c:pt idx="139">
                  <c:v>1.4960899118586383E-12</c:v>
                </c:pt>
                <c:pt idx="140">
                  <c:v>1.4960899118586383E-12</c:v>
                </c:pt>
                <c:pt idx="141">
                  <c:v>1.4960899118586383E-12</c:v>
                </c:pt>
                <c:pt idx="142">
                  <c:v>1.4960899118586383E-12</c:v>
                </c:pt>
                <c:pt idx="143">
                  <c:v>1.4960899118586383E-12</c:v>
                </c:pt>
                <c:pt idx="144">
                  <c:v>1.4960899118586383E-12</c:v>
                </c:pt>
                <c:pt idx="145">
                  <c:v>1.4960899118586383E-12</c:v>
                </c:pt>
                <c:pt idx="146">
                  <c:v>1.4960899118586383E-12</c:v>
                </c:pt>
                <c:pt idx="147">
                  <c:v>1.4960899118586383E-12</c:v>
                </c:pt>
                <c:pt idx="148">
                  <c:v>1.4960899118586383E-12</c:v>
                </c:pt>
                <c:pt idx="149">
                  <c:v>1.4960899118586383E-12</c:v>
                </c:pt>
                <c:pt idx="150">
                  <c:v>1.4960899118586383E-12</c:v>
                </c:pt>
                <c:pt idx="151">
                  <c:v>1.4960899118586383E-12</c:v>
                </c:pt>
                <c:pt idx="152">
                  <c:v>1.4960899118586383E-12</c:v>
                </c:pt>
                <c:pt idx="153">
                  <c:v>1.4960899118586383E-12</c:v>
                </c:pt>
                <c:pt idx="154">
                  <c:v>1.4960899118586383E-12</c:v>
                </c:pt>
                <c:pt idx="155">
                  <c:v>1.4960899118586383E-12</c:v>
                </c:pt>
                <c:pt idx="156">
                  <c:v>1.4960899118586383E-12</c:v>
                </c:pt>
                <c:pt idx="157">
                  <c:v>1.4960899118586383E-12</c:v>
                </c:pt>
                <c:pt idx="158">
                  <c:v>1.4960899118586383E-12</c:v>
                </c:pt>
                <c:pt idx="159">
                  <c:v>1.4960899118586383E-12</c:v>
                </c:pt>
                <c:pt idx="160">
                  <c:v>1.4960899118586383E-12</c:v>
                </c:pt>
                <c:pt idx="161">
                  <c:v>1.4960899118586383E-12</c:v>
                </c:pt>
                <c:pt idx="162">
                  <c:v>1.4960899118586383E-12</c:v>
                </c:pt>
                <c:pt idx="163">
                  <c:v>1.4960899118586383E-12</c:v>
                </c:pt>
                <c:pt idx="164">
                  <c:v>1.4960899118586383E-12</c:v>
                </c:pt>
                <c:pt idx="165">
                  <c:v>1.4960899118586383E-12</c:v>
                </c:pt>
                <c:pt idx="166">
                  <c:v>1.4960899118586383E-12</c:v>
                </c:pt>
                <c:pt idx="167">
                  <c:v>1.4960899118586383E-12</c:v>
                </c:pt>
                <c:pt idx="168">
                  <c:v>1.4960899118586383E-12</c:v>
                </c:pt>
                <c:pt idx="169">
                  <c:v>1.4960899118586383E-12</c:v>
                </c:pt>
                <c:pt idx="170">
                  <c:v>1.4960899118586383E-12</c:v>
                </c:pt>
                <c:pt idx="171">
                  <c:v>1.4960899118586383E-12</c:v>
                </c:pt>
                <c:pt idx="172">
                  <c:v>1.4960899118586383E-12</c:v>
                </c:pt>
                <c:pt idx="173">
                  <c:v>1.4960899118586383E-12</c:v>
                </c:pt>
                <c:pt idx="174">
                  <c:v>1.4960899118586383E-12</c:v>
                </c:pt>
                <c:pt idx="175">
                  <c:v>1.4960899118586383E-12</c:v>
                </c:pt>
                <c:pt idx="176">
                  <c:v>1.4960899118586383E-12</c:v>
                </c:pt>
                <c:pt idx="177">
                  <c:v>1.4960899118586383E-12</c:v>
                </c:pt>
                <c:pt idx="178">
                  <c:v>1.4960899118586383E-12</c:v>
                </c:pt>
                <c:pt idx="179">
                  <c:v>1.4960899118586383E-12</c:v>
                </c:pt>
                <c:pt idx="180">
                  <c:v>1.4960899118586383E-12</c:v>
                </c:pt>
                <c:pt idx="181">
                  <c:v>1.4960899118586383E-12</c:v>
                </c:pt>
                <c:pt idx="182">
                  <c:v>1.4960899118586383E-12</c:v>
                </c:pt>
                <c:pt idx="183">
                  <c:v>1.4960899118586383E-12</c:v>
                </c:pt>
                <c:pt idx="184">
                  <c:v>1.4960899118586383E-12</c:v>
                </c:pt>
                <c:pt idx="185">
                  <c:v>1.4960899118586383E-12</c:v>
                </c:pt>
                <c:pt idx="186">
                  <c:v>1.4960899118586383E-12</c:v>
                </c:pt>
                <c:pt idx="187">
                  <c:v>1.4960899118586383E-12</c:v>
                </c:pt>
                <c:pt idx="188">
                  <c:v>1.4960899118586383E-12</c:v>
                </c:pt>
                <c:pt idx="189">
                  <c:v>1.4960899118586383E-12</c:v>
                </c:pt>
                <c:pt idx="190">
                  <c:v>1.4960899118586383E-12</c:v>
                </c:pt>
                <c:pt idx="191">
                  <c:v>1.4960899118586383E-12</c:v>
                </c:pt>
                <c:pt idx="192">
                  <c:v>1.4960899118586383E-12</c:v>
                </c:pt>
                <c:pt idx="193">
                  <c:v>1.4960899118586383E-12</c:v>
                </c:pt>
                <c:pt idx="194">
                  <c:v>1.4960899118586383E-12</c:v>
                </c:pt>
                <c:pt idx="195">
                  <c:v>1.4960899118586383E-12</c:v>
                </c:pt>
                <c:pt idx="196">
                  <c:v>1.4960899118586383E-12</c:v>
                </c:pt>
                <c:pt idx="197">
                  <c:v>1.4960899118586383E-12</c:v>
                </c:pt>
                <c:pt idx="198">
                  <c:v>1.4960899118586383E-12</c:v>
                </c:pt>
                <c:pt idx="199">
                  <c:v>1.4960899118586383E-12</c:v>
                </c:pt>
                <c:pt idx="200">
                  <c:v>1.4960899118586383E-12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1.9269808993010022</c:v>
                </c:pt>
                <c:pt idx="2">
                  <c:v>2.3943193448539568</c:v>
                </c:pt>
                <c:pt idx="3">
                  <c:v>2.9754424279740825</c:v>
                </c:pt>
                <c:pt idx="4">
                  <c:v>3.6981558707830531</c:v>
                </c:pt>
                <c:pt idx="5">
                  <c:v>4.59708373101288</c:v>
                </c:pt>
                <c:pt idx="6">
                  <c:v>5.7153456942709857</c:v>
                </c:pt>
                <c:pt idx="7">
                  <c:v>7.1066481919139983</c:v>
                </c:pt>
                <c:pt idx="8">
                  <c:v>8.8378917204428529</c:v>
                </c:pt>
                <c:pt idx="9">
                  <c:v>10.992422127393413</c:v>
                </c:pt>
                <c:pt idx="10">
                  <c:v>13.674085328275192</c:v>
                </c:pt>
                <c:pt idx="11">
                  <c:v>17.012284500866695</c:v>
                </c:pt>
                <c:pt idx="12">
                  <c:v>21.168288230909493</c:v>
                </c:pt>
                <c:pt idx="13">
                  <c:v>26.343099810894525</c:v>
                </c:pt>
                <c:pt idx="14">
                  <c:v>32.787274987810981</c:v>
                </c:pt>
                <c:pt idx="15">
                  <c:v>40.81317174890625</c:v>
                </c:pt>
                <c:pt idx="16">
                  <c:v>50.810236016593741</c:v>
                </c:pt>
                <c:pt idx="17">
                  <c:v>63.264077381527663</c:v>
                </c:pt>
                <c:pt idx="18">
                  <c:v>78.780276719955808</c:v>
                </c:pt>
                <c:pt idx="19">
                  <c:v>98.114102072330027</c:v>
                </c:pt>
                <c:pt idx="20">
                  <c:v>122.20760219903367</c:v>
                </c:pt>
                <c:pt idx="21">
                  <c:v>135.26977619819337</c:v>
                </c:pt>
                <c:pt idx="22">
                  <c:v>152.20565029747607</c:v>
                </c:pt>
                <c:pt idx="23">
                  <c:v>169.09664015835338</c:v>
                </c:pt>
                <c:pt idx="24">
                  <c:v>185.9478634358592</c:v>
                </c:pt>
                <c:pt idx="25">
                  <c:v>202.76343275622813</c:v>
                </c:pt>
                <c:pt idx="26">
                  <c:v>219.54672196983498</c:v>
                </c:pt>
                <c:pt idx="27">
                  <c:v>236.30054645178791</c:v>
                </c:pt>
                <c:pt idx="28">
                  <c:v>253.02728945651543</c:v>
                </c:pt>
                <c:pt idx="29">
                  <c:v>269.72899324208106</c:v>
                </c:pt>
                <c:pt idx="30">
                  <c:v>286.40742640610694</c:v>
                </c:pt>
                <c:pt idx="31">
                  <c:v>213.99871582167268</c:v>
                </c:pt>
                <c:pt idx="32">
                  <c:v>231.66383182460808</c:v>
                </c:pt>
                <c:pt idx="33">
                  <c:v>249.29817636143676</c:v>
                </c:pt>
                <c:pt idx="34">
                  <c:v>266.90423231001677</c:v>
                </c:pt>
                <c:pt idx="35">
                  <c:v>284.48412810707845</c:v>
                </c:pt>
                <c:pt idx="36">
                  <c:v>302.03970758948918</c:v>
                </c:pt>
                <c:pt idx="37">
                  <c:v>319.57258272913612</c:v>
                </c:pt>
                <c:pt idx="38">
                  <c:v>337.08417417914399</c:v>
                </c:pt>
                <c:pt idx="39">
                  <c:v>354.57574294829556</c:v>
                </c:pt>
                <c:pt idx="40">
                  <c:v>372.04841549557983</c:v>
                </c:pt>
                <c:pt idx="41">
                  <c:v>298.96596087242057</c:v>
                </c:pt>
                <c:pt idx="42">
                  <c:v>315.35133220295853</c:v>
                </c:pt>
                <c:pt idx="43">
                  <c:v>331.71784088337864</c:v>
                </c:pt>
                <c:pt idx="44">
                  <c:v>348.06654843397018</c:v>
                </c:pt>
                <c:pt idx="45">
                  <c:v>364.39840852244924</c:v>
                </c:pt>
                <c:pt idx="46">
                  <c:v>380.71428236559865</c:v>
                </c:pt>
                <c:pt idx="47">
                  <c:v>397.01495135221603</c:v>
                </c:pt>
                <c:pt idx="48">
                  <c:v>413.30112748447704</c:v>
                </c:pt>
                <c:pt idx="49">
                  <c:v>429.57346208757502</c:v>
                </c:pt>
                <c:pt idx="50">
                  <c:v>445.83255313087483</c:v>
                </c:pt>
                <c:pt idx="51">
                  <c:v>371.2835704357048</c:v>
                </c:pt>
                <c:pt idx="52">
                  <c:v>385.80984000660828</c:v>
                </c:pt>
                <c:pt idx="53">
                  <c:v>400.32423184951267</c:v>
                </c:pt>
                <c:pt idx="54">
                  <c:v>414.82723721388476</c:v>
                </c:pt>
                <c:pt idx="55">
                  <c:v>429.31931020102019</c:v>
                </c:pt>
                <c:pt idx="56">
                  <c:v>443.80087175854425</c:v>
                </c:pt>
                <c:pt idx="57">
                  <c:v>458.27231312639037</c:v>
                </c:pt>
                <c:pt idx="58">
                  <c:v>472.73399882486751</c:v>
                </c:pt>
                <c:pt idx="59">
                  <c:v>487.1862692580944</c:v>
                </c:pt>
                <c:pt idx="60">
                  <c:v>501.62944299248062</c:v>
                </c:pt>
                <c:pt idx="61">
                  <c:v>441.00698422491922</c:v>
                </c:pt>
                <c:pt idx="62">
                  <c:v>452.68801995257218</c:v>
                </c:pt>
                <c:pt idx="63">
                  <c:v>464.36261282739719</c:v>
                </c:pt>
                <c:pt idx="64">
                  <c:v>476.03094766353843</c:v>
                </c:pt>
                <c:pt idx="65">
                  <c:v>487.69319947584319</c:v>
                </c:pt>
                <c:pt idx="66">
                  <c:v>499.34953422631708</c:v>
                </c:pt>
                <c:pt idx="67">
                  <c:v>511.0001094972597</c:v>
                </c:pt>
                <c:pt idx="68">
                  <c:v>522.64507509982207</c:v>
                </c:pt>
                <c:pt idx="69">
                  <c:v>534.28457362551364</c:v>
                </c:pt>
                <c:pt idx="70">
                  <c:v>545.9187409471557</c:v>
                </c:pt>
                <c:pt idx="71">
                  <c:v>499.34953422631702</c:v>
                </c:pt>
                <c:pt idx="72">
                  <c:v>508.46785799243179</c:v>
                </c:pt>
                <c:pt idx="73">
                  <c:v>517.58272655457984</c:v>
                </c:pt>
                <c:pt idx="74">
                  <c:v>526.69420935002211</c:v>
                </c:pt>
                <c:pt idx="75">
                  <c:v>535.80237321728055</c:v>
                </c:pt>
                <c:pt idx="76">
                  <c:v>544.90728253687291</c:v>
                </c:pt>
                <c:pt idx="77">
                  <c:v>554.00899936214978</c:v>
                </c:pt>
                <c:pt idx="78">
                  <c:v>563.107583541086</c:v>
                </c:pt>
                <c:pt idx="79">
                  <c:v>572.2030928297944</c:v>
                </c:pt>
                <c:pt idx="80">
                  <c:v>581.29558299844382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4140625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1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5" zoomScaleNormal="85" workbookViewId="0">
      <selection activeCell="C5" sqref="C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2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4</v>
      </c>
      <c r="C3" s="265"/>
      <c r="D3" s="265"/>
      <c r="E3" s="265"/>
      <c r="F3" s="266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7</v>
      </c>
      <c r="B5" s="269"/>
      <c r="C5" s="24">
        <v>6.52</v>
      </c>
      <c r="D5" s="270" t="s">
        <v>8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9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15</v>
      </c>
      <c r="B9" s="31" t="s">
        <v>27</v>
      </c>
      <c r="C9" s="32">
        <v>0.47169194560669458</v>
      </c>
      <c r="D9" s="33">
        <f t="shared" ref="D9:D18" si="0">C9*$C$5</f>
        <v>3.0754314853556486</v>
      </c>
      <c r="E9" s="34">
        <v>120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18</v>
      </c>
      <c r="B10" s="31" t="s">
        <v>29</v>
      </c>
      <c r="C10" s="32">
        <v>9.4469142259414232E-2</v>
      </c>
      <c r="D10" s="33">
        <f t="shared" si="0"/>
        <v>0.61593880753138075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20</v>
      </c>
      <c r="B11" s="31" t="s">
        <v>31</v>
      </c>
      <c r="C11" s="32">
        <v>0.11310146443514645</v>
      </c>
      <c r="D11" s="33">
        <f t="shared" si="0"/>
        <v>0.73742154811715477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22</v>
      </c>
      <c r="B12" s="31"/>
      <c r="C12" s="32">
        <v>1.8828451882845189E-2</v>
      </c>
      <c r="D12" s="33">
        <f t="shared" si="0"/>
        <v>0.12276150627615062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24</v>
      </c>
      <c r="B13" s="31"/>
      <c r="C13" s="32">
        <v>1.8828451882845189E-2</v>
      </c>
      <c r="D13" s="33">
        <f t="shared" si="0"/>
        <v>0.12276150627615062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26</v>
      </c>
      <c r="B14" s="31" t="s">
        <v>227</v>
      </c>
      <c r="C14" s="32">
        <v>0.28308054393305437</v>
      </c>
      <c r="D14" s="33">
        <f t="shared" si="0"/>
        <v>1.8456851464435144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28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30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32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34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36</v>
      </c>
      <c r="C19" s="37">
        <f>SUM(C9:C18)</f>
        <v>1</v>
      </c>
      <c r="D19" s="38">
        <f>SUM(D9:D18)</f>
        <v>6.52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37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38</v>
      </c>
      <c r="B24" s="42" t="s">
        <v>39</v>
      </c>
      <c r="C24" s="43">
        <v>0</v>
      </c>
      <c r="D24" s="44" t="s">
        <v>40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41</v>
      </c>
      <c r="B25" s="42" t="s">
        <v>42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43</v>
      </c>
      <c r="B26" s="42" t="s">
        <v>44</v>
      </c>
      <c r="C26" s="43">
        <v>0</v>
      </c>
      <c r="D26" s="44" t="s">
        <v>45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46</v>
      </c>
      <c r="B27" s="42" t="s">
        <v>47</v>
      </c>
      <c r="C27" s="43">
        <v>0</v>
      </c>
      <c r="D27" s="44" t="s">
        <v>48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49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15</v>
      </c>
      <c r="B32" s="47" t="str">
        <f>IF(B9="","",B9)</f>
        <v>Chêne pubescent</v>
      </c>
      <c r="D32" s="229" t="s">
        <v>50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51</v>
      </c>
      <c r="C34" s="260" t="s">
        <v>52</v>
      </c>
      <c r="D34" s="260"/>
      <c r="E34" s="261" t="s">
        <v>53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54</v>
      </c>
      <c r="B35" s="36" t="s">
        <v>55</v>
      </c>
      <c r="C35" s="48" t="s">
        <v>56</v>
      </c>
      <c r="D35" s="48" t="s">
        <v>57</v>
      </c>
      <c r="E35" s="36" t="s">
        <v>58</v>
      </c>
      <c r="F35" s="36" t="s">
        <v>59</v>
      </c>
      <c r="G35" s="36" t="s">
        <v>60</v>
      </c>
      <c r="H35" s="36" t="s">
        <v>61</v>
      </c>
      <c r="I35" s="48" t="s">
        <v>62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60">
        <v>20</v>
      </c>
      <c r="B36" s="60">
        <v>42</v>
      </c>
      <c r="C36" s="60"/>
      <c r="D36" s="60"/>
      <c r="E36" s="51"/>
      <c r="F36" s="51"/>
      <c r="G36" s="51"/>
      <c r="H36" s="257"/>
      <c r="I36" s="49">
        <f>IFERROR(B36/A36,"")</f>
        <v>2.1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60">
        <v>30</v>
      </c>
      <c r="B37" s="60">
        <f>76+8+21</f>
        <v>105</v>
      </c>
      <c r="C37" s="60">
        <v>1</v>
      </c>
      <c r="D37" s="60">
        <f>21+8</f>
        <v>29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6.3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60">
        <v>40</v>
      </c>
      <c r="B38" s="60">
        <f>116+21+21</f>
        <v>158</v>
      </c>
      <c r="C38" s="60">
        <v>2</v>
      </c>
      <c r="D38" s="60">
        <f>21+21</f>
        <v>42</v>
      </c>
      <c r="E38" s="51"/>
      <c r="F38" s="51"/>
      <c r="G38" s="51"/>
      <c r="H38" s="257"/>
      <c r="I38" s="53">
        <f t="shared" si="1"/>
        <v>8.1999999999999993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60">
        <v>50</v>
      </c>
      <c r="B39" s="60">
        <f>157+21+21</f>
        <v>199</v>
      </c>
      <c r="C39" s="60">
        <v>3</v>
      </c>
      <c r="D39" s="60">
        <f t="shared" ref="D39:D44" si="2">21+21</f>
        <v>42</v>
      </c>
      <c r="E39" s="51"/>
      <c r="F39" s="51"/>
      <c r="G39" s="51"/>
      <c r="H39" s="257"/>
      <c r="I39" s="49">
        <f t="shared" si="1"/>
        <v>8.3000000000000007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60">
        <v>60</v>
      </c>
      <c r="B40" s="60">
        <f>193+21+21</f>
        <v>235</v>
      </c>
      <c r="C40" s="60">
        <v>4</v>
      </c>
      <c r="D40" s="60">
        <f t="shared" si="2"/>
        <v>42</v>
      </c>
      <c r="E40" s="51"/>
      <c r="F40" s="51"/>
      <c r="G40" s="51"/>
      <c r="H40" s="257"/>
      <c r="I40" s="49">
        <f t="shared" si="1"/>
        <v>7.8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60">
        <v>70</v>
      </c>
      <c r="B41" s="60">
        <f>221+21+21</f>
        <v>263</v>
      </c>
      <c r="C41" s="60">
        <v>5</v>
      </c>
      <c r="D41" s="60">
        <f t="shared" si="2"/>
        <v>42</v>
      </c>
      <c r="E41" s="51"/>
      <c r="F41" s="51"/>
      <c r="G41" s="51"/>
      <c r="H41" s="257"/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60">
        <v>80</v>
      </c>
      <c r="B42" s="60">
        <f>240+21+21</f>
        <v>282</v>
      </c>
      <c r="C42" s="60">
        <v>6</v>
      </c>
      <c r="D42" s="60">
        <f t="shared" si="2"/>
        <v>42</v>
      </c>
      <c r="E42" s="51"/>
      <c r="F42" s="51"/>
      <c r="G42" s="51"/>
      <c r="H42" s="257"/>
      <c r="I42" s="53">
        <f t="shared" si="1"/>
        <v>6.1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60">
        <v>90</v>
      </c>
      <c r="B43" s="60">
        <f>254+21+21</f>
        <v>296</v>
      </c>
      <c r="C43" s="60">
        <v>7</v>
      </c>
      <c r="D43" s="60">
        <f t="shared" si="2"/>
        <v>42</v>
      </c>
      <c r="E43" s="51"/>
      <c r="F43" s="51"/>
      <c r="G43" s="51"/>
      <c r="H43" s="257"/>
      <c r="I43" s="49">
        <f t="shared" si="1"/>
        <v>5.6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60">
        <v>100</v>
      </c>
      <c r="B44" s="60">
        <f>261+21+21</f>
        <v>303</v>
      </c>
      <c r="C44" s="60">
        <v>8</v>
      </c>
      <c r="D44" s="60">
        <f t="shared" si="2"/>
        <v>42</v>
      </c>
      <c r="E44" s="51"/>
      <c r="F44" s="51"/>
      <c r="G44" s="51"/>
      <c r="H44" s="257"/>
      <c r="I44" s="49">
        <f t="shared" si="1"/>
        <v>4.9000000000000004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60">
        <v>110</v>
      </c>
      <c r="B45" s="60">
        <f>266+20+19</f>
        <v>305</v>
      </c>
      <c r="C45" s="60">
        <v>9</v>
      </c>
      <c r="D45" s="60">
        <f>20+19</f>
        <v>39</v>
      </c>
      <c r="E45" s="51"/>
      <c r="F45" s="51"/>
      <c r="G45" s="51"/>
      <c r="H45" s="257"/>
      <c r="I45" s="49">
        <f t="shared" si="1"/>
        <v>4.4000000000000004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60">
        <v>120</v>
      </c>
      <c r="B46" s="60">
        <f>268+17+18</f>
        <v>303</v>
      </c>
      <c r="C46" s="60">
        <v>10</v>
      </c>
      <c r="D46" s="60">
        <f>B46</f>
        <v>303</v>
      </c>
      <c r="E46" s="51"/>
      <c r="F46" s="51"/>
      <c r="G46" s="51"/>
      <c r="H46" s="257"/>
      <c r="I46" s="49">
        <f t="shared" si="1"/>
        <v>3.7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18</v>
      </c>
      <c r="B58" s="52" t="str">
        <f>IF(B10="","",B10)</f>
        <v>Cormier</v>
      </c>
      <c r="D58" s="229" t="s">
        <v>50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51</v>
      </c>
      <c r="C60" s="260" t="s">
        <v>52</v>
      </c>
      <c r="D60" s="260"/>
      <c r="E60" s="261" t="s">
        <v>53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54</v>
      </c>
      <c r="B61" s="36" t="s">
        <v>55</v>
      </c>
      <c r="C61" s="48" t="s">
        <v>56</v>
      </c>
      <c r="D61" s="48" t="s">
        <v>57</v>
      </c>
      <c r="E61" s="36" t="s">
        <v>58</v>
      </c>
      <c r="F61" s="36" t="s">
        <v>59</v>
      </c>
      <c r="G61" s="36" t="s">
        <v>60</v>
      </c>
      <c r="H61" s="36" t="s">
        <v>61</v>
      </c>
      <c r="I61" s="48" t="s">
        <v>62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5">
        <v>20</v>
      </c>
      <c r="B62" s="55">
        <v>42</v>
      </c>
      <c r="C62" s="55"/>
      <c r="D62" s="55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5">
        <v>30</v>
      </c>
      <c r="B63" s="55">
        <f>76+8+21</f>
        <v>105</v>
      </c>
      <c r="C63" s="55">
        <v>1</v>
      </c>
      <c r="D63" s="55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5">
        <v>40</v>
      </c>
      <c r="B64" s="55">
        <f>116+21+21</f>
        <v>158</v>
      </c>
      <c r="C64" s="55">
        <v>2</v>
      </c>
      <c r="D64" s="55">
        <f>21+21</f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5">
        <v>50</v>
      </c>
      <c r="B65" s="55">
        <f>157+21+21</f>
        <v>199</v>
      </c>
      <c r="C65" s="55">
        <v>3</v>
      </c>
      <c r="D65" s="55">
        <f t="shared" ref="D65:D70" si="3">21+21</f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5">
        <v>60</v>
      </c>
      <c r="B66" s="55">
        <f>193+21+21</f>
        <v>235</v>
      </c>
      <c r="C66" s="55">
        <v>4</v>
      </c>
      <c r="D66" s="55">
        <f t="shared" si="3"/>
        <v>42</v>
      </c>
      <c r="E66" s="51"/>
      <c r="F66" s="51"/>
      <c r="G66" s="51"/>
      <c r="H66" s="51"/>
      <c r="I66" s="49">
        <f t="shared" ref="I66:I81" si="4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5">
        <v>70</v>
      </c>
      <c r="B67" s="55">
        <f>221+21+21</f>
        <v>263</v>
      </c>
      <c r="C67" s="55">
        <v>5</v>
      </c>
      <c r="D67" s="55">
        <f t="shared" si="3"/>
        <v>42</v>
      </c>
      <c r="E67" s="51"/>
      <c r="F67" s="51"/>
      <c r="G67" s="51"/>
      <c r="H67" s="51"/>
      <c r="I67" s="49">
        <f t="shared" si="4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5">
        <v>80</v>
      </c>
      <c r="B68" s="55">
        <f>240+21+21</f>
        <v>282</v>
      </c>
      <c r="C68" s="55">
        <v>6</v>
      </c>
      <c r="D68" s="55">
        <f t="shared" si="3"/>
        <v>42</v>
      </c>
      <c r="E68" s="51"/>
      <c r="F68" s="51"/>
      <c r="G68" s="51"/>
      <c r="H68" s="51"/>
      <c r="I68" s="49">
        <f t="shared" si="4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90</v>
      </c>
      <c r="B69" s="50">
        <f>254+21+21</f>
        <v>296</v>
      </c>
      <c r="C69" s="50">
        <v>7</v>
      </c>
      <c r="D69" s="50">
        <f t="shared" si="3"/>
        <v>42</v>
      </c>
      <c r="E69" s="51"/>
      <c r="F69" s="51"/>
      <c r="G69" s="51"/>
      <c r="H69" s="51"/>
      <c r="I69" s="49">
        <f t="shared" si="4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100</v>
      </c>
      <c r="B70" s="50">
        <f>261+21+21</f>
        <v>303</v>
      </c>
      <c r="C70" s="50">
        <v>8</v>
      </c>
      <c r="D70" s="50">
        <f t="shared" si="3"/>
        <v>42</v>
      </c>
      <c r="E70" s="51"/>
      <c r="F70" s="51"/>
      <c r="G70" s="51"/>
      <c r="H70" s="51"/>
      <c r="I70" s="49">
        <f t="shared" si="4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110</v>
      </c>
      <c r="B71" s="50">
        <f>266+20+19</f>
        <v>305</v>
      </c>
      <c r="C71" s="50">
        <v>9</v>
      </c>
      <c r="D71" s="50">
        <f>20+19</f>
        <v>39</v>
      </c>
      <c r="E71" s="51"/>
      <c r="F71" s="51"/>
      <c r="G71" s="51"/>
      <c r="H71" s="51"/>
      <c r="I71" s="49">
        <f t="shared" si="4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120</v>
      </c>
      <c r="B72" s="50">
        <f>268+17+18</f>
        <v>303</v>
      </c>
      <c r="C72" s="50">
        <v>10</v>
      </c>
      <c r="D72" s="50">
        <f>B72</f>
        <v>303</v>
      </c>
      <c r="E72" s="51"/>
      <c r="F72" s="51"/>
      <c r="G72" s="51"/>
      <c r="H72" s="51"/>
      <c r="I72" s="49">
        <f t="shared" si="4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4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4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4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4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4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4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4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4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4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20</v>
      </c>
      <c r="B84" s="52" t="str">
        <f>IF(B11="","",B11)</f>
        <v>Erable champêtre</v>
      </c>
      <c r="D84" s="229" t="s">
        <v>50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51</v>
      </c>
      <c r="C86" s="260" t="s">
        <v>52</v>
      </c>
      <c r="D86" s="260"/>
      <c r="E86" s="261" t="s">
        <v>53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54</v>
      </c>
      <c r="B87" s="36" t="s">
        <v>55</v>
      </c>
      <c r="C87" s="48" t="s">
        <v>56</v>
      </c>
      <c r="D87" s="48" t="s">
        <v>57</v>
      </c>
      <c r="E87" s="36" t="s">
        <v>58</v>
      </c>
      <c r="F87" s="36" t="s">
        <v>59</v>
      </c>
      <c r="G87" s="36" t="s">
        <v>60</v>
      </c>
      <c r="H87" s="36" t="s">
        <v>61</v>
      </c>
      <c r="I87" s="48" t="s">
        <v>62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5">
        <v>20</v>
      </c>
      <c r="B88" s="55">
        <v>95</v>
      </c>
      <c r="C88" s="55">
        <v>1</v>
      </c>
      <c r="D88" s="55">
        <f>15+28</f>
        <v>43</v>
      </c>
      <c r="E88" s="51"/>
      <c r="F88" s="51">
        <v>0.25</v>
      </c>
      <c r="G88" s="51">
        <v>0.25</v>
      </c>
      <c r="H88" s="51">
        <v>0.5</v>
      </c>
      <c r="I88" s="53">
        <f>IFERROR(B88/A88,"")</f>
        <v>4.75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5">
        <v>30</v>
      </c>
      <c r="B89" s="55">
        <v>174</v>
      </c>
      <c r="C89" s="55">
        <v>2</v>
      </c>
      <c r="D89" s="55">
        <f>28+28</f>
        <v>56</v>
      </c>
      <c r="E89" s="51"/>
      <c r="F89" s="51">
        <v>0.25</v>
      </c>
      <c r="G89" s="51">
        <v>0.25</v>
      </c>
      <c r="H89" s="51">
        <v>0.5</v>
      </c>
      <c r="I89" s="53">
        <f t="shared" ref="I89:I107" si="5">IF(A89&lt;&gt;0,(B89-(B88-D88))/(A89-A88),"")</f>
        <v>12.2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5">
        <v>40</v>
      </c>
      <c r="B90" s="55">
        <v>220</v>
      </c>
      <c r="C90" s="55">
        <v>3</v>
      </c>
      <c r="D90" s="55">
        <f>28+28</f>
        <v>56</v>
      </c>
      <c r="E90" s="51"/>
      <c r="F90" s="51"/>
      <c r="G90" s="51"/>
      <c r="H90" s="51"/>
      <c r="I90" s="53">
        <f t="shared" si="5"/>
        <v>10.199999999999999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5">
        <v>50</v>
      </c>
      <c r="B91" s="55">
        <v>241</v>
      </c>
      <c r="C91" s="55">
        <v>4</v>
      </c>
      <c r="D91" s="55">
        <f>22+17</f>
        <v>39</v>
      </c>
      <c r="E91" s="51"/>
      <c r="F91" s="51"/>
      <c r="G91" s="51"/>
      <c r="H91" s="51"/>
      <c r="I91" s="53">
        <f t="shared" si="5"/>
        <v>7.7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5">
        <v>60</v>
      </c>
      <c r="B92" s="55">
        <v>258</v>
      </c>
      <c r="C92" s="55">
        <v>5</v>
      </c>
      <c r="D92" s="55">
        <f>13+12</f>
        <v>25</v>
      </c>
      <c r="E92" s="51"/>
      <c r="F92" s="51"/>
      <c r="G92" s="51"/>
      <c r="H92" s="51"/>
      <c r="I92" s="53">
        <f t="shared" si="5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5">
        <v>70</v>
      </c>
      <c r="B93" s="55">
        <v>274</v>
      </c>
      <c r="C93" s="55">
        <v>6</v>
      </c>
      <c r="D93" s="55">
        <f>11+10</f>
        <v>21</v>
      </c>
      <c r="E93" s="51"/>
      <c r="F93" s="51"/>
      <c r="G93" s="51"/>
      <c r="H93" s="51"/>
      <c r="I93" s="53">
        <f t="shared" si="5"/>
        <v>4.0999999999999996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5">
        <v>80</v>
      </c>
      <c r="B94" s="55">
        <f>267+9+8</f>
        <v>284</v>
      </c>
      <c r="C94" s="55">
        <v>7</v>
      </c>
      <c r="D94" s="55">
        <f>B94</f>
        <v>284</v>
      </c>
      <c r="E94" s="51"/>
      <c r="F94" s="51"/>
      <c r="G94" s="51"/>
      <c r="H94" s="51"/>
      <c r="I94" s="53">
        <f t="shared" si="5"/>
        <v>3.1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5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5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5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5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5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5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5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5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22</v>
      </c>
      <c r="B110" s="52" t="str">
        <f>IF(B12="","",B12)</f>
        <v/>
      </c>
      <c r="D110" s="229" t="s">
        <v>50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51</v>
      </c>
      <c r="C112" s="260" t="s">
        <v>52</v>
      </c>
      <c r="D112" s="260"/>
      <c r="E112" s="261" t="s">
        <v>53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54</v>
      </c>
      <c r="B113" s="36" t="s">
        <v>55</v>
      </c>
      <c r="C113" s="48" t="s">
        <v>56</v>
      </c>
      <c r="D113" s="48" t="s">
        <v>57</v>
      </c>
      <c r="E113" s="36" t="s">
        <v>58</v>
      </c>
      <c r="F113" s="36" t="s">
        <v>59</v>
      </c>
      <c r="G113" s="36" t="s">
        <v>60</v>
      </c>
      <c r="H113" s="36" t="s">
        <v>61</v>
      </c>
      <c r="I113" s="48" t="s">
        <v>62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5"/>
      <c r="B114" s="55"/>
      <c r="C114" s="55"/>
      <c r="D114" s="55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5"/>
      <c r="B115" s="55"/>
      <c r="C115" s="55"/>
      <c r="D115" s="55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5"/>
      <c r="B116" s="55"/>
      <c r="C116" s="55"/>
      <c r="D116" s="55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5"/>
      <c r="B117" s="55"/>
      <c r="C117" s="55"/>
      <c r="D117" s="55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5"/>
      <c r="B118" s="55"/>
      <c r="C118" s="55"/>
      <c r="D118" s="55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5"/>
      <c r="B119" s="55"/>
      <c r="C119" s="55"/>
      <c r="D119" s="55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5"/>
      <c r="B120" s="55"/>
      <c r="C120" s="55"/>
      <c r="D120" s="55"/>
      <c r="E120" s="51"/>
      <c r="F120" s="51"/>
      <c r="G120" s="51"/>
      <c r="H120" s="51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5"/>
      <c r="B121" s="55"/>
      <c r="C121" s="55"/>
      <c r="D121" s="55"/>
      <c r="E121" s="51"/>
      <c r="F121" s="51"/>
      <c r="G121" s="51"/>
      <c r="H121" s="51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5"/>
      <c r="B122" s="55"/>
      <c r="C122" s="55"/>
      <c r="D122" s="55"/>
      <c r="E122" s="51"/>
      <c r="F122" s="51"/>
      <c r="G122" s="51"/>
      <c r="H122" s="51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5"/>
      <c r="B123" s="55"/>
      <c r="C123" s="55"/>
      <c r="D123" s="55"/>
      <c r="E123" s="51"/>
      <c r="F123" s="51"/>
      <c r="G123" s="51"/>
      <c r="H123" s="51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5"/>
      <c r="B124" s="55"/>
      <c r="C124" s="55"/>
      <c r="D124" s="55"/>
      <c r="E124" s="51"/>
      <c r="F124" s="51"/>
      <c r="G124" s="51"/>
      <c r="H124" s="51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5"/>
      <c r="B125" s="55"/>
      <c r="C125" s="55"/>
      <c r="D125" s="55"/>
      <c r="E125" s="51"/>
      <c r="F125" s="51"/>
      <c r="G125" s="51"/>
      <c r="H125" s="51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5"/>
      <c r="B126" s="55"/>
      <c r="C126" s="55"/>
      <c r="D126" s="55"/>
      <c r="E126" s="51"/>
      <c r="F126" s="51"/>
      <c r="G126" s="51"/>
      <c r="H126" s="51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5"/>
      <c r="B127" s="55"/>
      <c r="C127" s="55"/>
      <c r="D127" s="55"/>
      <c r="E127" s="51"/>
      <c r="F127" s="51"/>
      <c r="G127" s="51"/>
      <c r="H127" s="51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24</v>
      </c>
      <c r="B136" s="52" t="str">
        <f>IF(B13="","",B13)</f>
        <v/>
      </c>
      <c r="D136" s="229" t="s">
        <v>50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51</v>
      </c>
      <c r="C138" s="260" t="s">
        <v>52</v>
      </c>
      <c r="D138" s="260"/>
      <c r="E138" s="261" t="s">
        <v>53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54</v>
      </c>
      <c r="B139" s="36" t="s">
        <v>55</v>
      </c>
      <c r="C139" s="48" t="s">
        <v>56</v>
      </c>
      <c r="D139" s="48" t="s">
        <v>57</v>
      </c>
      <c r="E139" s="36" t="s">
        <v>58</v>
      </c>
      <c r="F139" s="36" t="s">
        <v>59</v>
      </c>
      <c r="G139" s="36" t="s">
        <v>60</v>
      </c>
      <c r="H139" s="36" t="s">
        <v>61</v>
      </c>
      <c r="I139" s="48" t="s">
        <v>62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60"/>
      <c r="B140" s="60"/>
      <c r="C140" s="60"/>
      <c r="D140" s="60"/>
      <c r="E140" s="51"/>
      <c r="F140" s="51"/>
      <c r="G140" s="51"/>
      <c r="H140" s="257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60"/>
      <c r="B141" s="60"/>
      <c r="C141" s="6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60"/>
      <c r="B142" s="60"/>
      <c r="C142" s="60"/>
      <c r="D142" s="60"/>
      <c r="E142" s="51"/>
      <c r="F142" s="51"/>
      <c r="G142" s="51"/>
      <c r="H142" s="257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60"/>
      <c r="B143" s="60"/>
      <c r="C143" s="60"/>
      <c r="D143" s="60"/>
      <c r="E143" s="51"/>
      <c r="F143" s="51"/>
      <c r="G143" s="51"/>
      <c r="H143" s="257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60"/>
      <c r="B144" s="60"/>
      <c r="C144" s="60"/>
      <c r="D144" s="60"/>
      <c r="E144" s="51"/>
      <c r="F144" s="51"/>
      <c r="G144" s="51"/>
      <c r="H144" s="257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60"/>
      <c r="B145" s="60"/>
      <c r="C145" s="60"/>
      <c r="D145" s="60"/>
      <c r="E145" s="51"/>
      <c r="F145" s="51"/>
      <c r="G145" s="51"/>
      <c r="H145" s="257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60"/>
      <c r="B146" s="60"/>
      <c r="C146" s="60"/>
      <c r="D146" s="60"/>
      <c r="E146" s="51"/>
      <c r="F146" s="51"/>
      <c r="G146" s="51"/>
      <c r="H146" s="257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60"/>
      <c r="B147" s="60"/>
      <c r="C147" s="60"/>
      <c r="D147" s="60"/>
      <c r="E147" s="51"/>
      <c r="F147" s="51"/>
      <c r="G147" s="51"/>
      <c r="H147" s="257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60"/>
      <c r="B148" s="60"/>
      <c r="C148" s="60"/>
      <c r="D148" s="60"/>
      <c r="E148" s="51"/>
      <c r="F148" s="51"/>
      <c r="G148" s="51"/>
      <c r="H148" s="257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60"/>
      <c r="B149" s="60"/>
      <c r="C149" s="60"/>
      <c r="D149" s="60"/>
      <c r="E149" s="51"/>
      <c r="F149" s="51"/>
      <c r="G149" s="51"/>
      <c r="H149" s="257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60"/>
      <c r="B150" s="60"/>
      <c r="C150" s="60"/>
      <c r="D150" s="60"/>
      <c r="E150" s="51"/>
      <c r="F150" s="51"/>
      <c r="G150" s="51"/>
      <c r="H150" s="257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26</v>
      </c>
      <c r="B162" s="52" t="str">
        <f>IF(B14="","",B14)</f>
        <v>Pin laricio</v>
      </c>
      <c r="D162" s="229" t="s">
        <v>50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51</v>
      </c>
      <c r="C164" s="260" t="s">
        <v>52</v>
      </c>
      <c r="D164" s="260"/>
      <c r="E164" s="261" t="s">
        <v>53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54</v>
      </c>
      <c r="B165" s="36" t="s">
        <v>55</v>
      </c>
      <c r="C165" s="48" t="s">
        <v>56</v>
      </c>
      <c r="D165" s="48" t="s">
        <v>57</v>
      </c>
      <c r="E165" s="36" t="s">
        <v>58</v>
      </c>
      <c r="F165" s="36" t="s">
        <v>59</v>
      </c>
      <c r="G165" s="36" t="s">
        <v>60</v>
      </c>
      <c r="H165" s="36" t="s">
        <v>61</v>
      </c>
      <c r="I165" s="48" t="s">
        <v>62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60">
        <v>20</v>
      </c>
      <c r="B166" s="60">
        <v>91</v>
      </c>
      <c r="C166" s="60">
        <v>1</v>
      </c>
      <c r="D166" s="60">
        <v>3</v>
      </c>
      <c r="E166" s="51"/>
      <c r="F166" s="51">
        <v>0.5</v>
      </c>
      <c r="G166" s="51">
        <v>0.5</v>
      </c>
      <c r="H166" s="257"/>
      <c r="I166" s="49">
        <f>IFERROR(B166/A166,"")</f>
        <v>4.55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60">
        <v>30</v>
      </c>
      <c r="B167" s="60">
        <v>218</v>
      </c>
      <c r="C167" s="60">
        <v>2</v>
      </c>
      <c r="D167" s="60">
        <v>70</v>
      </c>
      <c r="E167" s="51"/>
      <c r="F167" s="51">
        <v>0.5</v>
      </c>
      <c r="G167" s="51">
        <v>0.5</v>
      </c>
      <c r="H167" s="51"/>
      <c r="I167" s="49">
        <f t="shared" ref="I167:I185" si="8">IF(A167&lt;&gt;0,(B167-(B166-D166))/(A167-A166),"")</f>
        <v>13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60">
        <v>40</v>
      </c>
      <c r="B168" s="60">
        <v>285</v>
      </c>
      <c r="C168" s="60">
        <v>3</v>
      </c>
      <c r="D168" s="60">
        <v>70</v>
      </c>
      <c r="E168" s="51"/>
      <c r="F168" s="51"/>
      <c r="G168" s="51"/>
      <c r="H168" s="257"/>
      <c r="I168" s="49">
        <f t="shared" si="8"/>
        <v>13.7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60">
        <v>50</v>
      </c>
      <c r="B169" s="60">
        <v>343</v>
      </c>
      <c r="C169" s="60">
        <v>4</v>
      </c>
      <c r="D169" s="60">
        <v>70</v>
      </c>
      <c r="E169" s="51"/>
      <c r="F169" s="51"/>
      <c r="G169" s="51"/>
      <c r="H169" s="257"/>
      <c r="I169" s="49">
        <f t="shared" si="8"/>
        <v>12.8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60">
        <v>60</v>
      </c>
      <c r="B170" s="60">
        <v>387</v>
      </c>
      <c r="C170" s="60">
        <v>5</v>
      </c>
      <c r="D170" s="60">
        <v>57</v>
      </c>
      <c r="E170" s="51"/>
      <c r="F170" s="51"/>
      <c r="G170" s="51"/>
      <c r="H170" s="257"/>
      <c r="I170" s="49">
        <f t="shared" si="8"/>
        <v>11.4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60">
        <v>70</v>
      </c>
      <c r="B171" s="60">
        <v>422</v>
      </c>
      <c r="C171" s="60">
        <v>6</v>
      </c>
      <c r="D171" s="60">
        <v>44</v>
      </c>
      <c r="E171" s="51"/>
      <c r="F171" s="51"/>
      <c r="G171" s="51"/>
      <c r="H171" s="257"/>
      <c r="I171" s="49">
        <f t="shared" si="8"/>
        <v>9.1999999999999993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60">
        <v>80</v>
      </c>
      <c r="B172" s="60">
        <v>450</v>
      </c>
      <c r="C172" s="60">
        <v>7</v>
      </c>
      <c r="D172" s="60">
        <f>B172</f>
        <v>450</v>
      </c>
      <c r="E172" s="51"/>
      <c r="F172" s="51"/>
      <c r="G172" s="51"/>
      <c r="H172" s="257"/>
      <c r="I172" s="49">
        <f t="shared" si="8"/>
        <v>7.2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60"/>
      <c r="B173" s="60"/>
      <c r="C173" s="60"/>
      <c r="D173" s="60"/>
      <c r="E173" s="51"/>
      <c r="F173" s="51"/>
      <c r="G173" s="51"/>
      <c r="H173" s="257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60"/>
      <c r="B174" s="60"/>
      <c r="C174" s="60"/>
      <c r="D174" s="60"/>
      <c r="E174" s="51"/>
      <c r="F174" s="51"/>
      <c r="G174" s="51"/>
      <c r="H174" s="257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60"/>
      <c r="B175" s="60"/>
      <c r="C175" s="60"/>
      <c r="D175" s="60"/>
      <c r="E175" s="51"/>
      <c r="F175" s="51"/>
      <c r="G175" s="51"/>
      <c r="H175" s="257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60"/>
      <c r="B176" s="60"/>
      <c r="C176" s="60"/>
      <c r="D176" s="60"/>
      <c r="E176" s="51"/>
      <c r="F176" s="51"/>
      <c r="G176" s="51"/>
      <c r="H176" s="257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28</v>
      </c>
      <c r="B188" s="52" t="str">
        <f>IF(B15="","",B15)</f>
        <v/>
      </c>
      <c r="D188" s="229" t="s">
        <v>50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51</v>
      </c>
      <c r="C190" s="260" t="s">
        <v>52</v>
      </c>
      <c r="D190" s="260"/>
      <c r="E190" s="261" t="s">
        <v>53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54</v>
      </c>
      <c r="B191" s="36" t="s">
        <v>55</v>
      </c>
      <c r="C191" s="48" t="s">
        <v>56</v>
      </c>
      <c r="D191" s="48" t="s">
        <v>57</v>
      </c>
      <c r="E191" s="36" t="s">
        <v>58</v>
      </c>
      <c r="F191" s="36" t="s">
        <v>59</v>
      </c>
      <c r="G191" s="36" t="s">
        <v>60</v>
      </c>
      <c r="H191" s="36" t="s">
        <v>61</v>
      </c>
      <c r="I191" s="48" t="s">
        <v>62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60"/>
      <c r="B192" s="60"/>
      <c r="C192" s="60"/>
      <c r="D192" s="60"/>
      <c r="E192" s="51"/>
      <c r="F192" s="51"/>
      <c r="G192" s="51"/>
      <c r="H192" s="257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6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60"/>
      <c r="B194" s="60"/>
      <c r="C194" s="60"/>
      <c r="D194" s="60"/>
      <c r="E194" s="51"/>
      <c r="F194" s="51"/>
      <c r="G194" s="51"/>
      <c r="H194" s="257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60"/>
      <c r="B195" s="60"/>
      <c r="C195" s="60"/>
      <c r="D195" s="60"/>
      <c r="E195" s="51"/>
      <c r="F195" s="51"/>
      <c r="G195" s="51"/>
      <c r="H195" s="257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60"/>
      <c r="B196" s="60"/>
      <c r="C196" s="60"/>
      <c r="D196" s="60"/>
      <c r="E196" s="51"/>
      <c r="F196" s="51"/>
      <c r="G196" s="51"/>
      <c r="H196" s="257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60"/>
      <c r="B197" s="60"/>
      <c r="C197" s="60"/>
      <c r="D197" s="60"/>
      <c r="E197" s="51"/>
      <c r="F197" s="51"/>
      <c r="G197" s="51"/>
      <c r="H197" s="257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60"/>
      <c r="B198" s="60"/>
      <c r="C198" s="60"/>
      <c r="D198" s="60"/>
      <c r="E198" s="51"/>
      <c r="F198" s="51"/>
      <c r="G198" s="51"/>
      <c r="H198" s="257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60"/>
      <c r="B199" s="60"/>
      <c r="C199" s="60"/>
      <c r="D199" s="60"/>
      <c r="E199" s="51"/>
      <c r="F199" s="51"/>
      <c r="G199" s="51"/>
      <c r="H199" s="257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60"/>
      <c r="B200" s="60"/>
      <c r="C200" s="60"/>
      <c r="D200" s="60"/>
      <c r="E200" s="51"/>
      <c r="F200" s="51"/>
      <c r="G200" s="51"/>
      <c r="H200" s="257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60"/>
      <c r="B201" s="60"/>
      <c r="C201" s="60"/>
      <c r="D201" s="60"/>
      <c r="E201" s="51"/>
      <c r="F201" s="51"/>
      <c r="G201" s="51"/>
      <c r="H201" s="257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60"/>
      <c r="B202" s="60"/>
      <c r="C202" s="60"/>
      <c r="D202" s="60"/>
      <c r="E202" s="51"/>
      <c r="F202" s="51"/>
      <c r="G202" s="51"/>
      <c r="H202" s="257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30</v>
      </c>
      <c r="B214" s="52" t="str">
        <f>IF(B16="","",B16)</f>
        <v/>
      </c>
      <c r="D214" s="229" t="s">
        <v>50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51</v>
      </c>
      <c r="C216" s="260" t="s">
        <v>52</v>
      </c>
      <c r="D216" s="260"/>
      <c r="E216" s="261" t="s">
        <v>53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54</v>
      </c>
      <c r="B217" s="36" t="s">
        <v>55</v>
      </c>
      <c r="C217" s="48" t="s">
        <v>56</v>
      </c>
      <c r="D217" s="48" t="s">
        <v>57</v>
      </c>
      <c r="E217" s="36" t="s">
        <v>58</v>
      </c>
      <c r="F217" s="36" t="s">
        <v>59</v>
      </c>
      <c r="G217" s="36" t="s">
        <v>60</v>
      </c>
      <c r="H217" s="36" t="s">
        <v>61</v>
      </c>
      <c r="I217" s="48" t="s">
        <v>62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60"/>
      <c r="B218" s="60"/>
      <c r="C218" s="60"/>
      <c r="D218" s="60"/>
      <c r="E218" s="51"/>
      <c r="F218" s="51"/>
      <c r="G218" s="51"/>
      <c r="H218" s="257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60"/>
      <c r="B219" s="60"/>
      <c r="C219" s="60"/>
      <c r="D219" s="60"/>
      <c r="E219" s="51"/>
      <c r="F219" s="51"/>
      <c r="G219" s="51"/>
      <c r="H219" s="51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60"/>
      <c r="B220" s="60"/>
      <c r="C220" s="60"/>
      <c r="D220" s="60"/>
      <c r="E220" s="51"/>
      <c r="F220" s="51"/>
      <c r="G220" s="51"/>
      <c r="H220" s="257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60"/>
      <c r="B221" s="60"/>
      <c r="C221" s="60"/>
      <c r="D221" s="60"/>
      <c r="E221" s="51"/>
      <c r="F221" s="51"/>
      <c r="G221" s="51"/>
      <c r="H221" s="257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60"/>
      <c r="B222" s="60"/>
      <c r="C222" s="60"/>
      <c r="D222" s="60"/>
      <c r="E222" s="51"/>
      <c r="F222" s="51"/>
      <c r="G222" s="51"/>
      <c r="H222" s="257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60"/>
      <c r="B223" s="60"/>
      <c r="C223" s="60"/>
      <c r="D223" s="60"/>
      <c r="E223" s="51"/>
      <c r="F223" s="51"/>
      <c r="G223" s="51"/>
      <c r="H223" s="257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60"/>
      <c r="B224" s="60"/>
      <c r="C224" s="60"/>
      <c r="D224" s="60"/>
      <c r="E224" s="51"/>
      <c r="F224" s="51"/>
      <c r="G224" s="51"/>
      <c r="H224" s="257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60"/>
      <c r="B225" s="60"/>
      <c r="C225" s="60"/>
      <c r="D225" s="60"/>
      <c r="E225" s="51"/>
      <c r="F225" s="51"/>
      <c r="G225" s="51"/>
      <c r="H225" s="257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60"/>
      <c r="B226" s="60"/>
      <c r="C226" s="60"/>
      <c r="D226" s="60"/>
      <c r="E226" s="51"/>
      <c r="F226" s="51"/>
      <c r="G226" s="51"/>
      <c r="H226" s="257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60"/>
      <c r="B227" s="60"/>
      <c r="C227" s="60"/>
      <c r="D227" s="60"/>
      <c r="E227" s="51"/>
      <c r="F227" s="51"/>
      <c r="G227" s="51"/>
      <c r="H227" s="257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60"/>
      <c r="B228" s="60"/>
      <c r="C228" s="60"/>
      <c r="D228" s="60"/>
      <c r="E228" s="51"/>
      <c r="F228" s="51"/>
      <c r="G228" s="51"/>
      <c r="H228" s="257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32</v>
      </c>
      <c r="B240" s="52" t="str">
        <f>IF(B17="","",B17)</f>
        <v/>
      </c>
      <c r="D240" s="229" t="s">
        <v>50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51</v>
      </c>
      <c r="C242" s="260" t="s">
        <v>52</v>
      </c>
      <c r="D242" s="260"/>
      <c r="E242" s="261" t="s">
        <v>53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54</v>
      </c>
      <c r="B243" s="36" t="s">
        <v>55</v>
      </c>
      <c r="C243" s="48" t="s">
        <v>56</v>
      </c>
      <c r="D243" s="48" t="s">
        <v>57</v>
      </c>
      <c r="E243" s="36" t="s">
        <v>58</v>
      </c>
      <c r="F243" s="36" t="s">
        <v>59</v>
      </c>
      <c r="G243" s="36" t="s">
        <v>60</v>
      </c>
      <c r="H243" s="36" t="s">
        <v>61</v>
      </c>
      <c r="I243" s="48" t="s">
        <v>62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60"/>
      <c r="B244" s="60"/>
      <c r="C244" s="60"/>
      <c r="D244" s="60"/>
      <c r="E244" s="51"/>
      <c r="F244" s="51"/>
      <c r="G244" s="51"/>
      <c r="H244" s="257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60"/>
      <c r="B245" s="60"/>
      <c r="C245" s="60"/>
      <c r="D245" s="60"/>
      <c r="E245" s="51"/>
      <c r="F245" s="51"/>
      <c r="G245" s="51"/>
      <c r="H245" s="51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60"/>
      <c r="B246" s="60"/>
      <c r="C246" s="60"/>
      <c r="D246" s="60"/>
      <c r="E246" s="51"/>
      <c r="F246" s="51"/>
      <c r="G246" s="51"/>
      <c r="H246" s="257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60"/>
      <c r="B247" s="60"/>
      <c r="C247" s="60"/>
      <c r="D247" s="60"/>
      <c r="E247" s="51"/>
      <c r="F247" s="51"/>
      <c r="G247" s="51"/>
      <c r="H247" s="257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60"/>
      <c r="B248" s="60"/>
      <c r="C248" s="60"/>
      <c r="D248" s="60"/>
      <c r="E248" s="51"/>
      <c r="F248" s="51"/>
      <c r="G248" s="51"/>
      <c r="H248" s="257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60"/>
      <c r="B249" s="60"/>
      <c r="C249" s="60"/>
      <c r="D249" s="60"/>
      <c r="E249" s="51"/>
      <c r="F249" s="51"/>
      <c r="G249" s="51"/>
      <c r="H249" s="257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60"/>
      <c r="B250" s="60"/>
      <c r="C250" s="60"/>
      <c r="D250" s="60"/>
      <c r="E250" s="51"/>
      <c r="F250" s="51"/>
      <c r="G250" s="51"/>
      <c r="H250" s="257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60"/>
      <c r="B251" s="60"/>
      <c r="C251" s="60"/>
      <c r="D251" s="60"/>
      <c r="E251" s="51"/>
      <c r="F251" s="51"/>
      <c r="G251" s="51"/>
      <c r="H251" s="257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60"/>
      <c r="B252" s="60"/>
      <c r="C252" s="60"/>
      <c r="D252" s="60"/>
      <c r="E252" s="51"/>
      <c r="F252" s="51"/>
      <c r="G252" s="51"/>
      <c r="H252" s="257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60"/>
      <c r="B253" s="60"/>
      <c r="C253" s="60"/>
      <c r="D253" s="60"/>
      <c r="E253" s="51"/>
      <c r="F253" s="51"/>
      <c r="G253" s="51"/>
      <c r="H253" s="257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60"/>
      <c r="B254" s="60"/>
      <c r="C254" s="60"/>
      <c r="D254" s="60"/>
      <c r="E254" s="51"/>
      <c r="F254" s="51"/>
      <c r="G254" s="51"/>
      <c r="H254" s="257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34</v>
      </c>
      <c r="B266" s="52" t="str">
        <f>IF(B18="","",B18)</f>
        <v/>
      </c>
      <c r="D266" s="229" t="s">
        <v>50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51</v>
      </c>
      <c r="C268" s="260" t="s">
        <v>52</v>
      </c>
      <c r="D268" s="260"/>
      <c r="E268" s="261" t="s">
        <v>53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54</v>
      </c>
      <c r="B269" s="36" t="s">
        <v>55</v>
      </c>
      <c r="C269" s="48" t="s">
        <v>56</v>
      </c>
      <c r="D269" s="48" t="s">
        <v>57</v>
      </c>
      <c r="E269" s="36" t="s">
        <v>58</v>
      </c>
      <c r="F269" s="36" t="s">
        <v>59</v>
      </c>
      <c r="G269" s="36" t="s">
        <v>60</v>
      </c>
      <c r="H269" s="36" t="s">
        <v>61</v>
      </c>
      <c r="I269" s="48" t="s">
        <v>62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5"/>
      <c r="B270" s="55"/>
      <c r="C270" s="55"/>
      <c r="D270" s="55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5"/>
      <c r="B271" s="55"/>
      <c r="C271" s="55"/>
      <c r="D271" s="55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5"/>
      <c r="B272" s="55"/>
      <c r="C272" s="55"/>
      <c r="D272" s="55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5"/>
      <c r="B273" s="55"/>
      <c r="C273" s="55"/>
      <c r="D273" s="55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5"/>
      <c r="B274" s="55"/>
      <c r="C274" s="55"/>
      <c r="D274" s="55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5"/>
      <c r="B275" s="55"/>
      <c r="C275" s="55"/>
      <c r="D275" s="55"/>
      <c r="E275" s="51"/>
      <c r="F275" s="51"/>
      <c r="G275" s="51"/>
      <c r="H275" s="51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5"/>
      <c r="B276" s="55"/>
      <c r="C276" s="55"/>
      <c r="D276" s="55"/>
      <c r="E276" s="51"/>
      <c r="F276" s="51"/>
      <c r="G276" s="51"/>
      <c r="H276" s="51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4" sqref="G24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63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64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65</v>
      </c>
      <c r="C7" s="100" t="s">
        <v>66</v>
      </c>
      <c r="D7" s="215"/>
      <c r="E7" s="101"/>
      <c r="F7" s="26" t="s">
        <v>65</v>
      </c>
      <c r="G7" s="100" t="s">
        <v>67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68</v>
      </c>
      <c r="D8" s="23"/>
      <c r="E8" s="105">
        <v>4</v>
      </c>
      <c r="F8" s="61">
        <v>0</v>
      </c>
      <c r="G8" s="102" t="s">
        <v>69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70</v>
      </c>
      <c r="D9" s="23"/>
      <c r="E9" s="105">
        <v>5</v>
      </c>
      <c r="F9" s="61">
        <v>0</v>
      </c>
      <c r="G9" s="103" t="s">
        <v>71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72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73</v>
      </c>
      <c r="D13" s="216"/>
      <c r="E13" s="99"/>
      <c r="F13" s="107"/>
      <c r="G13" s="98" t="s">
        <v>74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75</v>
      </c>
      <c r="D14" s="216"/>
      <c r="E14" s="99"/>
      <c r="F14" s="107"/>
      <c r="G14" s="98" t="s">
        <v>76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65</v>
      </c>
      <c r="C15" s="4"/>
      <c r="D15" s="23"/>
      <c r="E15" s="4"/>
      <c r="F15" s="4"/>
      <c r="G15" s="2" t="s">
        <v>77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78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79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80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D102" sqref="D10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81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Chêne pubescent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Cormier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Erable champêtre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Pin laricio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82</v>
      </c>
      <c r="B2" s="72" t="s">
        <v>83</v>
      </c>
      <c r="C2" s="5" t="s">
        <v>84</v>
      </c>
      <c r="D2" s="5" t="s">
        <v>85</v>
      </c>
      <c r="E2" s="5" t="s">
        <v>86</v>
      </c>
      <c r="F2" s="5" t="s">
        <v>87</v>
      </c>
      <c r="G2" s="5" t="s">
        <v>88</v>
      </c>
      <c r="H2" s="66" t="s">
        <v>89</v>
      </c>
      <c r="I2" s="68" t="s">
        <v>86</v>
      </c>
      <c r="J2" s="69" t="s">
        <v>87</v>
      </c>
      <c r="K2" s="6" t="s">
        <v>90</v>
      </c>
      <c r="L2" s="6" t="s">
        <v>91</v>
      </c>
      <c r="M2" s="6" t="s">
        <v>91</v>
      </c>
      <c r="N2" s="6" t="s">
        <v>92</v>
      </c>
      <c r="O2" s="6" t="s">
        <v>93</v>
      </c>
      <c r="P2" s="6" t="s">
        <v>94</v>
      </c>
      <c r="Q2" s="6" t="s">
        <v>88</v>
      </c>
      <c r="R2" s="6" t="s">
        <v>95</v>
      </c>
      <c r="S2" s="6" t="s">
        <v>96</v>
      </c>
      <c r="T2" s="6" t="s">
        <v>97</v>
      </c>
      <c r="U2" s="7" t="s">
        <v>98</v>
      </c>
      <c r="V2" s="8" t="s">
        <v>99</v>
      </c>
      <c r="W2" s="7" t="s">
        <v>58</v>
      </c>
      <c r="X2" s="7" t="s">
        <v>59</v>
      </c>
      <c r="Y2" s="7" t="s">
        <v>100</v>
      </c>
      <c r="Z2" s="8" t="s">
        <v>101</v>
      </c>
      <c r="AA2" s="8" t="s">
        <v>102</v>
      </c>
      <c r="AB2" s="8" t="s">
        <v>103</v>
      </c>
      <c r="AC2" s="9" t="s">
        <v>104</v>
      </c>
      <c r="AD2" s="69" t="s">
        <v>86</v>
      </c>
      <c r="AE2" s="69" t="s">
        <v>87</v>
      </c>
      <c r="AF2" s="6" t="s">
        <v>90</v>
      </c>
      <c r="AG2" s="6" t="s">
        <v>91</v>
      </c>
      <c r="AH2" s="6" t="s">
        <v>91</v>
      </c>
      <c r="AI2" s="6" t="s">
        <v>92</v>
      </c>
      <c r="AJ2" s="6" t="s">
        <v>93</v>
      </c>
      <c r="AK2" s="6" t="s">
        <v>94</v>
      </c>
      <c r="AL2" s="6" t="s">
        <v>88</v>
      </c>
      <c r="AM2" s="6" t="s">
        <v>95</v>
      </c>
      <c r="AN2" s="6" t="s">
        <v>96</v>
      </c>
      <c r="AO2" s="6" t="s">
        <v>97</v>
      </c>
      <c r="AP2" s="7" t="s">
        <v>98</v>
      </c>
      <c r="AQ2" s="8" t="s">
        <v>99</v>
      </c>
      <c r="AR2" s="7" t="s">
        <v>58</v>
      </c>
      <c r="AS2" s="7" t="s">
        <v>59</v>
      </c>
      <c r="AT2" s="8" t="s">
        <v>105</v>
      </c>
      <c r="AU2" s="8" t="s">
        <v>101</v>
      </c>
      <c r="AV2" s="8" t="s">
        <v>102</v>
      </c>
      <c r="AW2" s="8" t="s">
        <v>103</v>
      </c>
      <c r="AX2" s="8" t="s">
        <v>104</v>
      </c>
      <c r="AY2" s="68" t="s">
        <v>86</v>
      </c>
      <c r="AZ2" s="69" t="s">
        <v>87</v>
      </c>
      <c r="BA2" s="6" t="s">
        <v>90</v>
      </c>
      <c r="BB2" s="6" t="s">
        <v>91</v>
      </c>
      <c r="BC2" s="6" t="s">
        <v>91</v>
      </c>
      <c r="BD2" s="6" t="s">
        <v>92</v>
      </c>
      <c r="BE2" s="6" t="s">
        <v>93</v>
      </c>
      <c r="BF2" s="6" t="s">
        <v>94</v>
      </c>
      <c r="BG2" s="6" t="s">
        <v>88</v>
      </c>
      <c r="BH2" s="6" t="s">
        <v>95</v>
      </c>
      <c r="BI2" s="6" t="s">
        <v>96</v>
      </c>
      <c r="BJ2" s="6" t="s">
        <v>97</v>
      </c>
      <c r="BK2" s="7" t="s">
        <v>98</v>
      </c>
      <c r="BL2" s="8" t="s">
        <v>99</v>
      </c>
      <c r="BM2" s="7" t="s">
        <v>58</v>
      </c>
      <c r="BN2" s="7" t="s">
        <v>59</v>
      </c>
      <c r="BO2" s="8" t="s">
        <v>105</v>
      </c>
      <c r="BP2" s="8" t="s">
        <v>101</v>
      </c>
      <c r="BQ2" s="8" t="s">
        <v>102</v>
      </c>
      <c r="BR2" s="8" t="s">
        <v>103</v>
      </c>
      <c r="BS2" s="9" t="s">
        <v>104</v>
      </c>
      <c r="BT2" s="68" t="s">
        <v>86</v>
      </c>
      <c r="BU2" s="69" t="s">
        <v>87</v>
      </c>
      <c r="BV2" s="6" t="s">
        <v>90</v>
      </c>
      <c r="BW2" s="6" t="s">
        <v>91</v>
      </c>
      <c r="BX2" s="6" t="s">
        <v>91</v>
      </c>
      <c r="BY2" s="6" t="s">
        <v>92</v>
      </c>
      <c r="BZ2" s="6" t="s">
        <v>93</v>
      </c>
      <c r="CA2" s="6" t="s">
        <v>94</v>
      </c>
      <c r="CB2" s="6" t="s">
        <v>88</v>
      </c>
      <c r="CC2" s="6" t="s">
        <v>95</v>
      </c>
      <c r="CD2" s="6" t="s">
        <v>96</v>
      </c>
      <c r="CE2" s="6" t="s">
        <v>97</v>
      </c>
      <c r="CF2" s="7" t="s">
        <v>98</v>
      </c>
      <c r="CG2" s="8" t="s">
        <v>99</v>
      </c>
      <c r="CH2" s="7" t="s">
        <v>58</v>
      </c>
      <c r="CI2" s="7" t="s">
        <v>59</v>
      </c>
      <c r="CJ2" s="8" t="s">
        <v>105</v>
      </c>
      <c r="CK2" s="8" t="s">
        <v>101</v>
      </c>
      <c r="CL2" s="8" t="s">
        <v>102</v>
      </c>
      <c r="CM2" s="8" t="s">
        <v>103</v>
      </c>
      <c r="CN2" s="9" t="s">
        <v>104</v>
      </c>
      <c r="CO2" s="68" t="s">
        <v>86</v>
      </c>
      <c r="CP2" s="69" t="s">
        <v>87</v>
      </c>
      <c r="CQ2" s="6" t="s">
        <v>90</v>
      </c>
      <c r="CR2" s="6" t="s">
        <v>91</v>
      </c>
      <c r="CS2" s="6" t="s">
        <v>91</v>
      </c>
      <c r="CT2" s="6" t="s">
        <v>92</v>
      </c>
      <c r="CU2" s="6" t="s">
        <v>93</v>
      </c>
      <c r="CV2" s="6" t="s">
        <v>94</v>
      </c>
      <c r="CW2" s="6" t="s">
        <v>88</v>
      </c>
      <c r="CX2" s="6" t="s">
        <v>95</v>
      </c>
      <c r="CY2" s="6" t="s">
        <v>96</v>
      </c>
      <c r="CZ2" s="6" t="s">
        <v>97</v>
      </c>
      <c r="DA2" s="7" t="s">
        <v>98</v>
      </c>
      <c r="DB2" s="8" t="s">
        <v>99</v>
      </c>
      <c r="DC2" s="7" t="s">
        <v>58</v>
      </c>
      <c r="DD2" s="7" t="s">
        <v>59</v>
      </c>
      <c r="DE2" s="8" t="s">
        <v>105</v>
      </c>
      <c r="DF2" s="8" t="s">
        <v>101</v>
      </c>
      <c r="DG2" s="8" t="s">
        <v>102</v>
      </c>
      <c r="DH2" s="8" t="s">
        <v>103</v>
      </c>
      <c r="DI2" s="9" t="s">
        <v>104</v>
      </c>
      <c r="DJ2" s="68" t="s">
        <v>86</v>
      </c>
      <c r="DK2" s="69" t="s">
        <v>87</v>
      </c>
      <c r="DL2" s="6" t="s">
        <v>90</v>
      </c>
      <c r="DM2" s="6" t="s">
        <v>91</v>
      </c>
      <c r="DN2" s="6" t="s">
        <v>91</v>
      </c>
      <c r="DO2" s="6" t="s">
        <v>92</v>
      </c>
      <c r="DP2" s="6" t="s">
        <v>93</v>
      </c>
      <c r="DQ2" s="6" t="s">
        <v>94</v>
      </c>
      <c r="DR2" s="6" t="s">
        <v>88</v>
      </c>
      <c r="DS2" s="6" t="s">
        <v>95</v>
      </c>
      <c r="DT2" s="6" t="s">
        <v>96</v>
      </c>
      <c r="DU2" s="6" t="s">
        <v>97</v>
      </c>
      <c r="DV2" s="7" t="s">
        <v>98</v>
      </c>
      <c r="DW2" s="8" t="s">
        <v>99</v>
      </c>
      <c r="DX2" s="7" t="s">
        <v>58</v>
      </c>
      <c r="DY2" s="7" t="s">
        <v>59</v>
      </c>
      <c r="DZ2" s="8" t="s">
        <v>105</v>
      </c>
      <c r="EA2" s="8" t="s">
        <v>101</v>
      </c>
      <c r="EB2" s="8" t="s">
        <v>102</v>
      </c>
      <c r="EC2" s="8" t="s">
        <v>103</v>
      </c>
      <c r="ED2" s="9" t="s">
        <v>104</v>
      </c>
      <c r="EE2" s="68" t="s">
        <v>86</v>
      </c>
      <c r="EF2" s="69" t="s">
        <v>87</v>
      </c>
      <c r="EG2" s="6" t="s">
        <v>90</v>
      </c>
      <c r="EH2" s="6" t="s">
        <v>91</v>
      </c>
      <c r="EI2" s="6" t="s">
        <v>91</v>
      </c>
      <c r="EJ2" s="6" t="s">
        <v>92</v>
      </c>
      <c r="EK2" s="6" t="s">
        <v>93</v>
      </c>
      <c r="EL2" s="6" t="s">
        <v>94</v>
      </c>
      <c r="EM2" s="6" t="s">
        <v>88</v>
      </c>
      <c r="EN2" s="6" t="s">
        <v>95</v>
      </c>
      <c r="EO2" s="6" t="s">
        <v>96</v>
      </c>
      <c r="EP2" s="6" t="s">
        <v>97</v>
      </c>
      <c r="EQ2" s="7" t="s">
        <v>98</v>
      </c>
      <c r="ER2" s="8" t="s">
        <v>99</v>
      </c>
      <c r="ES2" s="7" t="s">
        <v>58</v>
      </c>
      <c r="ET2" s="7" t="s">
        <v>59</v>
      </c>
      <c r="EU2" s="8" t="s">
        <v>105</v>
      </c>
      <c r="EV2" s="8" t="s">
        <v>101</v>
      </c>
      <c r="EW2" s="8" t="s">
        <v>102</v>
      </c>
      <c r="EX2" s="8" t="s">
        <v>103</v>
      </c>
      <c r="EY2" s="9" t="s">
        <v>104</v>
      </c>
      <c r="EZ2" s="68" t="s">
        <v>86</v>
      </c>
      <c r="FA2" s="69" t="s">
        <v>87</v>
      </c>
      <c r="FB2" s="6" t="s">
        <v>90</v>
      </c>
      <c r="FC2" s="6" t="s">
        <v>91</v>
      </c>
      <c r="FD2" s="6" t="s">
        <v>91</v>
      </c>
      <c r="FE2" s="6" t="s">
        <v>92</v>
      </c>
      <c r="FF2" s="6" t="s">
        <v>93</v>
      </c>
      <c r="FG2" s="6" t="s">
        <v>94</v>
      </c>
      <c r="FH2" s="6" t="s">
        <v>88</v>
      </c>
      <c r="FI2" s="6" t="s">
        <v>95</v>
      </c>
      <c r="FJ2" s="6" t="s">
        <v>96</v>
      </c>
      <c r="FK2" s="6" t="s">
        <v>97</v>
      </c>
      <c r="FL2" s="7" t="s">
        <v>98</v>
      </c>
      <c r="FM2" s="8" t="s">
        <v>99</v>
      </c>
      <c r="FN2" s="7" t="s">
        <v>58</v>
      </c>
      <c r="FO2" s="7" t="s">
        <v>59</v>
      </c>
      <c r="FP2" s="8" t="s">
        <v>106</v>
      </c>
      <c r="FQ2" s="8" t="s">
        <v>101</v>
      </c>
      <c r="FR2" s="8" t="s">
        <v>102</v>
      </c>
      <c r="FS2" s="8" t="s">
        <v>103</v>
      </c>
      <c r="FT2" s="9" t="s">
        <v>104</v>
      </c>
      <c r="FU2" s="68" t="s">
        <v>86</v>
      </c>
      <c r="FV2" s="69" t="s">
        <v>87</v>
      </c>
      <c r="FW2" s="6" t="s">
        <v>90</v>
      </c>
      <c r="FX2" s="6" t="s">
        <v>91</v>
      </c>
      <c r="FY2" s="6" t="s">
        <v>91</v>
      </c>
      <c r="FZ2" s="6" t="s">
        <v>92</v>
      </c>
      <c r="GA2" s="6" t="s">
        <v>93</v>
      </c>
      <c r="GB2" s="6" t="s">
        <v>94</v>
      </c>
      <c r="GC2" s="6" t="s">
        <v>88</v>
      </c>
      <c r="GD2" s="6" t="s">
        <v>95</v>
      </c>
      <c r="GE2" s="6" t="s">
        <v>96</v>
      </c>
      <c r="GF2" s="6" t="s">
        <v>97</v>
      </c>
      <c r="GG2" s="7" t="s">
        <v>98</v>
      </c>
      <c r="GH2" s="8" t="s">
        <v>99</v>
      </c>
      <c r="GI2" s="7" t="s">
        <v>58</v>
      </c>
      <c r="GJ2" s="7" t="s">
        <v>59</v>
      </c>
      <c r="GK2" s="8" t="s">
        <v>105</v>
      </c>
      <c r="GL2" s="8" t="s">
        <v>101</v>
      </c>
      <c r="GM2" s="8" t="s">
        <v>102</v>
      </c>
      <c r="GN2" s="8" t="s">
        <v>103</v>
      </c>
      <c r="GO2" s="8" t="s">
        <v>104</v>
      </c>
      <c r="GP2" s="68" t="s">
        <v>86</v>
      </c>
      <c r="GQ2" s="69" t="s">
        <v>87</v>
      </c>
      <c r="GR2" s="6" t="s">
        <v>90</v>
      </c>
      <c r="GS2" s="6" t="s">
        <v>91</v>
      </c>
      <c r="GT2" s="6" t="s">
        <v>91</v>
      </c>
      <c r="GU2" s="6" t="s">
        <v>92</v>
      </c>
      <c r="GV2" s="6" t="s">
        <v>93</v>
      </c>
      <c r="GW2" s="6" t="s">
        <v>94</v>
      </c>
      <c r="GX2" s="6" t="s">
        <v>88</v>
      </c>
      <c r="GY2" s="6" t="s">
        <v>95</v>
      </c>
      <c r="GZ2" s="6" t="s">
        <v>96</v>
      </c>
      <c r="HA2" s="6" t="s">
        <v>97</v>
      </c>
      <c r="HB2" s="7" t="s">
        <v>98</v>
      </c>
      <c r="HC2" s="8" t="s">
        <v>99</v>
      </c>
      <c r="HD2" s="7" t="s">
        <v>58</v>
      </c>
      <c r="HE2" s="7" t="s">
        <v>59</v>
      </c>
      <c r="HF2" s="8" t="s">
        <v>105</v>
      </c>
      <c r="HG2" s="8" t="s">
        <v>101</v>
      </c>
      <c r="HH2" s="8" t="s">
        <v>102</v>
      </c>
      <c r="HI2" s="8" t="s">
        <v>103</v>
      </c>
      <c r="HJ2" s="9" t="s">
        <v>104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465.40148250851843</v>
      </c>
      <c r="T3" s="59">
        <f>IF('Données projet'!E9&gt;30,$R$33-$H$33,LOOKUP('Données projet'!$E$9,$A$3:$A$203,R3:R203)-LOOKUP('Données projet'!$E$9,$A$3:$A$203,$H$3:$H$203))</f>
        <v>290.8428650572356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489.34829722967373</v>
      </c>
      <c r="AO3" s="59">
        <f>IF('Données projet'!E10&gt;30,$AM$33-$H$33,LOOKUP('Données projet'!$E$10,$A$3:$A$203,AM3:AM203)-LOOKUP('Données projet'!$E$10,$A$3:$A$203,$H$3:$H$203))</f>
        <v>304.94365539329362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360.3011551173708</v>
      </c>
      <c r="BJ3" s="59">
        <f>IF('Données projet'!E11&gt;30,$BH$33-$H$33,LOOKUP('Données projet'!$E$11,$A$3:$A$203,BH3:BH203)-LOOKUP('Données projet'!$E$11,$A$3:$A$203,$H$3:$H$203))</f>
        <v>388.50312617855309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350.88566459278962</v>
      </c>
      <c r="DU3" s="59">
        <f>IF('Données projet'!E14&gt;30,$DS$33-$H$33,LOOKUP('Données projet'!$E$14,$A$3:$A$203,DS3:DS203)-LOOKUP('Données projet'!$E$14,$A$3:$A$203,$H$3:$H$203))</f>
        <v>342.18151800581552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</v>
      </c>
      <c r="N4" s="13">
        <f>IF('Données projet'!$A$36&gt;35,N3+M4-V3,IF(A4&lt;'Données projet'!$A$36,$K$205^A4,IF(A4='Données projet'!$A$36,'Données projet'!$B$36,N3+M4-V3)))</f>
        <v>1.2054868146447177</v>
      </c>
      <c r="O4" s="13">
        <f>N4*VLOOKUP('Données projet'!$B$9,Paramètres!$A$1:$I$89,3,0)*VLOOKUP('Données projet'!$B$9,Paramètres!$A$1:$I$89,5,0)</f>
        <v>1.2223636300497438</v>
      </c>
      <c r="P4" s="13">
        <f>EXP(-1.0587+0.8836*LN(O4)+0.284)</f>
        <v>0.55030360208821416</v>
      </c>
      <c r="Q4" s="20">
        <f t="shared" ref="Q4:Q34" si="2">(O4+P4)*0.475*44/12</f>
        <v>3.0873954293069432</v>
      </c>
      <c r="R4" s="59">
        <f t="shared" si="0"/>
        <v>170.89982938223079</v>
      </c>
      <c r="S4" s="59">
        <f ca="1">AVERAGE(OFFSET($R$3,0,0,'Données projet'!$E$9+1,1))-AVERAGE(OFFSET($H$3,0,0,'Données projet'!$E$9+1,1))</f>
        <v>465.40148250851843</v>
      </c>
      <c r="T4" s="59">
        <f>$T$3</f>
        <v>290.8428650572356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1.2975860072835741</v>
      </c>
      <c r="AK4" s="13">
        <f>EXP(-1.0587+0.8836*LN(AJ4)+0.284)</f>
        <v>0.58012177912374829</v>
      </c>
      <c r="AL4" s="20">
        <f t="shared" ref="AL4:AL67" si="4">(AJ4+AK4)*0.475*44/12</f>
        <v>3.2703410613260862</v>
      </c>
      <c r="AM4" s="59">
        <f t="shared" ref="AM4:AM67" si="5">AL4+(AD4+AE4)*44/12</f>
        <v>171.08277501424993</v>
      </c>
      <c r="AN4" s="59">
        <f ca="1">AVERAGE(OFFSET($AM$3,0,0,'Données projet'!$E$10+1,1))-AVERAGE(OFFSET($H$3,0,0,'Données projet'!$E$10+1,1))</f>
        <v>489.34829722967373</v>
      </c>
      <c r="AO4" s="59">
        <f>$AO$3</f>
        <v>304.94365539329362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4.75</v>
      </c>
      <c r="BD4" s="12">
        <f>IF('Données projet'!$A$88&gt;35,BD3+BC4-BL3,IF(A4&lt;'Données projet'!$A$88,$BA$205^A4,IF(A4='Données projet'!$A$88,'Données projet'!$B$88,BD3+BC4-BL3)))</f>
        <v>1.2557008269631629</v>
      </c>
      <c r="BE4" s="13">
        <f>BD4*VLOOKUP('Données projet'!$B$11,Paramètres!$A$1:$I$89,3,0)*VLOOKUP('Données projet'!$B$11,Paramètres!$A$1:$I$89,5,0)</f>
        <v>1.0969802424350192</v>
      </c>
      <c r="BF4" s="13">
        <f>EXP(-1.0587+0.8836*LN(BE4)+0.284)</f>
        <v>0.50011712916308415</v>
      </c>
      <c r="BG4" s="20">
        <f t="shared" ref="BG4:BG67" si="7">(BE4+BF4)*0.475*44/12</f>
        <v>2.7816112555333632</v>
      </c>
      <c r="BH4" s="59">
        <f t="shared" ref="BH4:BH67" si="8">BG4+(AY4+AZ4)*44/12</f>
        <v>170.5940452084572</v>
      </c>
      <c r="BI4" s="59">
        <f ca="1">AVERAGE(OFFSET($BH$3,0,0,'Données projet'!$E$11+1,1))-AVERAGE(OFFSET($H$3,0,0,'Données projet'!$E$11+1,1))</f>
        <v>360.3011551173708</v>
      </c>
      <c r="BJ4" s="59">
        <f>$BJ$3</f>
        <v>388.50312617855309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4.55</v>
      </c>
      <c r="DO4" s="12">
        <f>IF('Données projet'!$A$166&gt;35,DO3+DN4-DW3,IF(A4&lt;'Données projet'!$A$166,$DL$205^A4,IF(A4='Données projet'!$A$166,'Données projet'!$B$166,DO3+DN4-DW3)))</f>
        <v>1.2530028811664373</v>
      </c>
      <c r="DP4" s="17">
        <f>DO4*VLOOKUP('Données projet'!$B$14,Paramètres!$A$1:$I$89,3,0)*VLOOKUP('Données projet'!$B$14,Paramètres!$A$1:$I$89,5,0)</f>
        <v>0.74929572293752955</v>
      </c>
      <c r="DQ4" s="13">
        <f>EXP(-1.0587+0.8836*LN(DP4)+0.284)</f>
        <v>0.35710479340754359</v>
      </c>
      <c r="DR4" s="20">
        <f t="shared" ref="DR4:DR67" si="16">(DP4+DQ4)*0.475*44/12</f>
        <v>1.9269808993010022</v>
      </c>
      <c r="DS4" s="59">
        <f t="shared" ref="DS4:DS67" si="17">DR4+(DJ4+DK4)*44/12</f>
        <v>169.73941485222485</v>
      </c>
      <c r="DT4" s="59">
        <f ca="1">AVERAGE(OFFSET($DS$3,0,0,'Données projet'!$E$14+1,1))-AVERAGE(OFFSET($H$3,0,0,'Données projet'!$E$14+1,1))</f>
        <v>350.88566459278962</v>
      </c>
      <c r="DU4" s="59">
        <f>$DU$3</f>
        <v>342.18151800581552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</v>
      </c>
      <c r="N5" s="13">
        <f>IF('Données projet'!$A$36&gt;35,N4+M5-V4,IF(A5&lt;'Données projet'!$A$36,$K$205^A5,IF(A5='Données projet'!$A$36,'Données projet'!$B$36,N4+M5-V4)))</f>
        <v>1.4531984602822681</v>
      </c>
      <c r="O5" s="13">
        <f>N5*VLOOKUP('Données projet'!$B$9,Paramètres!$A$1:$I$89,3,0)*VLOOKUP('Données projet'!$B$9,Paramètres!$A$1:$I$89,5,0)</f>
        <v>1.47354323872622</v>
      </c>
      <c r="P5" s="13">
        <f t="shared" ref="P5:P68" si="33">EXP(-1.0587+0.8836*LN(O5)+0.284)</f>
        <v>0.64910881835703094</v>
      </c>
      <c r="Q5" s="20">
        <f t="shared" si="2"/>
        <v>3.6969523327533285</v>
      </c>
      <c r="R5" s="59">
        <f t="shared" si="0"/>
        <v>174.29423362025418</v>
      </c>
      <c r="S5" s="59">
        <f ca="1">AVERAGE(OFFSET($R$3,0,0,'Données projet'!$E$9+1,1))-AVERAGE(OFFSET($H$3,0,0,'Données projet'!$E$9+1,1))</f>
        <v>465.40148250851843</v>
      </c>
      <c r="T5" s="59">
        <f t="shared" ref="T5:T68" si="34">$T$3</f>
        <v>290.8428650572356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1.5642228226478332</v>
      </c>
      <c r="AK5" s="13">
        <f t="shared" ref="AK5:AK68" si="35">EXP(-1.0587+0.8836*LN(AJ5)+0.284)</f>
        <v>0.68428075179095682</v>
      </c>
      <c r="AL5" s="20">
        <f t="shared" si="4"/>
        <v>3.9161437254808931</v>
      </c>
      <c r="AM5" s="59">
        <f t="shared" si="5"/>
        <v>174.51342501298171</v>
      </c>
      <c r="AN5" s="59">
        <f ca="1">AVERAGE(OFFSET($AM$3,0,0,'Données projet'!$E$10+1,1))-AVERAGE(OFFSET($H$3,0,0,'Données projet'!$E$10+1,1))</f>
        <v>489.34829722967373</v>
      </c>
      <c r="AO5" s="59">
        <f t="shared" ref="AO5:AO68" si="36">$AO$3</f>
        <v>304.94365539329362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4.75</v>
      </c>
      <c r="BD5" s="12">
        <f>IF('Données projet'!$A$88&gt;35,BD4+BC5-BL4,IF(A5&lt;'Données projet'!$A$88,$BA$205^A5,IF(A5='Données projet'!$A$88,'Données projet'!$B$88,BD4+BC5-BL4)))</f>
        <v>1.576784566835971</v>
      </c>
      <c r="BE5" s="13">
        <f>BD5*VLOOKUP('Données projet'!$B$11,Paramètres!$A$1:$I$89,3,0)*VLOOKUP('Données projet'!$B$11,Paramètres!$A$1:$I$89,5,0)</f>
        <v>1.3774789975879045</v>
      </c>
      <c r="BF5" s="13">
        <f t="shared" ref="BF5:BF68" si="37">EXP(-1.0587+0.8836*LN(BE5)+0.284)</f>
        <v>0.61157195042276347</v>
      </c>
      <c r="BG5" s="20">
        <f t="shared" si="7"/>
        <v>3.4642637344519134</v>
      </c>
      <c r="BH5" s="59">
        <f t="shared" si="8"/>
        <v>174.06154502195275</v>
      </c>
      <c r="BI5" s="59">
        <f ca="1">AVERAGE(OFFSET($BH$3,0,0,'Données projet'!$E$11+1,1))-AVERAGE(OFFSET($H$3,0,0,'Données projet'!$E$11+1,1))</f>
        <v>360.3011551173708</v>
      </c>
      <c r="BJ5" s="59">
        <f t="shared" ref="BJ5:BJ68" si="38">$BJ$3</f>
        <v>388.50312617855309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4.55</v>
      </c>
      <c r="DO5" s="12">
        <f>IF('Données projet'!$A$166&gt;35,DO4+DN5-DW4,IF(A5&lt;'Données projet'!$A$166,$DL$205^A5,IF(A5='Données projet'!$A$166,'Données projet'!$B$166,DO4+DN5-DW4)))</f>
        <v>1.570016220211393</v>
      </c>
      <c r="DP5" s="17">
        <f>DO5*VLOOKUP('Données projet'!$B$14,Paramètres!$A$1:$I$89,3,0)*VLOOKUP('Données projet'!$B$14,Paramètres!$A$1:$I$89,5,0)</f>
        <v>0.9388696996864131</v>
      </c>
      <c r="DQ5" s="13">
        <f t="shared" ref="DQ5:DQ68" si="43">EXP(-1.0587+0.8836*LN(DP5)+0.284)</f>
        <v>0.43585911075604999</v>
      </c>
      <c r="DR5" s="20">
        <f t="shared" si="16"/>
        <v>2.3943193448539568</v>
      </c>
      <c r="DS5" s="59">
        <f t="shared" si="17"/>
        <v>172.99160063235479</v>
      </c>
      <c r="DT5" s="59">
        <f ca="1">AVERAGE(OFFSET($DS$3,0,0,'Données projet'!$E$14+1,1))-AVERAGE(OFFSET($H$3,0,0,'Données projet'!$E$14+1,1))</f>
        <v>350.88566459278962</v>
      </c>
      <c r="DU5" s="59">
        <f t="shared" ref="DU5:DU68" si="44">$DU$3</f>
        <v>342.18151800581552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</v>
      </c>
      <c r="N6" s="13">
        <f>IF('Données projet'!$A$36&gt;35,N5+M6-V5,IF(A6&lt;'Données projet'!$A$36,$K$205^A6,IF(A6='Données projet'!$A$36,'Données projet'!$B$36,N5+M6-V5)))</f>
        <v>1.7518115829322798</v>
      </c>
      <c r="O6" s="13">
        <f>N6*VLOOKUP('Données projet'!$B$9,Paramètres!$A$1:$I$89,3,0)*VLOOKUP('Données projet'!$B$9,Paramètres!$A$1:$I$89,5,0)</f>
        <v>1.7763369450933317</v>
      </c>
      <c r="P6" s="13">
        <f t="shared" si="33"/>
        <v>0.76565418883323866</v>
      </c>
      <c r="Q6" s="20">
        <f t="shared" si="2"/>
        <v>4.4273012249221102</v>
      </c>
      <c r="R6" s="59">
        <f t="shared" si="0"/>
        <v>177.78232179480699</v>
      </c>
      <c r="S6" s="59">
        <f ca="1">AVERAGE(OFFSET($R$3,0,0,'Données projet'!$E$9+1,1))-AVERAGE(OFFSET($H$3,0,0,'Données projet'!$E$9+1,1))</f>
        <v>465.40148250851843</v>
      </c>
      <c r="T6" s="59">
        <f t="shared" si="34"/>
        <v>290.8428650572356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1.885649987868306</v>
      </c>
      <c r="AK6" s="13">
        <f t="shared" si="35"/>
        <v>0.8071411281590839</v>
      </c>
      <c r="AL6" s="20">
        <f t="shared" si="4"/>
        <v>4.6899445270810372</v>
      </c>
      <c r="AM6" s="59">
        <f t="shared" si="5"/>
        <v>178.04496509696591</v>
      </c>
      <c r="AN6" s="59">
        <f ca="1">AVERAGE(OFFSET($AM$3,0,0,'Données projet'!$E$10+1,1))-AVERAGE(OFFSET($H$3,0,0,'Données projet'!$E$10+1,1))</f>
        <v>489.34829722967373</v>
      </c>
      <c r="AO6" s="59">
        <f t="shared" si="36"/>
        <v>304.94365539329362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4.75</v>
      </c>
      <c r="BD6" s="12">
        <f>IF('Données projet'!$A$88&gt;35,BD5+BC6-BL5,IF(A6&lt;'Données projet'!$A$88,$BA$205^A6,IF(A6='Données projet'!$A$88,'Données projet'!$B$88,BD5+BC6-BL5)))</f>
        <v>1.9799696845186814</v>
      </c>
      <c r="BE6" s="13">
        <f>BD6*VLOOKUP('Données projet'!$B$11,Paramètres!$A$1:$I$89,3,0)*VLOOKUP('Données projet'!$B$11,Paramètres!$A$1:$I$89,5,0)</f>
        <v>1.7297015163955203</v>
      </c>
      <c r="BF6" s="13">
        <f t="shared" si="37"/>
        <v>0.7478653074126923</v>
      </c>
      <c r="BG6" s="20">
        <f t="shared" si="7"/>
        <v>4.3150955514659701</v>
      </c>
      <c r="BH6" s="59">
        <f t="shared" si="8"/>
        <v>177.67011612135084</v>
      </c>
      <c r="BI6" s="59">
        <f ca="1">AVERAGE(OFFSET($BH$3,0,0,'Données projet'!$E$11+1,1))-AVERAGE(OFFSET($H$3,0,0,'Données projet'!$E$11+1,1))</f>
        <v>360.3011551173708</v>
      </c>
      <c r="BJ6" s="59">
        <f t="shared" si="38"/>
        <v>388.50312617855309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4.55</v>
      </c>
      <c r="DO6" s="12">
        <f>IF('Données projet'!$A$166&gt;35,DO5+DN6-DW5,IF(A6&lt;'Données projet'!$A$166,$DL$205^A6,IF(A6='Données projet'!$A$166,'Données projet'!$B$166,DO5+DN6-DW5)))</f>
        <v>1.9672348474029151</v>
      </c>
      <c r="DP6" s="17">
        <f>DO6*VLOOKUP('Données projet'!$B$14,Paramètres!$A$1:$I$89,3,0)*VLOOKUP('Données projet'!$B$14,Paramètres!$A$1:$I$89,5,0)</f>
        <v>1.1764064387469433</v>
      </c>
      <c r="DQ6" s="13">
        <f t="shared" si="43"/>
        <v>0.53198155817597481</v>
      </c>
      <c r="DR6" s="20">
        <f t="shared" si="16"/>
        <v>2.9754424279740825</v>
      </c>
      <c r="DS6" s="59">
        <f t="shared" si="17"/>
        <v>176.33046299785897</v>
      </c>
      <c r="DT6" s="59">
        <f ca="1">AVERAGE(OFFSET($DS$3,0,0,'Données projet'!$E$14+1,1))-AVERAGE(OFFSET($H$3,0,0,'Données projet'!$E$14+1,1))</f>
        <v>350.88566459278962</v>
      </c>
      <c r="DU6" s="59">
        <f t="shared" si="44"/>
        <v>342.18151800581552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</v>
      </c>
      <c r="N7" s="13">
        <f>IF('Données projet'!$A$36&gt;35,N6+M7-V6,IF(A7&lt;'Données projet'!$A$36,$K$205^A7,IF(A7='Données projet'!$A$36,'Données projet'!$B$36,N6+M7-V6)))</f>
        <v>2.1117857649667546</v>
      </c>
      <c r="O7" s="13">
        <f>N7*VLOOKUP('Données projet'!$B$9,Paramètres!$A$1:$I$89,3,0)*VLOOKUP('Données projet'!$B$9,Paramètres!$A$1:$I$89,5,0)</f>
        <v>2.1413507656762891</v>
      </c>
      <c r="P7" s="13">
        <f t="shared" si="33"/>
        <v>0.9031249003236328</v>
      </c>
      <c r="Q7" s="20">
        <f t="shared" si="2"/>
        <v>5.3024617849498643</v>
      </c>
      <c r="R7" s="59">
        <f t="shared" si="0"/>
        <v>181.3885838491268</v>
      </c>
      <c r="S7" s="59">
        <f ca="1">AVERAGE(OFFSET($R$3,0,0,'Données projet'!$E$9+1,1))-AVERAGE(OFFSET($H$3,0,0,'Données projet'!$E$9+1,1))</f>
        <v>465.40148250851843</v>
      </c>
      <c r="T7" s="59">
        <f t="shared" si="34"/>
        <v>290.8428650572356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2.2731261974102144</v>
      </c>
      <c r="AK7" s="13">
        <f t="shared" si="35"/>
        <v>0.95206068424520052</v>
      </c>
      <c r="AL7" s="20">
        <f t="shared" si="4"/>
        <v>5.617200485549847</v>
      </c>
      <c r="AM7" s="59">
        <f t="shared" si="5"/>
        <v>181.70332254972681</v>
      </c>
      <c r="AN7" s="59">
        <f ca="1">AVERAGE(OFFSET($AM$3,0,0,'Données projet'!$E$10+1,1))-AVERAGE(OFFSET($H$3,0,0,'Données projet'!$E$10+1,1))</f>
        <v>489.34829722967373</v>
      </c>
      <c r="AO7" s="59">
        <f t="shared" si="36"/>
        <v>304.94365539329362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4.75</v>
      </c>
      <c r="BD7" s="12">
        <f>IF('Données projet'!$A$88&gt;35,BD6+BC7-BL6,IF(A7&lt;'Données projet'!$A$88,$BA$205^A7,IF(A7='Données projet'!$A$88,'Données projet'!$B$88,BD6+BC7-BL6)))</f>
        <v>2.4862495702121006</v>
      </c>
      <c r="BE7" s="13">
        <f>BD7*VLOOKUP('Données projet'!$B$11,Paramètres!$A$1:$I$89,3,0)*VLOOKUP('Données projet'!$B$11,Paramètres!$A$1:$I$89,5,0)</f>
        <v>2.1719876245372913</v>
      </c>
      <c r="BF7" s="13">
        <f t="shared" si="37"/>
        <v>0.91453265252739235</v>
      </c>
      <c r="BG7" s="20">
        <f t="shared" si="7"/>
        <v>5.375689482554324</v>
      </c>
      <c r="BH7" s="59">
        <f t="shared" si="8"/>
        <v>181.46181154673127</v>
      </c>
      <c r="BI7" s="59">
        <f ca="1">AVERAGE(OFFSET($BH$3,0,0,'Données projet'!$E$11+1,1))-AVERAGE(OFFSET($H$3,0,0,'Données projet'!$E$11+1,1))</f>
        <v>360.3011551173708</v>
      </c>
      <c r="BJ7" s="59">
        <f t="shared" si="38"/>
        <v>388.50312617855309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4.55</v>
      </c>
      <c r="DO7" s="12">
        <f>IF('Données projet'!$A$166&gt;35,DO6+DN7-DW6,IF(A7&lt;'Données projet'!$A$166,$DL$205^A7,IF(A7='Données projet'!$A$166,'Données projet'!$B$166,DO6+DN7-DW6)))</f>
        <v>2.4649509317268694</v>
      </c>
      <c r="DP7" s="17">
        <f>DO7*VLOOKUP('Données projet'!$B$14,Paramètres!$A$1:$I$89,3,0)*VLOOKUP('Données projet'!$B$14,Paramètres!$A$1:$I$89,5,0)</f>
        <v>1.4740406571726681</v>
      </c>
      <c r="DQ7" s="13">
        <f t="shared" si="43"/>
        <v>0.64930242653052039</v>
      </c>
      <c r="DR7" s="20">
        <f t="shared" si="16"/>
        <v>3.6981558707830531</v>
      </c>
      <c r="DS7" s="59">
        <f t="shared" si="17"/>
        <v>179.78427793495999</v>
      </c>
      <c r="DT7" s="59">
        <f ca="1">AVERAGE(OFFSET($DS$3,0,0,'Données projet'!$E$14+1,1))-AVERAGE(OFFSET($H$3,0,0,'Données projet'!$E$14+1,1))</f>
        <v>350.88566459278962</v>
      </c>
      <c r="DU7" s="59">
        <f t="shared" si="44"/>
        <v>342.18151800581552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</v>
      </c>
      <c r="N8" s="13">
        <f>IF('Données projet'!$A$36&gt;35,N7+M8-V7,IF(A8&lt;'Données projet'!$A$36,$K$205^A8,IF(A8='Données projet'!$A$36,'Données projet'!$B$36,N7+M8-V7)))</f>
        <v>2.5457298950218314</v>
      </c>
      <c r="O8" s="13">
        <f>N8*VLOOKUP('Données projet'!$B$9,Paramètres!$A$1:$I$89,3,0)*VLOOKUP('Données projet'!$B$9,Paramètres!$A$1:$I$89,5,0)</f>
        <v>2.5813701135521372</v>
      </c>
      <c r="P8" s="13">
        <f t="shared" si="33"/>
        <v>1.0652780295337991</v>
      </c>
      <c r="Q8" s="20">
        <f t="shared" si="2"/>
        <v>6.3512455158746723</v>
      </c>
      <c r="R8" s="59">
        <f t="shared" si="0"/>
        <v>185.14229339232202</v>
      </c>
      <c r="S8" s="59">
        <f ca="1">AVERAGE(OFFSET($R$3,0,0,'Données projet'!$E$9+1,1))-AVERAGE(OFFSET($H$3,0,0,'Données projet'!$E$9+1,1))</f>
        <v>465.40148250851843</v>
      </c>
      <c r="T8" s="59">
        <f t="shared" si="34"/>
        <v>290.8428650572356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2.740223659001499</v>
      </c>
      <c r="AK8" s="13">
        <f t="shared" si="35"/>
        <v>1.1230000737947632</v>
      </c>
      <c r="AL8" s="20">
        <f t="shared" si="4"/>
        <v>6.7284480012868242</v>
      </c>
      <c r="AM8" s="59">
        <f t="shared" si="5"/>
        <v>185.51949587773419</v>
      </c>
      <c r="AN8" s="59">
        <f ca="1">AVERAGE(OFFSET($AM$3,0,0,'Données projet'!$E$10+1,1))-AVERAGE(OFFSET($H$3,0,0,'Données projet'!$E$10+1,1))</f>
        <v>489.34829722967373</v>
      </c>
      <c r="AO8" s="59">
        <f t="shared" si="36"/>
        <v>304.94365539329362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4.75</v>
      </c>
      <c r="BD8" s="12">
        <f>IF('Données projet'!$A$88&gt;35,BD7+BC8-BL7,IF(A8&lt;'Données projet'!$A$88,$BA$205^A8,IF(A8='Données projet'!$A$88,'Données projet'!$B$88,BD7+BC8-BL7)))</f>
        <v>3.121985641352143</v>
      </c>
      <c r="BE8" s="13">
        <f>BD8*VLOOKUP('Données projet'!$B$11,Paramètres!$A$1:$I$89,3,0)*VLOOKUP('Données projet'!$B$11,Paramètres!$A$1:$I$89,5,0)</f>
        <v>2.7273666562852323</v>
      </c>
      <c r="BF8" s="13">
        <f t="shared" si="37"/>
        <v>1.1183430548908408</v>
      </c>
      <c r="BG8" s="20">
        <f t="shared" si="7"/>
        <v>6.6979444136316602</v>
      </c>
      <c r="BH8" s="59">
        <f t="shared" si="8"/>
        <v>185.48899229007901</v>
      </c>
      <c r="BI8" s="59">
        <f ca="1">AVERAGE(OFFSET($BH$3,0,0,'Données projet'!$E$11+1,1))-AVERAGE(OFFSET($H$3,0,0,'Données projet'!$E$11+1,1))</f>
        <v>360.3011551173708</v>
      </c>
      <c r="BJ8" s="59">
        <f t="shared" si="38"/>
        <v>388.50312617855309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4.55</v>
      </c>
      <c r="DO8" s="12">
        <f>IF('Données projet'!$A$166&gt;35,DO7+DN8-DW7,IF(A8&lt;'Données projet'!$A$166,$DL$205^A8,IF(A8='Données projet'!$A$166,'Données projet'!$B$166,DO7+DN8-DW7)))</f>
        <v>3.0885906193876616</v>
      </c>
      <c r="DP8" s="17">
        <f>DO8*VLOOKUP('Données projet'!$B$14,Paramètres!$A$1:$I$89,3,0)*VLOOKUP('Données projet'!$B$14,Paramètres!$A$1:$I$89,5,0)</f>
        <v>1.8469771903938217</v>
      </c>
      <c r="DQ8" s="13">
        <f t="shared" si="43"/>
        <v>0.79249672214945899</v>
      </c>
      <c r="DR8" s="20">
        <f t="shared" si="16"/>
        <v>4.59708373101288</v>
      </c>
      <c r="DS8" s="59">
        <f t="shared" si="17"/>
        <v>183.38813160746022</v>
      </c>
      <c r="DT8" s="59">
        <f ca="1">AVERAGE(OFFSET($DS$3,0,0,'Données projet'!$E$14+1,1))-AVERAGE(OFFSET($H$3,0,0,'Données projet'!$E$14+1,1))</f>
        <v>350.88566459278962</v>
      </c>
      <c r="DU8" s="59">
        <f t="shared" si="44"/>
        <v>342.18151800581552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</v>
      </c>
      <c r="N9" s="13">
        <f>IF('Données projet'!$A$36&gt;35,N8+M9-V8,IF(A9&lt;'Données projet'!$A$36,$K$205^A9,IF(A9='Données projet'!$A$36,'Données projet'!$B$36,N8+M9-V8)))</f>
        <v>3.0688438220956993</v>
      </c>
      <c r="O9" s="13">
        <f>N9*VLOOKUP('Données projet'!$B$9,Paramètres!$A$1:$I$89,3,0)*VLOOKUP('Données projet'!$B$9,Paramètres!$A$1:$I$89,5,0)</f>
        <v>3.111807635605039</v>
      </c>
      <c r="P9" s="13">
        <f t="shared" si="33"/>
        <v>1.2565452240335246</v>
      </c>
      <c r="Q9" s="20">
        <f t="shared" si="2"/>
        <v>7.6082145638704972</v>
      </c>
      <c r="R9" s="59">
        <f t="shared" si="0"/>
        <v>189.07846666012946</v>
      </c>
      <c r="S9" s="59">
        <f ca="1">AVERAGE(OFFSET($R$3,0,0,'Données projet'!$E$9+1,1))-AVERAGE(OFFSET($H$3,0,0,'Données projet'!$E$9+1,1))</f>
        <v>465.40148250851843</v>
      </c>
      <c r="T9" s="59">
        <f t="shared" si="34"/>
        <v>290.8428650572356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3.3033034901038101</v>
      </c>
      <c r="AK9" s="13">
        <f t="shared" si="35"/>
        <v>1.3246310730107231</v>
      </c>
      <c r="AL9" s="20">
        <f t="shared" si="4"/>
        <v>8.0603193640911446</v>
      </c>
      <c r="AM9" s="59">
        <f t="shared" si="5"/>
        <v>189.53057146035013</v>
      </c>
      <c r="AN9" s="59">
        <f ca="1">AVERAGE(OFFSET($AM$3,0,0,'Données projet'!$E$10+1,1))-AVERAGE(OFFSET($H$3,0,0,'Données projet'!$E$10+1,1))</f>
        <v>489.34829722967373</v>
      </c>
      <c r="AO9" s="59">
        <f t="shared" si="36"/>
        <v>304.94365539329362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4.75</v>
      </c>
      <c r="BD9" s="12">
        <f>IF('Données projet'!$A$88&gt;35,BD8+BC9-BL8,IF(A9&lt;'Données projet'!$A$88,$BA$205^A9,IF(A9='Données projet'!$A$88,'Données projet'!$B$88,BD8+BC9-BL8)))</f>
        <v>3.920279951613006</v>
      </c>
      <c r="BE9" s="13">
        <f>BD9*VLOOKUP('Données projet'!$B$11,Paramètres!$A$1:$I$89,3,0)*VLOOKUP('Données projet'!$B$11,Paramètres!$A$1:$I$89,5,0)</f>
        <v>3.4247565657291221</v>
      </c>
      <c r="BF9" s="13">
        <f t="shared" si="37"/>
        <v>1.3675741210181858</v>
      </c>
      <c r="BG9" s="20">
        <f t="shared" si="7"/>
        <v>8.3466426127515607</v>
      </c>
      <c r="BH9" s="59">
        <f t="shared" si="8"/>
        <v>189.81689470901054</v>
      </c>
      <c r="BI9" s="59">
        <f ca="1">AVERAGE(OFFSET($BH$3,0,0,'Données projet'!$E$11+1,1))-AVERAGE(OFFSET($H$3,0,0,'Données projet'!$E$11+1,1))</f>
        <v>360.3011551173708</v>
      </c>
      <c r="BJ9" s="59">
        <f t="shared" si="38"/>
        <v>388.50312617855309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4.55</v>
      </c>
      <c r="DO9" s="12">
        <f>IF('Données projet'!$A$166&gt;35,DO8+DN9-DW8,IF(A9&lt;'Données projet'!$A$166,$DL$205^A9,IF(A9='Données projet'!$A$166,'Données projet'!$B$166,DO8+DN9-DW8)))</f>
        <v>3.8700129448363709</v>
      </c>
      <c r="DP9" s="17">
        <f>DO9*VLOOKUP('Données projet'!$B$14,Paramètres!$A$1:$I$89,3,0)*VLOOKUP('Données projet'!$B$14,Paramètres!$A$1:$I$89,5,0)</f>
        <v>2.3142677410121499</v>
      </c>
      <c r="DQ9" s="13">
        <f t="shared" si="43"/>
        <v>0.96727045665540168</v>
      </c>
      <c r="DR9" s="20">
        <f t="shared" si="16"/>
        <v>5.7153456942709857</v>
      </c>
      <c r="DS9" s="59">
        <f t="shared" si="17"/>
        <v>187.18559779052995</v>
      </c>
      <c r="DT9" s="59">
        <f ca="1">AVERAGE(OFFSET($DS$3,0,0,'Données projet'!$E$14+1,1))-AVERAGE(OFFSET($H$3,0,0,'Données projet'!$E$14+1,1))</f>
        <v>350.88566459278962</v>
      </c>
      <c r="DU9" s="59">
        <f t="shared" si="44"/>
        <v>342.18151800581552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</v>
      </c>
      <c r="N10" s="13">
        <f>IF('Données projet'!$A$36&gt;35,N9+M10-V9,IF(A10&lt;'Données projet'!$A$36,$K$205^A10,IF(A10='Données projet'!$A$36,'Données projet'!$B$36,N9+M10-V9)))</f>
        <v>3.6994507637402658</v>
      </c>
      <c r="O10" s="13">
        <f>N10*VLOOKUP('Données projet'!$B$9,Paramètres!$A$1:$I$89,3,0)*VLOOKUP('Données projet'!$B$9,Paramètres!$A$1:$I$89,5,0)</f>
        <v>3.7512430744326299</v>
      </c>
      <c r="P10" s="13">
        <f t="shared" si="33"/>
        <v>1.4821538192545303</v>
      </c>
      <c r="Q10" s="20">
        <f t="shared" si="2"/>
        <v>9.1148329231718037</v>
      </c>
      <c r="R10" s="59">
        <f t="shared" si="0"/>
        <v>193.23901385890804</v>
      </c>
      <c r="S10" s="59">
        <f ca="1">AVERAGE(OFFSET($R$3,0,0,'Données projet'!$E$9+1,1))-AVERAGE(OFFSET($H$3,0,0,'Données projet'!$E$9+1,1))</f>
        <v>465.40148250851843</v>
      </c>
      <c r="T10" s="59">
        <f t="shared" si="34"/>
        <v>290.8428650572356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3.982088802090022</v>
      </c>
      <c r="AK10" s="13">
        <f t="shared" si="35"/>
        <v>1.5624642602705792</v>
      </c>
      <c r="AL10" s="20">
        <f t="shared" si="4"/>
        <v>9.6567632502780452</v>
      </c>
      <c r="AM10" s="59">
        <f t="shared" si="5"/>
        <v>193.78094418601427</v>
      </c>
      <c r="AN10" s="59">
        <f ca="1">AVERAGE(OFFSET($AM$3,0,0,'Données projet'!$E$10+1,1))-AVERAGE(OFFSET($H$3,0,0,'Données projet'!$E$10+1,1))</f>
        <v>489.34829722967373</v>
      </c>
      <c r="AO10" s="59">
        <f t="shared" si="36"/>
        <v>304.94365539329362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4.75</v>
      </c>
      <c r="BD10" s="12">
        <f>IF('Données projet'!$A$88&gt;35,BD9+BC10-BL9,IF(A10&lt;'Données projet'!$A$88,$BA$205^A10,IF(A10='Données projet'!$A$88,'Données projet'!$B$88,BD9+BC10-BL9)))</f>
        <v>4.9226987771675601</v>
      </c>
      <c r="BE10" s="13">
        <f>BD10*VLOOKUP('Données projet'!$B$11,Paramètres!$A$1:$I$89,3,0)*VLOOKUP('Données projet'!$B$11,Paramètres!$A$1:$I$89,5,0)</f>
        <v>4.3004696517335805</v>
      </c>
      <c r="BF10" s="13">
        <f t="shared" si="37"/>
        <v>1.6723481835913181</v>
      </c>
      <c r="BG10" s="20">
        <f t="shared" si="7"/>
        <v>10.40265772985753</v>
      </c>
      <c r="BH10" s="59">
        <f t="shared" si="8"/>
        <v>194.52683866559377</v>
      </c>
      <c r="BI10" s="59">
        <f ca="1">AVERAGE(OFFSET($BH$3,0,0,'Données projet'!$E$11+1,1))-AVERAGE(OFFSET($H$3,0,0,'Données projet'!$E$11+1,1))</f>
        <v>360.3011551173708</v>
      </c>
      <c r="BJ10" s="59">
        <f t="shared" si="38"/>
        <v>388.50312617855309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4.55</v>
      </c>
      <c r="DO10" s="12">
        <f>IF('Données projet'!$A$166&gt;35,DO9+DN10-DW9,IF(A10&lt;'Données projet'!$A$166,$DL$205^A10,IF(A10='Données projet'!$A$166,'Données projet'!$B$166,DO9+DN10-DW9)))</f>
        <v>4.8491373700313813</v>
      </c>
      <c r="DP10" s="17">
        <f>DO10*VLOOKUP('Données projet'!$B$14,Paramètres!$A$1:$I$89,3,0)*VLOOKUP('Données projet'!$B$14,Paramètres!$A$1:$I$89,5,0)</f>
        <v>2.8997841472787664</v>
      </c>
      <c r="DQ10" s="13">
        <f t="shared" si="43"/>
        <v>1.1805880203273573</v>
      </c>
      <c r="DR10" s="20">
        <f t="shared" si="16"/>
        <v>7.1066481919139983</v>
      </c>
      <c r="DS10" s="59">
        <f t="shared" si="17"/>
        <v>191.23082912765022</v>
      </c>
      <c r="DT10" s="59">
        <f ca="1">AVERAGE(OFFSET($DS$3,0,0,'Données projet'!$E$14+1,1))-AVERAGE(OFFSET($H$3,0,0,'Données projet'!$E$14+1,1))</f>
        <v>350.88566459278962</v>
      </c>
      <c r="DU10" s="59">
        <f t="shared" si="44"/>
        <v>342.18151800581552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</v>
      </c>
      <c r="N11" s="13">
        <f>IF('Données projet'!$A$36&gt;35,N10+M11-V10,IF(A11&lt;'Données projet'!$A$36,$K$205^A11,IF(A11='Données projet'!$A$36,'Données projet'!$B$36,N10+M11-V10)))</f>
        <v>4.4596391171162209</v>
      </c>
      <c r="O11" s="13">
        <f>N11*VLOOKUP('Données projet'!$B$9,Paramètres!$A$1:$I$89,3,0)*VLOOKUP('Données projet'!$B$9,Paramètres!$A$1:$I$89,5,0)</f>
        <v>4.5220740647558486</v>
      </c>
      <c r="P11" s="13">
        <f t="shared" si="33"/>
        <v>1.7482697016499746</v>
      </c>
      <c r="Q11" s="20">
        <f t="shared" si="2"/>
        <v>10.92084872649014</v>
      </c>
      <c r="R11" s="59">
        <f t="shared" si="0"/>
        <v>197.67412159271069</v>
      </c>
      <c r="S11" s="59">
        <f ca="1">AVERAGE(OFFSET($R$3,0,0,'Données projet'!$E$9+1,1))-AVERAGE(OFFSET($H$3,0,0,'Données projet'!$E$9+1,1))</f>
        <v>465.40148250851843</v>
      </c>
      <c r="T11" s="59">
        <f t="shared" si="34"/>
        <v>290.8428650572356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4.8003555456638995</v>
      </c>
      <c r="AK11" s="13">
        <f t="shared" si="35"/>
        <v>1.8429996203200378</v>
      </c>
      <c r="AL11" s="20">
        <f t="shared" si="4"/>
        <v>11.570510247422023</v>
      </c>
      <c r="AM11" s="59">
        <f t="shared" si="5"/>
        <v>198.32378311364258</v>
      </c>
      <c r="AN11" s="59">
        <f ca="1">AVERAGE(OFFSET($AM$3,0,0,'Données projet'!$E$10+1,1))-AVERAGE(OFFSET($H$3,0,0,'Données projet'!$E$10+1,1))</f>
        <v>489.34829722967373</v>
      </c>
      <c r="AO11" s="59">
        <f t="shared" si="36"/>
        <v>304.94365539329362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4.75</v>
      </c>
      <c r="BD11" s="12">
        <f>IF('Données projet'!$A$88&gt;35,BD10+BC11-BL10,IF(A11&lt;'Données projet'!$A$88,$BA$205^A11,IF(A11='Données projet'!$A$88,'Données projet'!$B$88,BD10+BC11-BL10)))</f>
        <v>6.1814369253798551</v>
      </c>
      <c r="BE11" s="13">
        <f>BD11*VLOOKUP('Données projet'!$B$11,Paramètres!$A$1:$I$89,3,0)*VLOOKUP('Données projet'!$B$11,Paramètres!$A$1:$I$89,5,0)</f>
        <v>5.4001032980118424</v>
      </c>
      <c r="BF11" s="13">
        <f t="shared" si="37"/>
        <v>2.0450434124030847</v>
      </c>
      <c r="BG11" s="20">
        <f t="shared" si="7"/>
        <v>12.966963853972665</v>
      </c>
      <c r="BH11" s="59">
        <f t="shared" si="8"/>
        <v>199.72023672019321</v>
      </c>
      <c r="BI11" s="59">
        <f ca="1">AVERAGE(OFFSET($BH$3,0,0,'Données projet'!$E$11+1,1))-AVERAGE(OFFSET($H$3,0,0,'Données projet'!$E$11+1,1))</f>
        <v>360.3011551173708</v>
      </c>
      <c r="BJ11" s="59">
        <f t="shared" si="38"/>
        <v>388.50312617855309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4.55</v>
      </c>
      <c r="DO11" s="12">
        <f>IF('Données projet'!$A$166&gt;35,DO10+DN11-DW10,IF(A11&lt;'Données projet'!$A$166,$DL$205^A11,IF(A11='Données projet'!$A$166,'Données projet'!$B$166,DO10+DN11-DW10)))</f>
        <v>6.0759830958211616</v>
      </c>
      <c r="DP11" s="17">
        <f>DO11*VLOOKUP('Données projet'!$B$14,Paramètres!$A$1:$I$89,3,0)*VLOOKUP('Données projet'!$B$14,Paramètres!$A$1:$I$89,5,0)</f>
        <v>3.633437891301055</v>
      </c>
      <c r="DQ11" s="13">
        <f t="shared" si="43"/>
        <v>1.4409496993838373</v>
      </c>
      <c r="DR11" s="20">
        <f t="shared" si="16"/>
        <v>8.8378917204428529</v>
      </c>
      <c r="DS11" s="59">
        <f t="shared" si="17"/>
        <v>195.59116458666341</v>
      </c>
      <c r="DT11" s="59">
        <f ca="1">AVERAGE(OFFSET($DS$3,0,0,'Données projet'!$E$14+1,1))-AVERAGE(OFFSET($H$3,0,0,'Données projet'!$E$14+1,1))</f>
        <v>350.88566459278962</v>
      </c>
      <c r="DU11" s="59">
        <f t="shared" si="44"/>
        <v>342.18151800581552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</v>
      </c>
      <c r="N12" s="13">
        <f>IF('Données projet'!$A$36&gt;35,N11+M12-V11,IF(A12&lt;'Données projet'!$A$36,$K$205^A12,IF(A12='Données projet'!$A$36,'Données projet'!$B$36,N11+M12-V11)))</f>
        <v>5.3760361537574148</v>
      </c>
      <c r="O12" s="13">
        <f>N12*VLOOKUP('Données projet'!$B$9,Paramètres!$A$1:$I$89,3,0)*VLOOKUP('Données projet'!$B$9,Paramètres!$A$1:$I$89,5,0)</f>
        <v>5.4513006599100189</v>
      </c>
      <c r="P12" s="13">
        <f t="shared" si="33"/>
        <v>2.062165822468125</v>
      </c>
      <c r="Q12" s="20">
        <f t="shared" si="2"/>
        <v>13.085954123475267</v>
      </c>
      <c r="R12" s="59">
        <f t="shared" si="0"/>
        <v>202.44391287603133</v>
      </c>
      <c r="S12" s="59">
        <f ca="1">AVERAGE(OFFSET($R$3,0,0,'Données projet'!$E$9+1,1))-AVERAGE(OFFSET($H$3,0,0,'Données projet'!$E$9+1,1))</f>
        <v>465.40148250851843</v>
      </c>
      <c r="T12" s="59">
        <f t="shared" si="34"/>
        <v>290.8428650572356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5.7867653159044812</v>
      </c>
      <c r="AK12" s="13">
        <f t="shared" si="35"/>
        <v>2.1739041889582755</v>
      </c>
      <c r="AL12" s="20">
        <f t="shared" si="4"/>
        <v>13.864832720969302</v>
      </c>
      <c r="AM12" s="59">
        <f t="shared" si="5"/>
        <v>203.22279147352538</v>
      </c>
      <c r="AN12" s="59">
        <f ca="1">AVERAGE(OFFSET($AM$3,0,0,'Données projet'!$E$10+1,1))-AVERAGE(OFFSET($H$3,0,0,'Données projet'!$E$10+1,1))</f>
        <v>489.34829722967373</v>
      </c>
      <c r="AO12" s="59">
        <f t="shared" si="36"/>
        <v>304.94365539329362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4.75</v>
      </c>
      <c r="BD12" s="12">
        <f>IF('Données projet'!$A$88&gt;35,BD11+BC12-BL11,IF(A12&lt;'Données projet'!$A$88,$BA$205^A12,IF(A12='Données projet'!$A$88,'Données projet'!$B$88,BD11+BC12-BL11)))</f>
        <v>7.7620354590201153</v>
      </c>
      <c r="BE12" s="13">
        <f>BD12*VLOOKUP('Données projet'!$B$11,Paramètres!$A$1:$I$89,3,0)*VLOOKUP('Données projet'!$B$11,Paramètres!$A$1:$I$89,5,0)</f>
        <v>6.7809141769999739</v>
      </c>
      <c r="BF12" s="13">
        <f t="shared" si="37"/>
        <v>2.5007965444325708</v>
      </c>
      <c r="BG12" s="20">
        <f t="shared" si="7"/>
        <v>16.165646173161679</v>
      </c>
      <c r="BH12" s="59">
        <f t="shared" si="8"/>
        <v>205.52360492571776</v>
      </c>
      <c r="BI12" s="59">
        <f ca="1">AVERAGE(OFFSET($BH$3,0,0,'Données projet'!$E$11+1,1))-AVERAGE(OFFSET($H$3,0,0,'Données projet'!$E$11+1,1))</f>
        <v>360.3011551173708</v>
      </c>
      <c r="BJ12" s="59">
        <f t="shared" si="38"/>
        <v>388.50312617855309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4.55</v>
      </c>
      <c r="DO12" s="12">
        <f>IF('Données projet'!$A$166&gt;35,DO11+DN12-DW11,IF(A12&lt;'Données projet'!$A$166,$DL$205^A12,IF(A12='Données projet'!$A$166,'Données projet'!$B$166,DO11+DN12-DW11)))</f>
        <v>7.6132243249824851</v>
      </c>
      <c r="DP12" s="17">
        <f>DO12*VLOOKUP('Données projet'!$B$14,Paramètres!$A$1:$I$89,3,0)*VLOOKUP('Données projet'!$B$14,Paramètres!$A$1:$I$89,5,0)</f>
        <v>4.5527081463395263</v>
      </c>
      <c r="DQ12" s="13">
        <f t="shared" si="43"/>
        <v>1.758730395704539</v>
      </c>
      <c r="DR12" s="20">
        <f t="shared" si="16"/>
        <v>10.992422127393413</v>
      </c>
      <c r="DS12" s="59">
        <f t="shared" si="17"/>
        <v>200.35038087994948</v>
      </c>
      <c r="DT12" s="59">
        <f ca="1">AVERAGE(OFFSET($DS$3,0,0,'Données projet'!$E$14+1,1))-AVERAGE(OFFSET($H$3,0,0,'Données projet'!$E$14+1,1))</f>
        <v>350.88566459278962</v>
      </c>
      <c r="DU12" s="59">
        <f t="shared" si="44"/>
        <v>342.18151800581552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</v>
      </c>
      <c r="N13" s="13">
        <f>IF('Données projet'!$A$36&gt;35,N12+M13-V12,IF(A13&lt;'Données projet'!$A$36,$K$205^A13,IF(A13='Données projet'!$A$36,'Données projet'!$B$36,N12+M13-V12)))</f>
        <v>6.4807406984078657</v>
      </c>
      <c r="O13" s="13">
        <f>N13*VLOOKUP('Données projet'!$B$9,Paramètres!$A$1:$I$89,3,0)*VLOOKUP('Données projet'!$B$9,Paramètres!$A$1:$I$89,5,0)</f>
        <v>6.5714710681855761</v>
      </c>
      <c r="P13" s="13">
        <f t="shared" si="33"/>
        <v>2.4324209676242781</v>
      </c>
      <c r="Q13" s="20">
        <f t="shared" si="2"/>
        <v>15.681778629035497</v>
      </c>
      <c r="R13" s="59">
        <f t="shared" si="0"/>
        <v>207.62044061408039</v>
      </c>
      <c r="S13" s="59">
        <f ca="1">AVERAGE(OFFSET($R$3,0,0,'Données projet'!$E$9+1,1))-AVERAGE(OFFSET($H$3,0,0,'Données projet'!$E$9+1,1))</f>
        <v>465.40148250851843</v>
      </c>
      <c r="T13" s="59">
        <f t="shared" si="34"/>
        <v>290.8428650572356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6.9758692877662263</v>
      </c>
      <c r="AK13" s="13">
        <f t="shared" si="35"/>
        <v>2.5642215932468222</v>
      </c>
      <c r="AL13" s="20">
        <f t="shared" si="4"/>
        <v>16.61565828443106</v>
      </c>
      <c r="AM13" s="59">
        <f t="shared" si="5"/>
        <v>208.55432026947594</v>
      </c>
      <c r="AN13" s="59">
        <f ca="1">AVERAGE(OFFSET($AM$3,0,0,'Données projet'!$E$10+1,1))-AVERAGE(OFFSET($H$3,0,0,'Données projet'!$E$10+1,1))</f>
        <v>489.34829722967373</v>
      </c>
      <c r="AO13" s="59">
        <f t="shared" si="36"/>
        <v>304.94365539329362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4.75</v>
      </c>
      <c r="BD13" s="12">
        <f>IF('Données projet'!$A$88&gt;35,BD12+BC13-BL12,IF(A13&lt;'Données projet'!$A$88,$BA$205^A13,IF(A13='Données projet'!$A$88,'Données projet'!$B$88,BD12+BC13-BL12)))</f>
        <v>9.7467943448089507</v>
      </c>
      <c r="BE13" s="13">
        <f>BD13*VLOOKUP('Données projet'!$B$11,Paramètres!$A$1:$I$89,3,0)*VLOOKUP('Données projet'!$B$11,Paramètres!$A$1:$I$89,5,0)</f>
        <v>8.5147995396251002</v>
      </c>
      <c r="BF13" s="13">
        <f t="shared" si="37"/>
        <v>3.0581176510561066</v>
      </c>
      <c r="BG13" s="20">
        <f t="shared" si="7"/>
        <v>20.156164107103098</v>
      </c>
      <c r="BH13" s="59">
        <f t="shared" si="8"/>
        <v>212.094826092148</v>
      </c>
      <c r="BI13" s="59">
        <f ca="1">AVERAGE(OFFSET($BH$3,0,0,'Données projet'!$E$11+1,1))-AVERAGE(OFFSET($H$3,0,0,'Données projet'!$E$11+1,1))</f>
        <v>360.3011551173708</v>
      </c>
      <c r="BJ13" s="59">
        <f t="shared" si="38"/>
        <v>388.50312617855309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4.55</v>
      </c>
      <c r="DO13" s="12">
        <f>IF('Données projet'!$A$166&gt;35,DO12+DN13-DW12,IF(A13&lt;'Données projet'!$A$166,$DL$205^A13,IF(A13='Données projet'!$A$166,'Données projet'!$B$166,DO12+DN13-DW12)))</f>
        <v>9.5393920141694579</v>
      </c>
      <c r="DP13" s="17">
        <f>DO13*VLOOKUP('Données projet'!$B$14,Paramètres!$A$1:$I$89,3,0)*VLOOKUP('Données projet'!$B$14,Paramètres!$A$1:$I$89,5,0)</f>
        <v>5.7045564244733367</v>
      </c>
      <c r="DQ13" s="13">
        <f t="shared" si="43"/>
        <v>2.1465930463066791</v>
      </c>
      <c r="DR13" s="20">
        <f t="shared" si="16"/>
        <v>13.674085328275192</v>
      </c>
      <c r="DS13" s="59">
        <f t="shared" si="17"/>
        <v>205.61274731332009</v>
      </c>
      <c r="DT13" s="59">
        <f ca="1">AVERAGE(OFFSET($DS$3,0,0,'Données projet'!$E$14+1,1))-AVERAGE(OFFSET($H$3,0,0,'Données projet'!$E$14+1,1))</f>
        <v>350.88566459278962</v>
      </c>
      <c r="DU13" s="59">
        <f t="shared" si="44"/>
        <v>342.18151800581552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</v>
      </c>
      <c r="N14" s="13">
        <f>IF('Données projet'!$A$36&gt;35,N13+M14-V13,IF(A14&lt;'Données projet'!$A$36,$K$205^A14,IF(A14='Données projet'!$A$36,'Données projet'!$B$36,N13+M14-V13)))</f>
        <v>7.8124474610620815</v>
      </c>
      <c r="O14" s="13">
        <f>N14*VLOOKUP('Données projet'!$B$9,Paramètres!$A$1:$I$89,3,0)*VLOOKUP('Données projet'!$B$9,Paramètres!$A$1:$I$89,5,0)</f>
        <v>7.921821725516951</v>
      </c>
      <c r="P14" s="13">
        <f t="shared" si="33"/>
        <v>2.869154216054651</v>
      </c>
      <c r="Q14" s="20">
        <f t="shared" si="2"/>
        <v>18.794283098237205</v>
      </c>
      <c r="R14" s="59">
        <f t="shared" si="0"/>
        <v>213.29008170735133</v>
      </c>
      <c r="S14" s="59">
        <f ca="1">AVERAGE(OFFSET($R$3,0,0,'Données projet'!$E$9+1,1))-AVERAGE(OFFSET($H$3,0,0,'Données projet'!$E$9+1,1))</f>
        <v>465.40148250851843</v>
      </c>
      <c r="T14" s="59">
        <f t="shared" si="34"/>
        <v>290.8428650572356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8.4093184470872249</v>
      </c>
      <c r="AK14" s="13">
        <f t="shared" si="35"/>
        <v>3.0246192139792929</v>
      </c>
      <c r="AL14" s="20">
        <f t="shared" si="4"/>
        <v>19.914108093024186</v>
      </c>
      <c r="AM14" s="59">
        <f t="shared" si="5"/>
        <v>214.40990670213833</v>
      </c>
      <c r="AN14" s="59">
        <f ca="1">AVERAGE(OFFSET($AM$3,0,0,'Données projet'!$E$10+1,1))-AVERAGE(OFFSET($H$3,0,0,'Données projet'!$E$10+1,1))</f>
        <v>489.34829722967373</v>
      </c>
      <c r="AO14" s="59">
        <f t="shared" si="36"/>
        <v>304.94365539329362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4.75</v>
      </c>
      <c r="BD14" s="12">
        <f>IF('Données projet'!$A$88&gt;35,BD13+BC14-BL13,IF(A14&lt;'Données projet'!$A$88,$BA$205^A14,IF(A14='Données projet'!$A$88,'Données projet'!$B$88,BD13+BC14-BL13)))</f>
        <v>12.239057719016479</v>
      </c>
      <c r="BE14" s="13">
        <f>BD14*VLOOKUP('Données projet'!$B$11,Paramètres!$A$1:$I$89,3,0)*VLOOKUP('Données projet'!$B$11,Paramètres!$A$1:$I$89,5,0)</f>
        <v>10.692040823332798</v>
      </c>
      <c r="BF14" s="13">
        <f t="shared" si="37"/>
        <v>3.7396419107028573</v>
      </c>
      <c r="BG14" s="20">
        <f t="shared" si="7"/>
        <v>25.135180761778766</v>
      </c>
      <c r="BH14" s="59">
        <f t="shared" si="8"/>
        <v>219.6309793708929</v>
      </c>
      <c r="BI14" s="59">
        <f ca="1">AVERAGE(OFFSET($BH$3,0,0,'Données projet'!$E$11+1,1))-AVERAGE(OFFSET($H$3,0,0,'Données projet'!$E$11+1,1))</f>
        <v>360.3011551173708</v>
      </c>
      <c r="BJ14" s="59">
        <f t="shared" si="38"/>
        <v>388.50312617855309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4.55</v>
      </c>
      <c r="DO14" s="12">
        <f>IF('Données projet'!$A$166&gt;35,DO13+DN14-DW13,IF(A14&lt;'Données projet'!$A$166,$DL$205^A14,IF(A14='Données projet'!$A$166,'Données projet'!$B$166,DO13+DN14-DW13)))</f>
        <v>11.952885678330434</v>
      </c>
      <c r="DP14" s="17">
        <f>DO14*VLOOKUP('Données projet'!$B$14,Paramètres!$A$1:$I$89,3,0)*VLOOKUP('Données projet'!$B$14,Paramètres!$A$1:$I$89,5,0)</f>
        <v>7.147825635641599</v>
      </c>
      <c r="DQ14" s="13">
        <f t="shared" si="43"/>
        <v>2.6199932165306663</v>
      </c>
      <c r="DR14" s="20">
        <f t="shared" si="16"/>
        <v>17.012284500866695</v>
      </c>
      <c r="DS14" s="59">
        <f t="shared" si="17"/>
        <v>211.50808310998082</v>
      </c>
      <c r="DT14" s="59">
        <f ca="1">AVERAGE(OFFSET($DS$3,0,0,'Données projet'!$E$14+1,1))-AVERAGE(OFFSET($H$3,0,0,'Données projet'!$E$14+1,1))</f>
        <v>350.88566459278962</v>
      </c>
      <c r="DU14" s="59">
        <f t="shared" si="44"/>
        <v>342.18151800581552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</v>
      </c>
      <c r="N15" s="13">
        <f>IF('Données projet'!$A$36&gt;35,N14+M15-V14,IF(A15&lt;'Données projet'!$A$36,$K$205^A15,IF(A15='Données projet'!$A$36,'Données projet'!$B$36,N14+M15-V14)))</f>
        <v>9.4178024044149407</v>
      </c>
      <c r="O15" s="13">
        <f>N15*VLOOKUP('Données projet'!$B$9,Paramètres!$A$1:$I$89,3,0)*VLOOKUP('Données projet'!$B$9,Paramètres!$A$1:$I$89,5,0)</f>
        <v>9.5496516380767513</v>
      </c>
      <c r="P15" s="13">
        <f t="shared" si="33"/>
        <v>3.3843014943027487</v>
      </c>
      <c r="Q15" s="20">
        <f t="shared" si="2"/>
        <v>22.526635038894295</v>
      </c>
      <c r="R15" s="59">
        <f t="shared" si="0"/>
        <v>219.55641249162716</v>
      </c>
      <c r="S15" s="59">
        <f ca="1">AVERAGE(OFFSET($R$3,0,0,'Données projet'!$E$9+1,1))-AVERAGE(OFFSET($H$3,0,0,'Données projet'!$E$9+1,1))</f>
        <v>465.40148250851843</v>
      </c>
      <c r="T15" s="59">
        <f t="shared" si="34"/>
        <v>290.8428650572356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10.137322508112241</v>
      </c>
      <c r="AK15" s="13">
        <f t="shared" si="35"/>
        <v>3.5676797253661268</v>
      </c>
      <c r="AL15" s="20">
        <f t="shared" si="4"/>
        <v>23.869545556641487</v>
      </c>
      <c r="AM15" s="59">
        <f t="shared" si="5"/>
        <v>220.89932300937437</v>
      </c>
      <c r="AN15" s="59">
        <f ca="1">AVERAGE(OFFSET($AM$3,0,0,'Données projet'!$E$10+1,1))-AVERAGE(OFFSET($H$3,0,0,'Données projet'!$E$10+1,1))</f>
        <v>489.34829722967373</v>
      </c>
      <c r="AO15" s="59">
        <f t="shared" si="36"/>
        <v>304.94365539329362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4.75</v>
      </c>
      <c r="BD15" s="12">
        <f>IF('Données projet'!$A$88&gt;35,BD14+BC15-BL14,IF(A15&lt;'Données projet'!$A$88,$BA$205^A15,IF(A15='Données projet'!$A$88,'Données projet'!$B$88,BD14+BC15-BL14)))</f>
        <v>15.368594899018873</v>
      </c>
      <c r="BE15" s="13">
        <f>BD15*VLOOKUP('Données projet'!$B$11,Paramètres!$A$1:$I$89,3,0)*VLOOKUP('Données projet'!$B$11,Paramètres!$A$1:$I$89,5,0)</f>
        <v>13.42600450378289</v>
      </c>
      <c r="BF15" s="13">
        <f t="shared" si="37"/>
        <v>4.5730489196371114</v>
      </c>
      <c r="BG15" s="20">
        <f t="shared" si="7"/>
        <v>31.348351379123169</v>
      </c>
      <c r="BH15" s="59">
        <f t="shared" si="8"/>
        <v>228.37812883185603</v>
      </c>
      <c r="BI15" s="59">
        <f ca="1">AVERAGE(OFFSET($BH$3,0,0,'Données projet'!$E$11+1,1))-AVERAGE(OFFSET($H$3,0,0,'Données projet'!$E$11+1,1))</f>
        <v>360.3011551173708</v>
      </c>
      <c r="BJ15" s="59">
        <f t="shared" si="38"/>
        <v>388.50312617855309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4.55</v>
      </c>
      <c r="DO15" s="12">
        <f>IF('Données projet'!$A$166&gt;35,DO14+DN15-DW14,IF(A15&lt;'Données projet'!$A$166,$DL$205^A15,IF(A15='Données projet'!$A$166,'Données projet'!$B$166,DO14+DN15-DW14)))</f>
        <v>14.97700019320108</v>
      </c>
      <c r="DP15" s="17">
        <f>DO15*VLOOKUP('Données projet'!$B$14,Paramètres!$A$1:$I$89,3,0)*VLOOKUP('Données projet'!$B$14,Paramètres!$A$1:$I$89,5,0)</f>
        <v>8.9562461155342472</v>
      </c>
      <c r="DQ15" s="13">
        <f t="shared" si="43"/>
        <v>3.1977949739831653</v>
      </c>
      <c r="DR15" s="20">
        <f t="shared" si="16"/>
        <v>21.168288230909493</v>
      </c>
      <c r="DS15" s="59">
        <f t="shared" si="17"/>
        <v>218.19806568364237</v>
      </c>
      <c r="DT15" s="59">
        <f ca="1">AVERAGE(OFFSET($DS$3,0,0,'Données projet'!$E$14+1,1))-AVERAGE(OFFSET($H$3,0,0,'Données projet'!$E$14+1,1))</f>
        <v>350.88566459278962</v>
      </c>
      <c r="DU15" s="59">
        <f t="shared" si="44"/>
        <v>342.18151800581552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</v>
      </c>
      <c r="N16" s="13">
        <f>IF('Données projet'!$A$36&gt;35,N15+M16-V15,IF(A16&lt;'Données projet'!$A$36,$K$205^A16,IF(A16='Données projet'!$A$36,'Données projet'!$B$36,N15+M16-V15)))</f>
        <v>11.35303662145153</v>
      </c>
      <c r="O16" s="13">
        <f>N16*VLOOKUP('Données projet'!$B$9,Paramètres!$A$1:$I$89,3,0)*VLOOKUP('Données projet'!$B$9,Paramètres!$A$1:$I$89,5,0)</f>
        <v>11.511979134151852</v>
      </c>
      <c r="P16" s="13">
        <f t="shared" si="33"/>
        <v>3.9919417855793822</v>
      </c>
      <c r="Q16" s="20">
        <f t="shared" si="2"/>
        <v>27.002662268531896</v>
      </c>
      <c r="R16" s="59">
        <f t="shared" si="0"/>
        <v>226.54366252015072</v>
      </c>
      <c r="S16" s="59">
        <f ca="1">AVERAGE(OFFSET($R$3,0,0,'Données projet'!$E$9+1,1))-AVERAGE(OFFSET($H$3,0,0,'Données projet'!$E$9+1,1))</f>
        <v>465.40148250851843</v>
      </c>
      <c r="T16" s="59">
        <f t="shared" si="34"/>
        <v>290.8428650572356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12.220408619330426</v>
      </c>
      <c r="AK16" s="13">
        <f t="shared" si="35"/>
        <v>4.2082449797185175</v>
      </c>
      <c r="AL16" s="20">
        <f t="shared" si="4"/>
        <v>28.613238351676909</v>
      </c>
      <c r="AM16" s="59">
        <f t="shared" si="5"/>
        <v>228.15423860329571</v>
      </c>
      <c r="AN16" s="59">
        <f ca="1">AVERAGE(OFFSET($AM$3,0,0,'Données projet'!$E$10+1,1))-AVERAGE(OFFSET($H$3,0,0,'Données projet'!$E$10+1,1))</f>
        <v>489.34829722967373</v>
      </c>
      <c r="AO16" s="59">
        <f t="shared" si="36"/>
        <v>304.94365539329362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4.75</v>
      </c>
      <c r="BD16" s="12">
        <f>IF('Données projet'!$A$88&gt;35,BD15+BC16-BL15,IF(A16&lt;'Données projet'!$A$88,$BA$205^A16,IF(A16='Données projet'!$A$88,'Données projet'!$B$88,BD15+BC16-BL15)))</f>
        <v>19.298357323959845</v>
      </c>
      <c r="BE16" s="13">
        <f>BD16*VLOOKUP('Données projet'!$B$11,Paramètres!$A$1:$I$89,3,0)*VLOOKUP('Données projet'!$B$11,Paramètres!$A$1:$I$89,5,0)</f>
        <v>16.859044958211321</v>
      </c>
      <c r="BF16" s="13">
        <f t="shared" si="37"/>
        <v>5.5921868779847026</v>
      </c>
      <c r="BG16" s="20">
        <f t="shared" si="7"/>
        <v>39.102562114708071</v>
      </c>
      <c r="BH16" s="59">
        <f t="shared" si="8"/>
        <v>238.64356236632688</v>
      </c>
      <c r="BI16" s="59">
        <f ca="1">AVERAGE(OFFSET($BH$3,0,0,'Données projet'!$E$11+1,1))-AVERAGE(OFFSET($H$3,0,0,'Données projet'!$E$11+1,1))</f>
        <v>360.3011551173708</v>
      </c>
      <c r="BJ16" s="59">
        <f t="shared" si="38"/>
        <v>388.50312617855309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4.55</v>
      </c>
      <c r="DO16" s="12">
        <f>IF('Données projet'!$A$166&gt;35,DO15+DN16-DW15,IF(A16&lt;'Données projet'!$A$166,$DL$205^A16,IF(A16='Données projet'!$A$166,'Données projet'!$B$166,DO15+DN16-DW15)))</f>
        <v>18.766224393311244</v>
      </c>
      <c r="DP16" s="17">
        <f>DO16*VLOOKUP('Données projet'!$B$14,Paramètres!$A$1:$I$89,3,0)*VLOOKUP('Données projet'!$B$14,Paramètres!$A$1:$I$89,5,0)</f>
        <v>11.222202187200125</v>
      </c>
      <c r="DQ16" s="13">
        <f t="shared" si="43"/>
        <v>3.903022584605345</v>
      </c>
      <c r="DR16" s="20">
        <f t="shared" si="16"/>
        <v>26.343099810894525</v>
      </c>
      <c r="DS16" s="59">
        <f t="shared" si="17"/>
        <v>225.88410006251334</v>
      </c>
      <c r="DT16" s="59">
        <f ca="1">AVERAGE(OFFSET($DS$3,0,0,'Données projet'!$E$14+1,1))-AVERAGE(OFFSET($H$3,0,0,'Données projet'!$E$14+1,1))</f>
        <v>350.88566459278962</v>
      </c>
      <c r="DU16" s="59">
        <f t="shared" si="44"/>
        <v>342.18151800581552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</v>
      </c>
      <c r="N17" s="13">
        <f>IF('Données projet'!$A$36&gt;35,N16+M17-V16,IF(A17&lt;'Données projet'!$A$36,$K$205^A17,IF(A17='Données projet'!$A$36,'Données projet'!$B$36,N16+M17-V16)))</f>
        <v>13.685935953338433</v>
      </c>
      <c r="O17" s="13">
        <f>N17*VLOOKUP('Données projet'!$B$9,Paramètres!$A$1:$I$89,3,0)*VLOOKUP('Données projet'!$B$9,Paramètres!$A$1:$I$89,5,0)</f>
        <v>13.877539056685173</v>
      </c>
      <c r="P17" s="13">
        <f t="shared" si="33"/>
        <v>4.7086819085950955</v>
      </c>
      <c r="Q17" s="20">
        <f t="shared" si="2"/>
        <v>32.371001514529802</v>
      </c>
      <c r="R17" s="59">
        <f t="shared" si="0"/>
        <v>234.400863286803</v>
      </c>
      <c r="S17" s="59">
        <f ca="1">AVERAGE(OFFSET($R$3,0,0,'Données projet'!$E$9+1,1))-AVERAGE(OFFSET($H$3,0,0,'Données projet'!$E$9+1,1))</f>
        <v>465.40148250851843</v>
      </c>
      <c r="T17" s="59">
        <f t="shared" si="34"/>
        <v>290.8428650572356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14.731541460173487</v>
      </c>
      <c r="AK17" s="13">
        <f t="shared" si="35"/>
        <v>4.9638216355053304</v>
      </c>
      <c r="AL17" s="20">
        <f t="shared" si="4"/>
        <v>34.302757391640604</v>
      </c>
      <c r="AM17" s="59">
        <f t="shared" si="5"/>
        <v>236.33261916391379</v>
      </c>
      <c r="AN17" s="59">
        <f ca="1">AVERAGE(OFFSET($AM$3,0,0,'Données projet'!$E$10+1,1))-AVERAGE(OFFSET($H$3,0,0,'Données projet'!$E$10+1,1))</f>
        <v>489.34829722967373</v>
      </c>
      <c r="AO17" s="59">
        <f t="shared" si="36"/>
        <v>304.94365539329362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4.75</v>
      </c>
      <c r="BD17" s="12">
        <f>IF('Données projet'!$A$88&gt;35,BD16+BC17-BL16,IF(A17&lt;'Données projet'!$A$88,$BA$205^A17,IF(A17='Données projet'!$A$88,'Données projet'!$B$88,BD16+BC17-BL16)))</f>
        <v>24.232963250726986</v>
      </c>
      <c r="BE17" s="13">
        <f>BD17*VLOOKUP('Données projet'!$B$11,Paramètres!$A$1:$I$89,3,0)*VLOOKUP('Données projet'!$B$11,Paramètres!$A$1:$I$89,5,0)</f>
        <v>21.169916695835099</v>
      </c>
      <c r="BF17" s="13">
        <f t="shared" si="37"/>
        <v>6.838447308975188</v>
      </c>
      <c r="BG17" s="20">
        <f t="shared" si="7"/>
        <v>48.781233975044579</v>
      </c>
      <c r="BH17" s="59">
        <f t="shared" si="8"/>
        <v>250.81109574731778</v>
      </c>
      <c r="BI17" s="59">
        <f ca="1">AVERAGE(OFFSET($BH$3,0,0,'Données projet'!$E$11+1,1))-AVERAGE(OFFSET($H$3,0,0,'Données projet'!$E$11+1,1))</f>
        <v>360.3011551173708</v>
      </c>
      <c r="BJ17" s="59">
        <f t="shared" si="38"/>
        <v>388.50312617855309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4.55</v>
      </c>
      <c r="DO17" s="12">
        <f>IF('Données projet'!$A$166&gt;35,DO16+DN17-DW16,IF(A17&lt;'Données projet'!$A$166,$DL$205^A17,IF(A17='Données projet'!$A$166,'Données projet'!$B$166,DO16+DN17-DW16)))</f>
        <v>23.514133233434862</v>
      </c>
      <c r="DP17" s="17">
        <f>DO17*VLOOKUP('Données projet'!$B$14,Paramètres!$A$1:$I$89,3,0)*VLOOKUP('Données projet'!$B$14,Paramètres!$A$1:$I$89,5,0)</f>
        <v>14.061451673594048</v>
      </c>
      <c r="DQ17" s="13">
        <f t="shared" si="43"/>
        <v>4.7637779844792423</v>
      </c>
      <c r="DR17" s="20">
        <f t="shared" si="16"/>
        <v>32.787274987810981</v>
      </c>
      <c r="DS17" s="59">
        <f t="shared" si="17"/>
        <v>234.81713676008417</v>
      </c>
      <c r="DT17" s="59">
        <f ca="1">AVERAGE(OFFSET($DS$3,0,0,'Données projet'!$E$14+1,1))-AVERAGE(OFFSET($H$3,0,0,'Données projet'!$E$14+1,1))</f>
        <v>350.88566459278962</v>
      </c>
      <c r="DU17" s="59">
        <f t="shared" si="44"/>
        <v>342.18151800581552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2.1</v>
      </c>
      <c r="N18" s="13">
        <f>IF('Données projet'!$A$36&gt;35,N17+M18-V17,IF(A18&lt;'Données projet'!$A$36,$K$205^A18,IF(A18='Données projet'!$A$36,'Données projet'!$B$36,N17+M18-V17)))</f>
        <v>16.498215337821566</v>
      </c>
      <c r="O18" s="13">
        <f>N18*VLOOKUP('Données projet'!$B$9,Paramètres!$A$1:$I$89,3,0)*VLOOKUP('Données projet'!$B$9,Paramètres!$A$1:$I$89,5,0)</f>
        <v>16.729190352551068</v>
      </c>
      <c r="P18" s="13">
        <f t="shared" si="33"/>
        <v>5.5541103821765283</v>
      </c>
      <c r="Q18" s="20">
        <f t="shared" si="2"/>
        <v>38.810082112983899</v>
      </c>
      <c r="R18" s="59">
        <f t="shared" si="0"/>
        <v>243.30683204586495</v>
      </c>
      <c r="S18" s="59">
        <f ca="1">AVERAGE(OFFSET($R$3,0,0,'Données projet'!$E$9+1,1))-AVERAGE(OFFSET($H$3,0,0,'Données projet'!$E$9+1,1))</f>
        <v>465.40148250851843</v>
      </c>
      <c r="T18" s="59">
        <f t="shared" si="34"/>
        <v>290.8428650572356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17.758678989631132</v>
      </c>
      <c r="AK18" s="13">
        <f t="shared" si="35"/>
        <v>5.8550596146042126</v>
      </c>
      <c r="AL18" s="20">
        <f t="shared" si="4"/>
        <v>41.127261402376554</v>
      </c>
      <c r="AM18" s="59">
        <f t="shared" si="5"/>
        <v>245.62401133525759</v>
      </c>
      <c r="AN18" s="59">
        <f ca="1">AVERAGE(OFFSET($AM$3,0,0,'Données projet'!$E$10+1,1))-AVERAGE(OFFSET($H$3,0,0,'Données projet'!$E$10+1,1))</f>
        <v>489.34829722967373</v>
      </c>
      <c r="AO18" s="59">
        <f t="shared" si="36"/>
        <v>304.94365539329362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4.75</v>
      </c>
      <c r="BD18" s="12">
        <f>IF('Données projet'!$A$88&gt;35,BD17+BC18-BL17,IF(A18&lt;'Données projet'!$A$88,$BA$205^A18,IF(A18='Données projet'!$A$88,'Données projet'!$B$88,BD17+BC18-BL17)))</f>
        <v>30.429351993705815</v>
      </c>
      <c r="BE18" s="13">
        <f>BD18*VLOOKUP('Données projet'!$B$11,Paramètres!$A$1:$I$89,3,0)*VLOOKUP('Données projet'!$B$11,Paramètres!$A$1:$I$89,5,0)</f>
        <v>26.583081901701402</v>
      </c>
      <c r="BF18" s="13">
        <f t="shared" si="37"/>
        <v>8.3624461445900025</v>
      </c>
      <c r="BG18" s="20">
        <f t="shared" si="7"/>
        <v>60.863461347290858</v>
      </c>
      <c r="BH18" s="59">
        <f t="shared" si="8"/>
        <v>265.36021128017188</v>
      </c>
      <c r="BI18" s="59">
        <f ca="1">AVERAGE(OFFSET($BH$3,0,0,'Données projet'!$E$11+1,1))-AVERAGE(OFFSET($H$3,0,0,'Données projet'!$E$11+1,1))</f>
        <v>360.3011551173708</v>
      </c>
      <c r="BJ18" s="59">
        <f t="shared" si="38"/>
        <v>388.50312617855309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4.55</v>
      </c>
      <c r="DO18" s="12">
        <f>IF('Données projet'!$A$166&gt;35,DO17+DN18-DW17,IF(A18&lt;'Données projet'!$A$166,$DL$205^A18,IF(A18='Données projet'!$A$166,'Données projet'!$B$166,DO17+DN18-DW17)))</f>
        <v>29.463276689625356</v>
      </c>
      <c r="DP18" s="17">
        <f>DO18*VLOOKUP('Données projet'!$B$14,Paramètres!$A$1:$I$89,3,0)*VLOOKUP('Données projet'!$B$14,Paramètres!$A$1:$I$89,5,0)</f>
        <v>17.619039460395964</v>
      </c>
      <c r="DQ18" s="13">
        <f t="shared" si="43"/>
        <v>5.8143605868229411</v>
      </c>
      <c r="DR18" s="20">
        <f t="shared" si="16"/>
        <v>40.81317174890625</v>
      </c>
      <c r="DS18" s="59">
        <f t="shared" si="17"/>
        <v>245.3099216817873</v>
      </c>
      <c r="DT18" s="59">
        <f ca="1">AVERAGE(OFFSET($DS$3,0,0,'Données projet'!$E$14+1,1))-AVERAGE(OFFSET($H$3,0,0,'Données projet'!$E$14+1,1))</f>
        <v>350.88566459278962</v>
      </c>
      <c r="DU18" s="59">
        <f t="shared" si="44"/>
        <v>342.18151800581552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2.1</v>
      </c>
      <c r="N19" s="13">
        <f>IF('Données projet'!$A$36&gt;35,N18+M19-V18,IF(A19&lt;'Données projet'!$A$36,$K$205^A19,IF(A19='Données projet'!$A$36,'Données projet'!$B$36,N18+M19-V18)))</f>
        <v>19.888381054913147</v>
      </c>
      <c r="O19" s="13">
        <f>N19*VLOOKUP('Données projet'!$B$9,Paramètres!$A$1:$I$89,3,0)*VLOOKUP('Données projet'!$B$9,Paramètres!$A$1:$I$89,5,0)</f>
        <v>20.166818389681932</v>
      </c>
      <c r="P19" s="13">
        <f t="shared" si="33"/>
        <v>6.5513327797938032</v>
      </c>
      <c r="Q19" s="20">
        <f t="shared" si="2"/>
        <v>46.534113286836906</v>
      </c>
      <c r="R19" s="59">
        <f t="shared" si="0"/>
        <v>253.47615920895097</v>
      </c>
      <c r="S19" s="59">
        <f ca="1">AVERAGE(OFFSET($R$3,0,0,'Données projet'!$E$9+1,1))-AVERAGE(OFFSET($H$3,0,0,'Données projet'!$E$9+1,1))</f>
        <v>465.40148250851843</v>
      </c>
      <c r="T19" s="59">
        <f t="shared" si="34"/>
        <v>290.8428650572356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21.407853367508512</v>
      </c>
      <c r="AK19" s="13">
        <f t="shared" si="35"/>
        <v>6.906316464991046</v>
      </c>
      <c r="AL19" s="20">
        <f t="shared" si="4"/>
        <v>49.313845791603399</v>
      </c>
      <c r="AM19" s="59">
        <f t="shared" si="5"/>
        <v>256.25589171371746</v>
      </c>
      <c r="AN19" s="59">
        <f ca="1">AVERAGE(OFFSET($AM$3,0,0,'Données projet'!$E$10+1,1))-AVERAGE(OFFSET($H$3,0,0,'Données projet'!$E$10+1,1))</f>
        <v>489.34829722967373</v>
      </c>
      <c r="AO19" s="59">
        <f t="shared" si="36"/>
        <v>304.94365539329362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4.75</v>
      </c>
      <c r="BD19" s="12">
        <f>IF('Données projet'!$A$88&gt;35,BD18+BC19-BL18,IF(A19&lt;'Données projet'!$A$88,$BA$205^A19,IF(A19='Données projet'!$A$88,'Données projet'!$B$88,BD18+BC19-BL18)))</f>
        <v>38.21016246244956</v>
      </c>
      <c r="BE19" s="13">
        <f>BD19*VLOOKUP('Données projet'!$B$11,Paramètres!$A$1:$I$89,3,0)*VLOOKUP('Données projet'!$B$11,Paramètres!$A$1:$I$89,5,0)</f>
        <v>33.380397927195943</v>
      </c>
      <c r="BF19" s="13">
        <f t="shared" si="37"/>
        <v>10.22607945364838</v>
      </c>
      <c r="BG19" s="20">
        <f t="shared" si="7"/>
        <v>75.947948104970536</v>
      </c>
      <c r="BH19" s="59">
        <f t="shared" si="8"/>
        <v>282.88999402708458</v>
      </c>
      <c r="BI19" s="59">
        <f ca="1">AVERAGE(OFFSET($BH$3,0,0,'Données projet'!$E$11+1,1))-AVERAGE(OFFSET($H$3,0,0,'Données projet'!$E$11+1,1))</f>
        <v>360.3011551173708</v>
      </c>
      <c r="BJ19" s="59">
        <f t="shared" si="38"/>
        <v>388.50312617855309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4.55</v>
      </c>
      <c r="DO19" s="12">
        <f>IF('Données projet'!$A$166&gt;35,DO18+DN19-DW18,IF(A19&lt;'Données projet'!$A$166,$DL$205^A19,IF(A19='Données projet'!$A$166,'Données projet'!$B$166,DO18+DN19-DW18)))</f>
        <v>36.917570580704506</v>
      </c>
      <c r="DP19" s="17">
        <f>DO19*VLOOKUP('Données projet'!$B$14,Paramètres!$A$1:$I$89,3,0)*VLOOKUP('Données projet'!$B$14,Paramètres!$A$1:$I$89,5,0)</f>
        <v>22.076707207261297</v>
      </c>
      <c r="DQ19" s="13">
        <f t="shared" si="43"/>
        <v>7.0966340462853541</v>
      </c>
      <c r="DR19" s="20">
        <f t="shared" si="16"/>
        <v>50.810236016593741</v>
      </c>
      <c r="DS19" s="59">
        <f t="shared" si="17"/>
        <v>257.75228193870782</v>
      </c>
      <c r="DT19" s="59">
        <f ca="1">AVERAGE(OFFSET($DS$3,0,0,'Données projet'!$E$14+1,1))-AVERAGE(OFFSET($H$3,0,0,'Données projet'!$E$14+1,1))</f>
        <v>350.88566459278962</v>
      </c>
      <c r="DU19" s="59">
        <f t="shared" si="44"/>
        <v>342.18151800581552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2.1</v>
      </c>
      <c r="N20" s="13">
        <f>IF('Données projet'!$A$36&gt;35,N19+M20-V19,IF(A20&lt;'Données projet'!$A$36,$K$205^A20,IF(A20='Données projet'!$A$36,'Données projet'!$B$36,N19+M20-V19)))</f>
        <v>23.975181126327602</v>
      </c>
      <c r="O20" s="13">
        <f>N20*VLOOKUP('Données projet'!$B$9,Paramètres!$A$1:$I$89,3,0)*VLOOKUP('Données projet'!$B$9,Paramètres!$A$1:$I$89,5,0)</f>
        <v>24.31083366209619</v>
      </c>
      <c r="P20" s="13">
        <f t="shared" si="33"/>
        <v>7.7276032052466093</v>
      </c>
      <c r="Q20" s="20">
        <f t="shared" si="2"/>
        <v>55.800277543955367</v>
      </c>
      <c r="R20" s="59">
        <f t="shared" si="0"/>
        <v>265.16640185982811</v>
      </c>
      <c r="S20" s="59">
        <f ca="1">AVERAGE(OFFSET($R$3,0,0,'Données projet'!$E$9+1,1))-AVERAGE(OFFSET($H$3,0,0,'Données projet'!$E$9+1,1))</f>
        <v>465.40148250851843</v>
      </c>
      <c r="T20" s="59">
        <f t="shared" si="34"/>
        <v>290.8428650572356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25.80688496437903</v>
      </c>
      <c r="AK20" s="13">
        <f t="shared" si="35"/>
        <v>8.146323052908933</v>
      </c>
      <c r="AL20" s="20">
        <f t="shared" si="4"/>
        <v>59.135170630109862</v>
      </c>
      <c r="AM20" s="59">
        <f t="shared" si="5"/>
        <v>268.50129494598258</v>
      </c>
      <c r="AN20" s="59">
        <f ca="1">AVERAGE(OFFSET($AM$3,0,0,'Données projet'!$E$10+1,1))-AVERAGE(OFFSET($H$3,0,0,'Données projet'!$E$10+1,1))</f>
        <v>489.34829722967373</v>
      </c>
      <c r="AO20" s="59">
        <f t="shared" si="36"/>
        <v>304.94365539329362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4.75</v>
      </c>
      <c r="BD20" s="12">
        <f>IF('Données projet'!$A$88&gt;35,BD19+BC20-BL19,IF(A20&lt;'Données projet'!$A$88,$BA$205^A20,IF(A20='Données projet'!$A$88,'Données projet'!$B$88,BD19+BC20-BL19)))</f>
        <v>47.980532602494719</v>
      </c>
      <c r="BE20" s="13">
        <f>BD20*VLOOKUP('Données projet'!$B$11,Paramètres!$A$1:$I$89,3,0)*VLOOKUP('Données projet'!$B$11,Paramètres!$A$1:$I$89,5,0)</f>
        <v>41.915793281539393</v>
      </c>
      <c r="BF20" s="13">
        <f t="shared" si="37"/>
        <v>12.50503730418423</v>
      </c>
      <c r="BG20" s="20">
        <f t="shared" si="7"/>
        <v>94.782946603468645</v>
      </c>
      <c r="BH20" s="59">
        <f t="shared" si="8"/>
        <v>304.1490709193414</v>
      </c>
      <c r="BI20" s="59">
        <f ca="1">AVERAGE(OFFSET($BH$3,0,0,'Données projet'!$E$11+1,1))-AVERAGE(OFFSET($H$3,0,0,'Données projet'!$E$11+1,1))</f>
        <v>360.3011551173708</v>
      </c>
      <c r="BJ20" s="59">
        <f t="shared" si="38"/>
        <v>388.50312617855309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4.55</v>
      </c>
      <c r="DO20" s="12">
        <f>IF('Données projet'!$A$166&gt;35,DO19+DN20-DW19,IF(A20&lt;'Données projet'!$A$166,$DL$205^A20,IF(A20='Données projet'!$A$166,'Données projet'!$B$166,DO19+DN20-DW19)))</f>
        <v>46.257822303288052</v>
      </c>
      <c r="DP20" s="17">
        <f>DO20*VLOOKUP('Données projet'!$B$14,Paramètres!$A$1:$I$89,3,0)*VLOOKUP('Données projet'!$B$14,Paramètres!$A$1:$I$89,5,0)</f>
        <v>27.66217773736626</v>
      </c>
      <c r="DQ20" s="13">
        <f t="shared" si="43"/>
        <v>8.6616944434151719</v>
      </c>
      <c r="DR20" s="20">
        <f t="shared" si="16"/>
        <v>63.264077381527663</v>
      </c>
      <c r="DS20" s="59">
        <f t="shared" si="17"/>
        <v>272.63020169740037</v>
      </c>
      <c r="DT20" s="59">
        <f ca="1">AVERAGE(OFFSET($DS$3,0,0,'Données projet'!$E$14+1,1))-AVERAGE(OFFSET($H$3,0,0,'Données projet'!$E$14+1,1))</f>
        <v>350.88566459278962</v>
      </c>
      <c r="DU20" s="59">
        <f t="shared" si="44"/>
        <v>342.18151800581552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2.1</v>
      </c>
      <c r="N21" s="13">
        <f>IF('Données projet'!$A$36&gt;35,N20+M21-V20,IF(A21&lt;'Données projet'!$A$36,$K$205^A21,IF(A21='Données projet'!$A$36,'Données projet'!$B$36,N20+M21-V20)))</f>
        <v>28.901764726506816</v>
      </c>
      <c r="O21" s="13">
        <f>N21*VLOOKUP('Données projet'!$B$9,Paramètres!$A$1:$I$89,3,0)*VLOOKUP('Données projet'!$B$9,Paramètres!$A$1:$I$89,5,0)</f>
        <v>29.306389432677911</v>
      </c>
      <c r="P21" s="13">
        <f t="shared" si="33"/>
        <v>9.1150691477493808</v>
      </c>
      <c r="Q21" s="20">
        <f t="shared" si="2"/>
        <v>66.917373694244205</v>
      </c>
      <c r="R21" s="59">
        <f t="shared" si="0"/>
        <v>278.6867268862473</v>
      </c>
      <c r="S21" s="59">
        <f ca="1">AVERAGE(OFFSET($R$3,0,0,'Données projet'!$E$9+1,1))-AVERAGE(OFFSET($H$3,0,0,'Données projet'!$E$9+1,1))</f>
        <v>465.40148250851843</v>
      </c>
      <c r="T21" s="59">
        <f t="shared" si="34"/>
        <v>290.8428650572356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31.109859551611933</v>
      </c>
      <c r="AK21" s="13">
        <f t="shared" si="35"/>
        <v>9.6089687778941872</v>
      </c>
      <c r="AL21" s="20">
        <f t="shared" si="4"/>
        <v>70.918626007223153</v>
      </c>
      <c r="AM21" s="59">
        <f t="shared" si="5"/>
        <v>282.68797919922628</v>
      </c>
      <c r="AN21" s="59">
        <f ca="1">AVERAGE(OFFSET($AM$3,0,0,'Données projet'!$E$10+1,1))-AVERAGE(OFFSET($H$3,0,0,'Données projet'!$E$10+1,1))</f>
        <v>489.34829722967373</v>
      </c>
      <c r="AO21" s="59">
        <f t="shared" si="36"/>
        <v>304.94365539329362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4.75</v>
      </c>
      <c r="BD21" s="12">
        <f>IF('Données projet'!$A$88&gt;35,BD20+BC21-BL20,IF(A21&lt;'Données projet'!$A$88,$BA$205^A21,IF(A21='Données projet'!$A$88,'Données projet'!$B$88,BD20+BC21-BL20)))</f>
        <v>60.249194467085609</v>
      </c>
      <c r="BE21" s="13">
        <f>BD21*VLOOKUP('Données projet'!$B$11,Paramètres!$A$1:$I$89,3,0)*VLOOKUP('Données projet'!$B$11,Paramètres!$A$1:$I$89,5,0)</f>
        <v>52.633696286445996</v>
      </c>
      <c r="BF21" s="13">
        <f t="shared" si="37"/>
        <v>15.291877858747567</v>
      </c>
      <c r="BG21" s="20">
        <f t="shared" si="7"/>
        <v>118.30370830287877</v>
      </c>
      <c r="BH21" s="59">
        <f t="shared" si="8"/>
        <v>330.07306149488187</v>
      </c>
      <c r="BI21" s="59">
        <f ca="1">AVERAGE(OFFSET($BH$3,0,0,'Données projet'!$E$11+1,1))-AVERAGE(OFFSET($H$3,0,0,'Données projet'!$E$11+1,1))</f>
        <v>360.3011551173708</v>
      </c>
      <c r="BJ21" s="59">
        <f t="shared" si="38"/>
        <v>388.50312617855309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4.55</v>
      </c>
      <c r="DO21" s="12">
        <f>IF('Données projet'!$A$166&gt;35,DO20+DN21-DW20,IF(A21&lt;'Données projet'!$A$166,$DL$205^A21,IF(A21='Données projet'!$A$166,'Données projet'!$B$166,DO20+DN21-DW20)))</f>
        <v>57.961184622505009</v>
      </c>
      <c r="DP21" s="17">
        <f>DO21*VLOOKUP('Données projet'!$B$14,Paramètres!$A$1:$I$89,3,0)*VLOOKUP('Données projet'!$B$14,Paramètres!$A$1:$I$89,5,0)</f>
        <v>34.660788404258</v>
      </c>
      <c r="DQ21" s="13">
        <f t="shared" si="43"/>
        <v>10.571906363180744</v>
      </c>
      <c r="DR21" s="20">
        <f t="shared" si="16"/>
        <v>78.780276719955808</v>
      </c>
      <c r="DS21" s="59">
        <f t="shared" si="17"/>
        <v>290.5496299119589</v>
      </c>
      <c r="DT21" s="59">
        <f ca="1">AVERAGE(OFFSET($DS$3,0,0,'Données projet'!$E$14+1,1))-AVERAGE(OFFSET($H$3,0,0,'Données projet'!$E$14+1,1))</f>
        <v>350.88566459278962</v>
      </c>
      <c r="DU21" s="59">
        <f t="shared" si="44"/>
        <v>342.18151800581552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2.1</v>
      </c>
      <c r="N22" s="13">
        <f>IF('Données projet'!$A$36&gt;35,N21+M22-V21,IF(A22&lt;'Données projet'!$A$36,$K$205^A22,IF(A22='Données projet'!$A$36,'Données projet'!$B$36,N21+M22-V21)))</f>
        <v>34.840696297767764</v>
      </c>
      <c r="O22" s="13">
        <f>N22*VLOOKUP('Données projet'!$B$9,Paramètres!$A$1:$I$89,3,0)*VLOOKUP('Données projet'!$B$9,Paramètres!$A$1:$I$89,5,0)</f>
        <v>35.328466045936516</v>
      </c>
      <c r="P22" s="13">
        <f t="shared" si="33"/>
        <v>10.751650073316766</v>
      </c>
      <c r="Q22" s="20">
        <f t="shared" si="2"/>
        <v>80.256202241032796</v>
      </c>
      <c r="R22" s="59">
        <f t="shared" si="0"/>
        <v>294.40829648405634</v>
      </c>
      <c r="S22" s="59">
        <f ca="1">AVERAGE(OFFSET($R$3,0,0,'Données projet'!$E$9+1,1))-AVERAGE(OFFSET($H$3,0,0,'Données projet'!$E$9+1,1))</f>
        <v>465.40148250851843</v>
      </c>
      <c r="T22" s="59">
        <f t="shared" si="34"/>
        <v>290.8428650572356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37.502525494917215</v>
      </c>
      <c r="AK22" s="13">
        <f t="shared" si="35"/>
        <v>11.334227770598273</v>
      </c>
      <c r="AL22" s="20">
        <f t="shared" si="4"/>
        <v>85.057345270772814</v>
      </c>
      <c r="AM22" s="59">
        <f t="shared" si="5"/>
        <v>299.20943951379633</v>
      </c>
      <c r="AN22" s="59">
        <f ca="1">AVERAGE(OFFSET($AM$3,0,0,'Données projet'!$E$10+1,1))-AVERAGE(OFFSET($H$3,0,0,'Données projet'!$E$10+1,1))</f>
        <v>489.34829722967373</v>
      </c>
      <c r="AO22" s="59">
        <f t="shared" si="36"/>
        <v>304.94365539329362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4.75</v>
      </c>
      <c r="BD22" s="12">
        <f>IF('Données projet'!$A$88&gt;35,BD21+BC22-BL21,IF(A22&lt;'Données projet'!$A$88,$BA$205^A22,IF(A22='Données projet'!$A$88,'Données projet'!$B$88,BD21+BC22-BL21)))</f>
        <v>75.65496331618381</v>
      </c>
      <c r="BE22" s="13">
        <f>BD22*VLOOKUP('Données projet'!$B$11,Paramètres!$A$1:$I$89,3,0)*VLOOKUP('Données projet'!$B$11,Paramètres!$A$1:$I$89,5,0)</f>
        <v>66.092175953018184</v>
      </c>
      <c r="BF22" s="13">
        <f t="shared" si="37"/>
        <v>18.699786554703834</v>
      </c>
      <c r="BG22" s="20">
        <f t="shared" si="7"/>
        <v>147.67933470094917</v>
      </c>
      <c r="BH22" s="59">
        <f t="shared" si="8"/>
        <v>361.8314289439727</v>
      </c>
      <c r="BI22" s="59">
        <f ca="1">AVERAGE(OFFSET($BH$3,0,0,'Données projet'!$E$11+1,1))-AVERAGE(OFFSET($H$3,0,0,'Données projet'!$E$11+1,1))</f>
        <v>360.3011551173708</v>
      </c>
      <c r="BJ22" s="59">
        <f t="shared" si="38"/>
        <v>388.50312617855309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4.55</v>
      </c>
      <c r="DO22" s="12">
        <f>IF('Données projet'!$A$166&gt;35,DO21+DN22-DW21,IF(A22&lt;'Données projet'!$A$166,$DL$205^A22,IF(A22='Données projet'!$A$166,'Données projet'!$B$166,DO21+DN22-DW21)))</f>
        <v>72.625531327818578</v>
      </c>
      <c r="DP22" s="17">
        <f>DO22*VLOOKUP('Données projet'!$B$14,Paramètres!$A$1:$I$89,3,0)*VLOOKUP('Données projet'!$B$14,Paramètres!$A$1:$I$89,5,0)</f>
        <v>43.430067734035511</v>
      </c>
      <c r="DQ22" s="13">
        <f t="shared" si="43"/>
        <v>12.903388001273598</v>
      </c>
      <c r="DR22" s="20">
        <f t="shared" si="16"/>
        <v>98.114102072330027</v>
      </c>
      <c r="DS22" s="59">
        <f t="shared" si="17"/>
        <v>312.26619631535357</v>
      </c>
      <c r="DT22" s="59">
        <f ca="1">AVERAGE(OFFSET($DS$3,0,0,'Données projet'!$E$14+1,1))-AVERAGE(OFFSET($H$3,0,0,'Données projet'!$E$14+1,1))</f>
        <v>350.88566459278962</v>
      </c>
      <c r="DU22" s="59">
        <f t="shared" si="44"/>
        <v>342.18151800581552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42</v>
      </c>
      <c r="L23" s="12">
        <f>VLOOKUP(A23,'Données projet'!$A$35:$I$55,9,0)</f>
        <v>2.1</v>
      </c>
      <c r="M23" s="12">
        <f t="array" ref="M23">INDEX(L:L,MIN(IF(ISNUMBER(L23:L219),ROW(L23:L219),"")))</f>
        <v>2.1</v>
      </c>
      <c r="N23" s="13">
        <f>IF('Données projet'!$A$36&gt;35,N22+M23-V22,IF(A23&lt;'Données projet'!$A$36,$K$205^A23,IF(A23='Données projet'!$A$36,'Données projet'!$B$36,N22+M23-V22)))</f>
        <v>42</v>
      </c>
      <c r="O23" s="13">
        <f>N23*VLOOKUP('Données projet'!$B$9,Paramètres!$A$1:$I$89,3,0)*VLOOKUP('Données projet'!$B$9,Paramètres!$A$1:$I$89,5,0)</f>
        <v>42.588000000000001</v>
      </c>
      <c r="P23" s="13">
        <f t="shared" si="33"/>
        <v>12.682073764365764</v>
      </c>
      <c r="Q23" s="20">
        <f t="shared" si="2"/>
        <v>96.262045139603686</v>
      </c>
      <c r="R23" s="59">
        <f t="shared" si="0"/>
        <v>312.77674802649938</v>
      </c>
      <c r="S23" s="59">
        <f ca="1">AVERAGE(OFFSET($R$3,0,0,'Données projet'!$E$9+1,1))-AVERAGE(OFFSET($H$3,0,0,'Données projet'!$E$9+1,1))</f>
        <v>465.40148250851843</v>
      </c>
      <c r="T23" s="59">
        <f t="shared" si="34"/>
        <v>290.8428650572356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45.208799999999997</v>
      </c>
      <c r="AK23" s="13">
        <f t="shared" si="35"/>
        <v>13.369251386406743</v>
      </c>
      <c r="AL23" s="20">
        <f t="shared" si="4"/>
        <v>102.02343949799173</v>
      </c>
      <c r="AM23" s="59">
        <f t="shared" si="5"/>
        <v>318.53814238488746</v>
      </c>
      <c r="AN23" s="59">
        <f ca="1">AVERAGE(OFFSET($AM$3,0,0,'Données projet'!$E$10+1,1))-AVERAGE(OFFSET($H$3,0,0,'Données projet'!$E$10+1,1))</f>
        <v>489.34829722967373</v>
      </c>
      <c r="AO23" s="59">
        <f t="shared" si="36"/>
        <v>304.94365539329362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95</v>
      </c>
      <c r="BB23" s="12">
        <f>VLOOKUP(A23,'Données projet'!$A$87:$I$107,9,0)</f>
        <v>4.75</v>
      </c>
      <c r="BC23" s="12">
        <f t="array" ref="BC23">INDEX(BB:BB,MIN(IF(ISNUMBER(BB23:BB219),ROW(BB23:BB219),"")))</f>
        <v>4.75</v>
      </c>
      <c r="BD23" s="12">
        <f>IF('Données projet'!$A$88&gt;35,BD22+BC23-BL22,IF(A23&lt;'Données projet'!$A$88,$BA$205^A23,IF(A23='Données projet'!$A$88,'Données projet'!$B$88,BD22+BC23-BL22)))</f>
        <v>95</v>
      </c>
      <c r="BE23" s="13">
        <f>BD23*VLOOKUP('Données projet'!$B$11,Paramètres!$A$1:$I$89,3,0)*VLOOKUP('Données projet'!$B$11,Paramètres!$A$1:$I$89,5,0)</f>
        <v>82.992000000000004</v>
      </c>
      <c r="BF23" s="13">
        <f t="shared" si="37"/>
        <v>22.867173045817324</v>
      </c>
      <c r="BG23" s="20">
        <f t="shared" si="7"/>
        <v>184.37139305479852</v>
      </c>
      <c r="BH23" s="59">
        <f t="shared" si="8"/>
        <v>400.88609594169424</v>
      </c>
      <c r="BI23" s="59">
        <f ca="1">AVERAGE(OFFSET($BH$3,0,0,'Données projet'!$E$11+1,1))-AVERAGE(OFFSET($H$3,0,0,'Données projet'!$E$11+1,1))</f>
        <v>360.3011551173708</v>
      </c>
      <c r="BJ23" s="59">
        <f t="shared" si="38"/>
        <v>388.50312617855309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43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5.4806328751189346</v>
      </c>
      <c r="BR23" s="21">
        <f>EXP(-LN(2)/2)*BR22+(1-EXP(-LN(2)/2))/(LN(2)/2)*BL23*BO23*VLOOKUP('Données projet'!$B$11,Paramètres!$A$1:$I$89,3,0)*0.475*44/12</f>
        <v>8.8608499604421223</v>
      </c>
      <c r="BS23" s="22">
        <f t="shared" si="9"/>
        <v>14.341482835561056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91</v>
      </c>
      <c r="DM23" s="12">
        <f>VLOOKUP(A23,'Données projet'!$A$165:$I$185,9,0)</f>
        <v>4.55</v>
      </c>
      <c r="DN23" s="12">
        <f t="array" ref="DN23">INDEX(DM:DM,MIN(IF(ISNUMBER(DM23:DM219),ROW(DM23:DM219),"")))</f>
        <v>4.55</v>
      </c>
      <c r="DO23" s="12">
        <f>IF('Données projet'!$A$166&gt;35,DO22+DN23-DW22,IF(A23&lt;'Données projet'!$A$166,$DL$205^A23,IF(A23='Données projet'!$A$166,'Données projet'!$B$166,DO22+DN23-DW22)))</f>
        <v>91</v>
      </c>
      <c r="DP23" s="17">
        <f>DO23*VLOOKUP('Données projet'!$B$14,Paramètres!$A$1:$I$89,3,0)*VLOOKUP('Données projet'!$B$14,Paramètres!$A$1:$I$89,5,0)</f>
        <v>54.417999999999999</v>
      </c>
      <c r="DQ23" s="13">
        <f t="shared" si="43"/>
        <v>15.749044324804036</v>
      </c>
      <c r="DR23" s="20">
        <f t="shared" si="16"/>
        <v>122.20760219903367</v>
      </c>
      <c r="DS23" s="59">
        <f t="shared" si="17"/>
        <v>338.72230508592941</v>
      </c>
      <c r="DT23" s="59">
        <f ca="1">AVERAGE(OFFSET($DS$3,0,0,'Données projet'!$E$14+1,1))-AVERAGE(OFFSET($H$3,0,0,'Données projet'!$E$14+1,1))</f>
        <v>350.88566459278962</v>
      </c>
      <c r="DU23" s="59">
        <f t="shared" si="44"/>
        <v>342.18151800581552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0.22500000000000001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0.53335940190698583</v>
      </c>
      <c r="EC23" s="21">
        <f>EXP(-LN(2)/2)*EC22+(1-EXP(-LN(2)/2))/(LN(2)/2)*DW23*DZ23*VLOOKUP('Données projet'!$B$14,Paramètres!$A$1:$I$89,3,0)*0.475*44/12</f>
        <v>1.0156123708812399</v>
      </c>
      <c r="ED23" s="22">
        <f t="shared" si="18"/>
        <v>1.5489717727882257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6.3</v>
      </c>
      <c r="N24" s="13">
        <f>IF('Données projet'!$A$36&gt;35,N23+M24-V23,IF(A24&lt;'Données projet'!$A$36,$K$205^A24,IF(A24='Données projet'!$A$36,'Données projet'!$B$36,N23+M24-V23)))</f>
        <v>48.3</v>
      </c>
      <c r="O24" s="13">
        <f>N24*VLOOKUP('Données projet'!$B$9,Paramètres!$A$1:$I$89,3,0)*VLOOKUP('Données projet'!$B$9,Paramètres!$A$1:$I$89,5,0)</f>
        <v>48.976199999999999</v>
      </c>
      <c r="P24" s="13">
        <f t="shared" si="33"/>
        <v>14.349041334347479</v>
      </c>
      <c r="Q24" s="20">
        <f t="shared" si="2"/>
        <v>110.29146199065519</v>
      </c>
      <c r="R24" s="59">
        <f t="shared" si="0"/>
        <v>329.14899036652957</v>
      </c>
      <c r="S24" s="59">
        <f ca="1">AVERAGE(OFFSET($R$3,0,0,'Données projet'!$E$9+1,1))-AVERAGE(OFFSET($H$3,0,0,'Données projet'!$E$9+1,1))</f>
        <v>465.40148250851843</v>
      </c>
      <c r="T24" s="59">
        <f t="shared" si="34"/>
        <v>290.8428650572356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51.990119999999997</v>
      </c>
      <c r="AK24" s="13">
        <f t="shared" si="35"/>
        <v>15.126543522547198</v>
      </c>
      <c r="AL24" s="20">
        <f t="shared" si="4"/>
        <v>116.89485563510304</v>
      </c>
      <c r="AM24" s="59">
        <f t="shared" si="5"/>
        <v>335.75238401097744</v>
      </c>
      <c r="AN24" s="59">
        <f ca="1">AVERAGE(OFFSET($AM$3,0,0,'Données projet'!$E$10+1,1))-AVERAGE(OFFSET($H$3,0,0,'Données projet'!$E$10+1,1))</f>
        <v>489.34829722967373</v>
      </c>
      <c r="AO24" s="59">
        <f t="shared" si="36"/>
        <v>304.94365539329362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12.2</v>
      </c>
      <c r="BD24" s="12">
        <f>IF('Données projet'!$A$88&gt;35,BD23+BC24-BL23,IF(A24&lt;'Données projet'!$A$88,$BA$205^A24,IF(A24='Données projet'!$A$88,'Données projet'!$B$88,BD23+BC24-BL23)))</f>
        <v>64.2</v>
      </c>
      <c r="BE24" s="13">
        <f>BD24*VLOOKUP('Données projet'!$B$11,Paramètres!$A$1:$I$89,3,0)*VLOOKUP('Données projet'!$B$11,Paramètres!$A$1:$I$89,5,0)</f>
        <v>56.085120000000011</v>
      </c>
      <c r="BF24" s="13">
        <f t="shared" si="37"/>
        <v>16.174611252215492</v>
      </c>
      <c r="BG24" s="20">
        <f t="shared" si="7"/>
        <v>125.85236526427535</v>
      </c>
      <c r="BH24" s="59">
        <f t="shared" si="8"/>
        <v>344.70989364014974</v>
      </c>
      <c r="BI24" s="59">
        <f ca="1">AVERAGE(OFFSET($BH$3,0,0,'Données projet'!$E$11+1,1))-AVERAGE(OFFSET($H$3,0,0,'Données projet'!$E$11+1,1))</f>
        <v>360.3011551173708</v>
      </c>
      <c r="BJ24" s="59">
        <f t="shared" si="38"/>
        <v>388.50312617855309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5.330764680934851</v>
      </c>
      <c r="BR24" s="21">
        <f>EXP(-LN(2)/2)*BR23+(1-EXP(-LN(2)/2))/(LN(2)/2)*BL24*BO24*VLOOKUP('Données projet'!$B$11,Paramètres!$A$1:$I$89,3,0)*0.475*44/12</f>
        <v>6.2655670941051769</v>
      </c>
      <c r="BS24" s="22">
        <f t="shared" si="9"/>
        <v>11.596331775040028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</v>
      </c>
      <c r="DO24" s="12">
        <f>IF('Données projet'!$A$166&gt;35,DO23+DN24-DW23,IF(A24&lt;'Données projet'!$A$166,$DL$205^A24,IF(A24='Données projet'!$A$166,'Données projet'!$B$166,DO23+DN24-DW23)))</f>
        <v>101</v>
      </c>
      <c r="DP24" s="17">
        <f>DO24*VLOOKUP('Données projet'!$B$14,Paramètres!$A$1:$I$89,3,0)*VLOOKUP('Données projet'!$B$14,Paramètres!$A$1:$I$89,5,0)</f>
        <v>60.398000000000003</v>
      </c>
      <c r="DQ24" s="13">
        <f t="shared" si="43"/>
        <v>17.26885714728807</v>
      </c>
      <c r="DR24" s="20">
        <f t="shared" si="16"/>
        <v>135.26977619819337</v>
      </c>
      <c r="DS24" s="59">
        <f t="shared" si="17"/>
        <v>354.12730457406775</v>
      </c>
      <c r="DT24" s="59">
        <f ca="1">AVERAGE(OFFSET($DS$3,0,0,'Données projet'!$E$14+1,1))-AVERAGE(OFFSET($H$3,0,0,'Données projet'!$E$14+1,1))</f>
        <v>350.88566459278962</v>
      </c>
      <c r="DU24" s="59">
        <f t="shared" si="44"/>
        <v>342.18151800581552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0.51877466101368741</v>
      </c>
      <c r="EC24" s="21">
        <f>EXP(-LN(2)/2)*EC23+(1-EXP(-LN(2)/2))/(LN(2)/2)*DW24*DZ24*VLOOKUP('Données projet'!$B$14,Paramètres!$A$1:$I$89,3,0)*0.475*44/12</f>
        <v>0.71814639450707174</v>
      </c>
      <c r="ED24" s="22">
        <f t="shared" si="18"/>
        <v>1.2369210555207593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6.3</v>
      </c>
      <c r="N25" s="13">
        <f>IF('Données projet'!$A$36&gt;35,N24+M25-V24,IF(A25&lt;'Données projet'!$A$36,$K$205^A25,IF(A25='Données projet'!$A$36,'Données projet'!$B$36,N24+M25-V24)))</f>
        <v>54.599999999999994</v>
      </c>
      <c r="O25" s="13">
        <f>N25*VLOOKUP('Données projet'!$B$9,Paramètres!$A$1:$I$89,3,0)*VLOOKUP('Données projet'!$B$9,Paramètres!$A$1:$I$89,5,0)</f>
        <v>55.364399999999996</v>
      </c>
      <c r="P25" s="13">
        <f t="shared" si="33"/>
        <v>15.990815813983085</v>
      </c>
      <c r="Q25" s="20">
        <f t="shared" si="2"/>
        <v>124.27700087602052</v>
      </c>
      <c r="R25" s="59">
        <f t="shared" si="0"/>
        <v>345.45791477948893</v>
      </c>
      <c r="S25" s="59">
        <f ca="1">AVERAGE(OFFSET($R$3,0,0,'Données projet'!$E$9+1,1))-AVERAGE(OFFSET($H$3,0,0,'Données projet'!$E$9+1,1))</f>
        <v>465.40148250851843</v>
      </c>
      <c r="T25" s="59">
        <f t="shared" si="34"/>
        <v>290.8428650572356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58.771439999999991</v>
      </c>
      <c r="AK25" s="13">
        <f t="shared" si="35"/>
        <v>16.857277481823555</v>
      </c>
      <c r="AL25" s="20">
        <f t="shared" si="4"/>
        <v>131.72001628084266</v>
      </c>
      <c r="AM25" s="59">
        <f t="shared" si="5"/>
        <v>352.90093018431105</v>
      </c>
      <c r="AN25" s="59">
        <f ca="1">AVERAGE(OFFSET($AM$3,0,0,'Données projet'!$E$10+1,1))-AVERAGE(OFFSET($H$3,0,0,'Données projet'!$E$10+1,1))</f>
        <v>489.34829722967373</v>
      </c>
      <c r="AO25" s="59">
        <f t="shared" si="36"/>
        <v>304.94365539329362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12.2</v>
      </c>
      <c r="BD25" s="12">
        <f>IF('Données projet'!$A$88&gt;35,BD24+BC25-BL24,IF(A25&lt;'Données projet'!$A$88,$BA$205^A25,IF(A25='Données projet'!$A$88,'Données projet'!$B$88,BD24+BC25-BL24)))</f>
        <v>76.400000000000006</v>
      </c>
      <c r="BE25" s="13">
        <f>BD25*VLOOKUP('Données projet'!$B$11,Paramètres!$A$1:$I$89,3,0)*VLOOKUP('Données projet'!$B$11,Paramètres!$A$1:$I$89,5,0)</f>
        <v>66.743040000000008</v>
      </c>
      <c r="BF25" s="13">
        <f t="shared" si="37"/>
        <v>18.862410507178108</v>
      </c>
      <c r="BG25" s="20">
        <f t="shared" si="7"/>
        <v>149.09615963333522</v>
      </c>
      <c r="BH25" s="59">
        <f t="shared" si="8"/>
        <v>370.27707353680364</v>
      </c>
      <c r="BI25" s="59">
        <f ca="1">AVERAGE(OFFSET($BH$3,0,0,'Données projet'!$E$11+1,1))-AVERAGE(OFFSET($H$3,0,0,'Données projet'!$E$11+1,1))</f>
        <v>360.3011551173708</v>
      </c>
      <c r="BJ25" s="59">
        <f t="shared" si="38"/>
        <v>388.50312617855309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5.1849946404019569</v>
      </c>
      <c r="BR25" s="21">
        <f>EXP(-LN(2)/2)*BR24+(1-EXP(-LN(2)/2))/(LN(2)/2)*BL25*BO25*VLOOKUP('Données projet'!$B$11,Paramètres!$A$1:$I$89,3,0)*0.475*44/12</f>
        <v>4.430424980221062</v>
      </c>
      <c r="BS25" s="22">
        <f t="shared" si="9"/>
        <v>9.6154196206230189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</v>
      </c>
      <c r="DO25" s="12">
        <f>IF('Données projet'!$A$166&gt;35,DO24+DN25-DW24,IF(A25&lt;'Données projet'!$A$166,$DL$205^A25,IF(A25='Données projet'!$A$166,'Données projet'!$B$166,DO24+DN25-DW24)))</f>
        <v>114</v>
      </c>
      <c r="DP25" s="17">
        <f>DO25*VLOOKUP('Données projet'!$B$14,Paramètres!$A$1:$I$89,3,0)*VLOOKUP('Données projet'!$B$14,Paramètres!$A$1:$I$89,5,0)</f>
        <v>68.172000000000011</v>
      </c>
      <c r="DQ25" s="13">
        <f t="shared" si="43"/>
        <v>19.21880399855084</v>
      </c>
      <c r="DR25" s="20">
        <f t="shared" si="16"/>
        <v>152.20565029747607</v>
      </c>
      <c r="DS25" s="59">
        <f t="shared" si="17"/>
        <v>373.38656420094446</v>
      </c>
      <c r="DT25" s="59">
        <f ca="1">AVERAGE(OFFSET($DS$3,0,0,'Données projet'!$E$14+1,1))-AVERAGE(OFFSET($H$3,0,0,'Données projet'!$E$14+1,1))</f>
        <v>350.88566459278962</v>
      </c>
      <c r="DU25" s="59">
        <f t="shared" si="44"/>
        <v>342.18151800581552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0.50458874062709436</v>
      </c>
      <c r="EC25" s="21">
        <f>EXP(-LN(2)/2)*EC24+(1-EXP(-LN(2)/2))/(LN(2)/2)*DW25*DZ25*VLOOKUP('Données projet'!$B$14,Paramètres!$A$1:$I$89,3,0)*0.475*44/12</f>
        <v>0.50780618544062006</v>
      </c>
      <c r="ED25" s="22">
        <f t="shared" si="18"/>
        <v>1.0123949260677145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6.3</v>
      </c>
      <c r="N26" s="13">
        <f>IF('Données projet'!$A$36&gt;35,N25+M26-V25,IF(A26&lt;'Données projet'!$A$36,$K$205^A26,IF(A26='Données projet'!$A$36,'Données projet'!$B$36,N25+M26-V25)))</f>
        <v>60.899999999999991</v>
      </c>
      <c r="O26" s="13">
        <f>N26*VLOOKUP('Données projet'!$B$9,Paramètres!$A$1:$I$89,3,0)*VLOOKUP('Données projet'!$B$9,Paramètres!$A$1:$I$89,5,0)</f>
        <v>61.752599999999994</v>
      </c>
      <c r="P26" s="13">
        <f t="shared" si="33"/>
        <v>17.610636043798049</v>
      </c>
      <c r="Q26" s="20">
        <f t="shared" si="2"/>
        <v>138.22430277628158</v>
      </c>
      <c r="R26" s="59">
        <f t="shared" si="0"/>
        <v>361.70949948582808</v>
      </c>
      <c r="S26" s="59">
        <f ca="1">AVERAGE(OFFSET($R$3,0,0,'Données projet'!$E$9+1,1))-AVERAGE(OFFSET($H$3,0,0,'Données projet'!$E$9+1,1))</f>
        <v>465.40148250851843</v>
      </c>
      <c r="T26" s="59">
        <f t="shared" si="34"/>
        <v>290.8428650572356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65.552759999999992</v>
      </c>
      <c r="AK26" s="13">
        <f t="shared" si="35"/>
        <v>18.564867601195999</v>
      </c>
      <c r="AL26" s="20">
        <f t="shared" si="4"/>
        <v>146.50486807208301</v>
      </c>
      <c r="AM26" s="59">
        <f t="shared" si="5"/>
        <v>369.99006478162948</v>
      </c>
      <c r="AN26" s="59">
        <f ca="1">AVERAGE(OFFSET($AM$3,0,0,'Données projet'!$E$10+1,1))-AVERAGE(OFFSET($H$3,0,0,'Données projet'!$E$10+1,1))</f>
        <v>489.34829722967373</v>
      </c>
      <c r="AO26" s="59">
        <f t="shared" si="36"/>
        <v>304.94365539329362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12.2</v>
      </c>
      <c r="BD26" s="12">
        <f>IF('Données projet'!$A$88&gt;35,BD25+BC26-BL25,IF(A26&lt;'Données projet'!$A$88,$BA$205^A26,IF(A26='Données projet'!$A$88,'Données projet'!$B$88,BD25+BC26-BL25)))</f>
        <v>88.600000000000009</v>
      </c>
      <c r="BE26" s="13">
        <f>BD26*VLOOKUP('Données projet'!$B$11,Paramètres!$A$1:$I$89,3,0)*VLOOKUP('Données projet'!$B$11,Paramètres!$A$1:$I$89,5,0)</f>
        <v>77.400960000000012</v>
      </c>
      <c r="BF26" s="13">
        <f t="shared" si="37"/>
        <v>21.500488991081735</v>
      </c>
      <c r="BG26" s="20">
        <f t="shared" si="7"/>
        <v>172.25335699280072</v>
      </c>
      <c r="BH26" s="59">
        <f t="shared" si="8"/>
        <v>395.73855370234719</v>
      </c>
      <c r="BI26" s="59">
        <f ca="1">AVERAGE(OFFSET($BH$3,0,0,'Données projet'!$E$11+1,1))-AVERAGE(OFFSET($H$3,0,0,'Données projet'!$E$11+1,1))</f>
        <v>360.3011551173708</v>
      </c>
      <c r="BJ26" s="59">
        <f t="shared" si="38"/>
        <v>388.50312617855309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5.0432106892931481</v>
      </c>
      <c r="BR26" s="21">
        <f>EXP(-LN(2)/2)*BR25+(1-EXP(-LN(2)/2))/(LN(2)/2)*BL26*BO26*VLOOKUP('Données projet'!$B$11,Paramètres!$A$1:$I$89,3,0)*0.475*44/12</f>
        <v>3.1327835470525889</v>
      </c>
      <c r="BS26" s="22">
        <f t="shared" si="9"/>
        <v>8.175994236345737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</v>
      </c>
      <c r="DO26" s="12">
        <f>IF('Données projet'!$A$166&gt;35,DO25+DN26-DW25,IF(A26&lt;'Données projet'!$A$166,$DL$205^A26,IF(A26='Données projet'!$A$166,'Données projet'!$B$166,DO25+DN26-DW25)))</f>
        <v>127</v>
      </c>
      <c r="DP26" s="17">
        <f>DO26*VLOOKUP('Données projet'!$B$14,Paramètres!$A$1:$I$89,3,0)*VLOOKUP('Données projet'!$B$14,Paramètres!$A$1:$I$89,5,0)</f>
        <v>75.945999999999998</v>
      </c>
      <c r="DQ26" s="13">
        <f t="shared" si="43"/>
        <v>21.142979995226831</v>
      </c>
      <c r="DR26" s="20">
        <f t="shared" si="16"/>
        <v>169.09664015835338</v>
      </c>
      <c r="DS26" s="59">
        <f t="shared" si="17"/>
        <v>392.58183686789988</v>
      </c>
      <c r="DT26" s="59">
        <f ca="1">AVERAGE(OFFSET($DS$3,0,0,'Données projet'!$E$14+1,1))-AVERAGE(OFFSET($H$3,0,0,'Données projet'!$E$14+1,1))</f>
        <v>350.88566459278962</v>
      </c>
      <c r="DU26" s="59">
        <f t="shared" si="44"/>
        <v>342.18151800581552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0.49079073497947784</v>
      </c>
      <c r="EC26" s="21">
        <f>EXP(-LN(2)/2)*EC25+(1-EXP(-LN(2)/2))/(LN(2)/2)*DW26*DZ26*VLOOKUP('Données projet'!$B$14,Paramètres!$A$1:$I$89,3,0)*0.475*44/12</f>
        <v>0.35907319725353593</v>
      </c>
      <c r="ED26" s="22">
        <f t="shared" si="18"/>
        <v>0.84986393223301371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6.3</v>
      </c>
      <c r="N27" s="13">
        <f>IF('Données projet'!$A$36&gt;35,N26+M27-V26,IF(A27&lt;'Données projet'!$A$36,$K$205^A27,IF(A27='Données projet'!$A$36,'Données projet'!$B$36,N26+M27-V26)))</f>
        <v>67.199999999999989</v>
      </c>
      <c r="O27" s="13">
        <f>N27*VLOOKUP('Données projet'!$B$9,Paramètres!$A$1:$I$89,3,0)*VLOOKUP('Données projet'!$B$9,Paramètres!$A$1:$I$89,5,0)</f>
        <v>68.140799999999984</v>
      </c>
      <c r="P27" s="13">
        <f t="shared" si="33"/>
        <v>19.21103183030446</v>
      </c>
      <c r="Q27" s="20">
        <f t="shared" si="2"/>
        <v>152.13777377111359</v>
      </c>
      <c r="R27" s="59">
        <f t="shared" si="0"/>
        <v>377.90848195473336</v>
      </c>
      <c r="S27" s="59">
        <f ca="1">AVERAGE(OFFSET($R$3,0,0,'Données projet'!$E$9+1,1))-AVERAGE(OFFSET($H$3,0,0,'Données projet'!$E$9+1,1))</f>
        <v>465.40148250851843</v>
      </c>
      <c r="T27" s="59">
        <f t="shared" si="34"/>
        <v>290.8428650572356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72.334079999999986</v>
      </c>
      <c r="AK27" s="13">
        <f t="shared" si="35"/>
        <v>20.251980764633768</v>
      </c>
      <c r="AL27" s="20">
        <f t="shared" si="4"/>
        <v>161.25405583173711</v>
      </c>
      <c r="AM27" s="59">
        <f t="shared" si="5"/>
        <v>387.02476401535694</v>
      </c>
      <c r="AN27" s="59">
        <f ca="1">AVERAGE(OFFSET($AM$3,0,0,'Données projet'!$E$10+1,1))-AVERAGE(OFFSET($H$3,0,0,'Données projet'!$E$10+1,1))</f>
        <v>489.34829722967373</v>
      </c>
      <c r="AO27" s="59">
        <f t="shared" si="36"/>
        <v>304.94365539329362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12.2</v>
      </c>
      <c r="BD27" s="12">
        <f>IF('Données projet'!$A$88&gt;35,BD26+BC27-BL26,IF(A27&lt;'Données projet'!$A$88,$BA$205^A27,IF(A27='Données projet'!$A$88,'Données projet'!$B$88,BD26+BC27-BL26)))</f>
        <v>100.80000000000001</v>
      </c>
      <c r="BE27" s="13">
        <f>BD27*VLOOKUP('Données projet'!$B$11,Paramètres!$A$1:$I$89,3,0)*VLOOKUP('Données projet'!$B$11,Paramètres!$A$1:$I$89,5,0)</f>
        <v>88.05888000000003</v>
      </c>
      <c r="BF27" s="13">
        <f t="shared" si="37"/>
        <v>24.096481170231201</v>
      </c>
      <c r="BG27" s="20">
        <f t="shared" si="7"/>
        <v>195.33725403815274</v>
      </c>
      <c r="BH27" s="59">
        <f t="shared" si="8"/>
        <v>421.10796222177254</v>
      </c>
      <c r="BI27" s="59">
        <f ca="1">AVERAGE(OFFSET($BH$3,0,0,'Données projet'!$E$11+1,1))-AVERAGE(OFFSET($H$3,0,0,'Données projet'!$E$11+1,1))</f>
        <v>360.3011551173708</v>
      </c>
      <c r="BJ27" s="59">
        <f t="shared" si="38"/>
        <v>388.50312617855309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4.905303827783503</v>
      </c>
      <c r="BR27" s="21">
        <f>EXP(-LN(2)/2)*BR26+(1-EXP(-LN(2)/2))/(LN(2)/2)*BL27*BO27*VLOOKUP('Données projet'!$B$11,Paramètres!$A$1:$I$89,3,0)*0.475*44/12</f>
        <v>2.2152124901105315</v>
      </c>
      <c r="BS27" s="22">
        <f t="shared" si="9"/>
        <v>7.1205163178940349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</v>
      </c>
      <c r="DO27" s="12">
        <f>IF('Données projet'!$A$166&gt;35,DO26+DN27-DW26,IF(A27&lt;'Données projet'!$A$166,$DL$205^A27,IF(A27='Données projet'!$A$166,'Données projet'!$B$166,DO26+DN27-DW26)))</f>
        <v>140</v>
      </c>
      <c r="DP27" s="17">
        <f>DO27*VLOOKUP('Données projet'!$B$14,Paramètres!$A$1:$I$89,3,0)*VLOOKUP('Données projet'!$B$14,Paramètres!$A$1:$I$89,5,0)</f>
        <v>83.720000000000013</v>
      </c>
      <c r="DQ27" s="13">
        <f t="shared" si="43"/>
        <v>23.044323503842598</v>
      </c>
      <c r="DR27" s="20">
        <f t="shared" si="16"/>
        <v>185.9478634358592</v>
      </c>
      <c r="DS27" s="59">
        <f t="shared" si="17"/>
        <v>411.71857161947901</v>
      </c>
      <c r="DT27" s="59">
        <f ca="1">AVERAGE(OFFSET($DS$3,0,0,'Données projet'!$E$14+1,1))-AVERAGE(OFFSET($H$3,0,0,'Données projet'!$E$14+1,1))</f>
        <v>350.88566459278962</v>
      </c>
      <c r="DU27" s="59">
        <f t="shared" si="44"/>
        <v>342.18151800581552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0.47737003652190096</v>
      </c>
      <c r="EC27" s="21">
        <f>EXP(-LN(2)/2)*EC26+(1-EXP(-LN(2)/2))/(LN(2)/2)*DW27*DZ27*VLOOKUP('Données projet'!$B$14,Paramètres!$A$1:$I$89,3,0)*0.475*44/12</f>
        <v>0.25390309272031009</v>
      </c>
      <c r="ED27" s="22">
        <f t="shared" si="18"/>
        <v>0.731273129242211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6.3</v>
      </c>
      <c r="N28" s="13">
        <f>IF('Données projet'!$A$36&gt;35,N27+M28-V27,IF(A28&lt;'Données projet'!$A$36,$K$205^A28,IF(A28='Données projet'!$A$36,'Données projet'!$B$36,N27+M28-V27)))</f>
        <v>73.499999999999986</v>
      </c>
      <c r="O28" s="13">
        <f>N28*VLOOKUP('Données projet'!$B$9,Paramètres!$A$1:$I$89,3,0)*VLOOKUP('Données projet'!$B$9,Paramètres!$A$1:$I$89,5,0)</f>
        <v>74.528999999999982</v>
      </c>
      <c r="P28" s="13">
        <f t="shared" si="33"/>
        <v>20.794031365411815</v>
      </c>
      <c r="Q28" s="20">
        <f t="shared" si="2"/>
        <v>166.02094629475889</v>
      </c>
      <c r="R28" s="59">
        <f t="shared" si="0"/>
        <v>394.05872026109103</v>
      </c>
      <c r="S28" s="59">
        <f ca="1">AVERAGE(OFFSET($R$3,0,0,'Données projet'!$E$9+1,1))-AVERAGE(OFFSET($H$3,0,0,'Données projet'!$E$9+1,1))</f>
        <v>465.40148250851843</v>
      </c>
      <c r="T28" s="59">
        <f t="shared" si="34"/>
        <v>290.8428650572356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79.11539999999998</v>
      </c>
      <c r="AK28" s="13">
        <f t="shared" si="35"/>
        <v>21.920755061537864</v>
      </c>
      <c r="AL28" s="20">
        <f t="shared" si="4"/>
        <v>175.97130339884507</v>
      </c>
      <c r="AM28" s="59">
        <f t="shared" si="5"/>
        <v>404.00907736517718</v>
      </c>
      <c r="AN28" s="59">
        <f ca="1">AVERAGE(OFFSET($AM$3,0,0,'Données projet'!$E$10+1,1))-AVERAGE(OFFSET($H$3,0,0,'Données projet'!$E$10+1,1))</f>
        <v>489.34829722967373</v>
      </c>
      <c r="AO28" s="59">
        <f t="shared" si="36"/>
        <v>304.94365539329362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12.2</v>
      </c>
      <c r="BD28" s="12">
        <f>IF('Données projet'!$A$88&gt;35,BD27+BC28-BL27,IF(A28&lt;'Données projet'!$A$88,$BA$205^A28,IF(A28='Données projet'!$A$88,'Données projet'!$B$88,BD27+BC28-BL27)))</f>
        <v>113.00000000000001</v>
      </c>
      <c r="BE28" s="13">
        <f>BD28*VLOOKUP('Données projet'!$B$11,Paramètres!$A$1:$I$89,3,0)*VLOOKUP('Données projet'!$B$11,Paramètres!$A$1:$I$89,5,0)</f>
        <v>98.716800000000021</v>
      </c>
      <c r="BF28" s="13">
        <f t="shared" si="37"/>
        <v>26.656063438447475</v>
      </c>
      <c r="BG28" s="20">
        <f t="shared" si="7"/>
        <v>218.35773715529604</v>
      </c>
      <c r="BH28" s="59">
        <f t="shared" si="8"/>
        <v>446.39551112162815</v>
      </c>
      <c r="BI28" s="59">
        <f ca="1">AVERAGE(OFFSET($BH$3,0,0,'Données projet'!$E$11+1,1))-AVERAGE(OFFSET($H$3,0,0,'Données projet'!$E$11+1,1))</f>
        <v>360.3011551173708</v>
      </c>
      <c r="BJ28" s="59">
        <f t="shared" si="38"/>
        <v>388.50312617855309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4.7711680366540463</v>
      </c>
      <c r="BR28" s="21">
        <f>EXP(-LN(2)/2)*BR27+(1-EXP(-LN(2)/2))/(LN(2)/2)*BL28*BO28*VLOOKUP('Données projet'!$B$11,Paramètres!$A$1:$I$89,3,0)*0.475*44/12</f>
        <v>1.5663917735262947</v>
      </c>
      <c r="BS28" s="22">
        <f t="shared" si="9"/>
        <v>6.3375598101803412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</v>
      </c>
      <c r="DO28" s="12">
        <f>IF('Données projet'!$A$166&gt;35,DO27+DN28-DW27,IF(A28&lt;'Données projet'!$A$166,$DL$205^A28,IF(A28='Données projet'!$A$166,'Données projet'!$B$166,DO27+DN28-DW27)))</f>
        <v>153</v>
      </c>
      <c r="DP28" s="17">
        <f>DO28*VLOOKUP('Données projet'!$B$14,Paramètres!$A$1:$I$89,3,0)*VLOOKUP('Données projet'!$B$14,Paramètres!$A$1:$I$89,5,0)</f>
        <v>91.494000000000014</v>
      </c>
      <c r="DQ28" s="13">
        <f t="shared" si="43"/>
        <v>24.925195840896542</v>
      </c>
      <c r="DR28" s="20">
        <f t="shared" si="16"/>
        <v>202.76343275622813</v>
      </c>
      <c r="DS28" s="59">
        <f t="shared" si="17"/>
        <v>430.80120672256021</v>
      </c>
      <c r="DT28" s="59">
        <f ca="1">AVERAGE(OFFSET($DS$3,0,0,'Données projet'!$E$14+1,1))-AVERAGE(OFFSET($H$3,0,0,'Données projet'!$E$14+1,1))</f>
        <v>350.88566459278962</v>
      </c>
      <c r="DU28" s="59">
        <f t="shared" si="44"/>
        <v>342.18151800581552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0.4643163277694104</v>
      </c>
      <c r="EC28" s="21">
        <f>EXP(-LN(2)/2)*EC27+(1-EXP(-LN(2)/2))/(LN(2)/2)*DW28*DZ28*VLOOKUP('Données projet'!$B$14,Paramètres!$A$1:$I$89,3,0)*0.475*44/12</f>
        <v>0.17953659862676799</v>
      </c>
      <c r="ED28" s="22">
        <f t="shared" si="18"/>
        <v>0.64385292639617842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6.3</v>
      </c>
      <c r="N29" s="13">
        <f>IF('Données projet'!$A$36&gt;35,N28+M29-V28,IF(A29&lt;'Données projet'!$A$36,$K$205^A29,IF(A29='Données projet'!$A$36,'Données projet'!$B$36,N28+M29-V28)))</f>
        <v>79.799999999999983</v>
      </c>
      <c r="O29" s="13">
        <f>N29*VLOOKUP('Données projet'!$B$9,Paramètres!$A$1:$I$89,3,0)*VLOOKUP('Données projet'!$B$9,Paramètres!$A$1:$I$89,5,0)</f>
        <v>80.917199999999994</v>
      </c>
      <c r="P29" s="13">
        <f t="shared" si="33"/>
        <v>22.361295290994434</v>
      </c>
      <c r="Q29" s="20">
        <f t="shared" si="2"/>
        <v>179.87671263181528</v>
      </c>
      <c r="R29" s="59">
        <f t="shared" si="0"/>
        <v>410.16342668100549</v>
      </c>
      <c r="S29" s="59">
        <f ca="1">AVERAGE(OFFSET($R$3,0,0,'Données projet'!$E$9+1,1))-AVERAGE(OFFSET($H$3,0,0,'Données projet'!$E$9+1,1))</f>
        <v>465.40148250851843</v>
      </c>
      <c r="T29" s="59">
        <f t="shared" si="34"/>
        <v>290.8428650572356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85.896719999999974</v>
      </c>
      <c r="AK29" s="13">
        <f t="shared" si="35"/>
        <v>23.572941115591171</v>
      </c>
      <c r="AL29" s="20">
        <f t="shared" si="4"/>
        <v>190.65965977632126</v>
      </c>
      <c r="AM29" s="59">
        <f t="shared" si="5"/>
        <v>420.94637382551144</v>
      </c>
      <c r="AN29" s="59">
        <f ca="1">AVERAGE(OFFSET($AM$3,0,0,'Données projet'!$E$10+1,1))-AVERAGE(OFFSET($H$3,0,0,'Données projet'!$E$10+1,1))</f>
        <v>489.34829722967373</v>
      </c>
      <c r="AO29" s="59">
        <f t="shared" si="36"/>
        <v>304.94365539329362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12.2</v>
      </c>
      <c r="BD29" s="12">
        <f>IF('Données projet'!$A$88&gt;35,BD28+BC29-BL28,IF(A29&lt;'Données projet'!$A$88,$BA$205^A29,IF(A29='Données projet'!$A$88,'Données projet'!$B$88,BD28+BC29-BL28)))</f>
        <v>125.20000000000002</v>
      </c>
      <c r="BE29" s="13">
        <f>BD29*VLOOKUP('Données projet'!$B$11,Paramètres!$A$1:$I$89,3,0)*VLOOKUP('Données projet'!$B$11,Paramètres!$A$1:$I$89,5,0)</f>
        <v>109.37472000000004</v>
      </c>
      <c r="BF29" s="13">
        <f t="shared" si="37"/>
        <v>29.183614885996381</v>
      </c>
      <c r="BG29" s="20">
        <f t="shared" si="7"/>
        <v>241.32243325977709</v>
      </c>
      <c r="BH29" s="59">
        <f t="shared" si="8"/>
        <v>471.60914730896729</v>
      </c>
      <c r="BI29" s="59">
        <f ca="1">AVERAGE(OFFSET($BH$3,0,0,'Données projet'!$E$11+1,1))-AVERAGE(OFFSET($H$3,0,0,'Données projet'!$E$11+1,1))</f>
        <v>360.3011551173708</v>
      </c>
      <c r="BJ29" s="59">
        <f t="shared" si="38"/>
        <v>388.50312617855309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4.6407001957869189</v>
      </c>
      <c r="BR29" s="21">
        <f>EXP(-LN(2)/2)*BR28+(1-EXP(-LN(2)/2))/(LN(2)/2)*BL29*BO29*VLOOKUP('Données projet'!$B$11,Paramètres!$A$1:$I$89,3,0)*0.475*44/12</f>
        <v>1.1076062450552657</v>
      </c>
      <c r="BS29" s="22">
        <f t="shared" si="9"/>
        <v>5.7483064408421845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</v>
      </c>
      <c r="DO29" s="12">
        <f>IF('Données projet'!$A$166&gt;35,DO28+DN29-DW28,IF(A29&lt;'Données projet'!$A$166,$DL$205^A29,IF(A29='Données projet'!$A$166,'Données projet'!$B$166,DO28+DN29-DW28)))</f>
        <v>166</v>
      </c>
      <c r="DP29" s="17">
        <f>DO29*VLOOKUP('Données projet'!$B$14,Paramètres!$A$1:$I$89,3,0)*VLOOKUP('Données projet'!$B$14,Paramètres!$A$1:$I$89,5,0)</f>
        <v>99.268000000000001</v>
      </c>
      <c r="DQ29" s="13">
        <f t="shared" si="43"/>
        <v>26.78753414535981</v>
      </c>
      <c r="DR29" s="20">
        <f t="shared" si="16"/>
        <v>219.54672196983498</v>
      </c>
      <c r="DS29" s="59">
        <f t="shared" si="17"/>
        <v>449.83343601902516</v>
      </c>
      <c r="DT29" s="59">
        <f ca="1">AVERAGE(OFFSET($DS$3,0,0,'Données projet'!$E$14+1,1))-AVERAGE(OFFSET($H$3,0,0,'Données projet'!$E$14+1,1))</f>
        <v>350.88566459278962</v>
      </c>
      <c r="DU29" s="59">
        <f t="shared" si="44"/>
        <v>342.18151800581552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0.45161957336922143</v>
      </c>
      <c r="EC29" s="21">
        <f>EXP(-LN(2)/2)*EC28+(1-EXP(-LN(2)/2))/(LN(2)/2)*DW29*DZ29*VLOOKUP('Données projet'!$B$14,Paramètres!$A$1:$I$89,3,0)*0.475*44/12</f>
        <v>0.12695154636015504</v>
      </c>
      <c r="ED29" s="22">
        <f t="shared" si="18"/>
        <v>0.57857111972937647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6.3</v>
      </c>
      <c r="N30" s="13">
        <f>IF('Données projet'!$A$36&gt;35,N29+M30-V29,IF(A30&lt;'Données projet'!$A$36,$K$205^A30,IF(A30='Données projet'!$A$36,'Données projet'!$B$36,N29+M30-V29)))</f>
        <v>86.09999999999998</v>
      </c>
      <c r="O30" s="13">
        <f>N30*VLOOKUP('Données projet'!$B$9,Paramètres!$A$1:$I$89,3,0)*VLOOKUP('Données projet'!$B$9,Paramètres!$A$1:$I$89,5,0)</f>
        <v>87.305399999999992</v>
      </c>
      <c r="P30" s="13">
        <f t="shared" si="33"/>
        <v>23.914207130877781</v>
      </c>
      <c r="Q30" s="20">
        <f t="shared" si="2"/>
        <v>193.70748241961212</v>
      </c>
      <c r="R30" s="59">
        <f t="shared" si="0"/>
        <v>426.22532529217563</v>
      </c>
      <c r="S30" s="59">
        <f ca="1">AVERAGE(OFFSET($R$3,0,0,'Données projet'!$E$9+1,1))-AVERAGE(OFFSET($H$3,0,0,'Données projet'!$E$9+1,1))</f>
        <v>465.40148250851843</v>
      </c>
      <c r="T30" s="59">
        <f t="shared" si="34"/>
        <v>290.8428650572356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92.678039999999982</v>
      </c>
      <c r="AK30" s="13">
        <f t="shared" si="35"/>
        <v>25.209997416798242</v>
      </c>
      <c r="AL30" s="20">
        <f t="shared" si="4"/>
        <v>205.32166516759025</v>
      </c>
      <c r="AM30" s="59">
        <f t="shared" si="5"/>
        <v>437.83950804015376</v>
      </c>
      <c r="AN30" s="59">
        <f ca="1">AVERAGE(OFFSET($AM$3,0,0,'Données projet'!$E$10+1,1))-AVERAGE(OFFSET($H$3,0,0,'Données projet'!$E$10+1,1))</f>
        <v>489.34829722967373</v>
      </c>
      <c r="AO30" s="59">
        <f t="shared" si="36"/>
        <v>304.94365539329362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12.2</v>
      </c>
      <c r="BD30" s="12">
        <f>IF('Données projet'!$A$88&gt;35,BD29+BC30-BL29,IF(A30&lt;'Données projet'!$A$88,$BA$205^A30,IF(A30='Données projet'!$A$88,'Données projet'!$B$88,BD29+BC30-BL29)))</f>
        <v>137.4</v>
      </c>
      <c r="BE30" s="13">
        <f>BD30*VLOOKUP('Données projet'!$B$11,Paramètres!$A$1:$I$89,3,0)*VLOOKUP('Données projet'!$B$11,Paramètres!$A$1:$I$89,5,0)</f>
        <v>120.03264000000003</v>
      </c>
      <c r="BF30" s="13">
        <f t="shared" si="37"/>
        <v>31.682611917612821</v>
      </c>
      <c r="BG30" s="20">
        <f t="shared" si="7"/>
        <v>264.23739708984232</v>
      </c>
      <c r="BH30" s="59">
        <f t="shared" si="8"/>
        <v>496.75523996240582</v>
      </c>
      <c r="BI30" s="59">
        <f ca="1">AVERAGE(OFFSET($BH$3,0,0,'Données projet'!$E$11+1,1))-AVERAGE(OFFSET($H$3,0,0,'Données projet'!$E$11+1,1))</f>
        <v>360.3011551173708</v>
      </c>
      <c r="BJ30" s="59">
        <f t="shared" si="38"/>
        <v>388.50312617855309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4.5138000048893092</v>
      </c>
      <c r="BR30" s="21">
        <f>EXP(-LN(2)/2)*BR29+(1-EXP(-LN(2)/2))/(LN(2)/2)*BL30*BO30*VLOOKUP('Données projet'!$B$11,Paramètres!$A$1:$I$89,3,0)*0.475*44/12</f>
        <v>0.78319588676314733</v>
      </c>
      <c r="BS30" s="22">
        <f t="shared" si="9"/>
        <v>5.2969958916524567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</v>
      </c>
      <c r="DO30" s="12">
        <f>IF('Données projet'!$A$166&gt;35,DO29+DN30-DW29,IF(A30&lt;'Données projet'!$A$166,$DL$205^A30,IF(A30='Données projet'!$A$166,'Données projet'!$B$166,DO29+DN30-DW29)))</f>
        <v>179</v>
      </c>
      <c r="DP30" s="17">
        <f>DO30*VLOOKUP('Données projet'!$B$14,Paramètres!$A$1:$I$89,3,0)*VLOOKUP('Données projet'!$B$14,Paramètres!$A$1:$I$89,5,0)</f>
        <v>107.042</v>
      </c>
      <c r="DQ30" s="13">
        <f t="shared" si="43"/>
        <v>28.632954900548082</v>
      </c>
      <c r="DR30" s="20">
        <f t="shared" si="16"/>
        <v>236.30054645178791</v>
      </c>
      <c r="DS30" s="59">
        <f t="shared" si="17"/>
        <v>468.81838932435141</v>
      </c>
      <c r="DT30" s="59">
        <f ca="1">AVERAGE(OFFSET($DS$3,0,0,'Données projet'!$E$14+1,1))-AVERAGE(OFFSET($H$3,0,0,'Données projet'!$E$14+1,1))</f>
        <v>350.88566459278962</v>
      </c>
      <c r="DU30" s="59">
        <f t="shared" si="44"/>
        <v>342.18151800581552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0.43927001238579888</v>
      </c>
      <c r="EC30" s="21">
        <f>EXP(-LN(2)/2)*EC29+(1-EXP(-LN(2)/2))/(LN(2)/2)*DW30*DZ30*VLOOKUP('Données projet'!$B$14,Paramètres!$A$1:$I$89,3,0)*0.475*44/12</f>
        <v>8.9768299313383995E-2</v>
      </c>
      <c r="ED30" s="22">
        <f t="shared" si="18"/>
        <v>0.52903831169918292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6.3</v>
      </c>
      <c r="N31" s="13">
        <f>IF('Données projet'!$A$36&gt;35,N30+M31-V30,IF(A31&lt;'Données projet'!$A$36,$K$205^A31,IF(A31='Données projet'!$A$36,'Données projet'!$B$36,N30+M31-V30)))</f>
        <v>92.399999999999977</v>
      </c>
      <c r="O31" s="13">
        <f>N31*VLOOKUP('Données projet'!$B$9,Paramètres!$A$1:$I$89,3,0)*VLOOKUP('Données projet'!$B$9,Paramètres!$A$1:$I$89,5,0)</f>
        <v>93.693599999999989</v>
      </c>
      <c r="P31" s="13">
        <f t="shared" si="33"/>
        <v>25.453936461054091</v>
      </c>
      <c r="Q31" s="20">
        <f t="shared" si="2"/>
        <v>207.51529266966918</v>
      </c>
      <c r="R31" s="59">
        <f t="shared" si="0"/>
        <v>442.2467620916533</v>
      </c>
      <c r="S31" s="59">
        <f ca="1">AVERAGE(OFFSET($R$3,0,0,'Données projet'!$E$9+1,1))-AVERAGE(OFFSET($H$3,0,0,'Données projet'!$E$9+1,1))</f>
        <v>465.40148250851843</v>
      </c>
      <c r="T31" s="59">
        <f t="shared" si="34"/>
        <v>290.8428650572356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99.459359999999975</v>
      </c>
      <c r="AK31" s="13">
        <f t="shared" si="35"/>
        <v>26.833156914576186</v>
      </c>
      <c r="AL31" s="20">
        <f t="shared" si="4"/>
        <v>219.95946695955351</v>
      </c>
      <c r="AM31" s="59">
        <f t="shared" si="5"/>
        <v>454.6909363815376</v>
      </c>
      <c r="AN31" s="59">
        <f ca="1">AVERAGE(OFFSET($AM$3,0,0,'Données projet'!$E$10+1,1))-AVERAGE(OFFSET($H$3,0,0,'Données projet'!$E$10+1,1))</f>
        <v>489.34829722967373</v>
      </c>
      <c r="AO31" s="59">
        <f t="shared" si="36"/>
        <v>304.94365539329362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12.2</v>
      </c>
      <c r="BD31" s="12">
        <f>IF('Données projet'!$A$88&gt;35,BD30+BC31-BL30,IF(A31&lt;'Données projet'!$A$88,$BA$205^A31,IF(A31='Données projet'!$A$88,'Données projet'!$B$88,BD30+BC31-BL30)))</f>
        <v>149.6</v>
      </c>
      <c r="BE31" s="13">
        <f>BD31*VLOOKUP('Données projet'!$B$11,Paramètres!$A$1:$I$89,3,0)*VLOOKUP('Données projet'!$B$11,Paramètres!$A$1:$I$89,5,0)</f>
        <v>130.69056000000003</v>
      </c>
      <c r="BF31" s="13">
        <f t="shared" si="37"/>
        <v>34.155878238422723</v>
      </c>
      <c r="BG31" s="20">
        <f t="shared" si="7"/>
        <v>287.10754659858628</v>
      </c>
      <c r="BH31" s="59">
        <f t="shared" si="8"/>
        <v>521.8390160205704</v>
      </c>
      <c r="BI31" s="59">
        <f ca="1">AVERAGE(OFFSET($BH$3,0,0,'Données projet'!$E$11+1,1))-AVERAGE(OFFSET($H$3,0,0,'Données projet'!$E$11+1,1))</f>
        <v>360.3011551173708</v>
      </c>
      <c r="BJ31" s="59">
        <f t="shared" si="38"/>
        <v>388.50312617855309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4.3903699063851853</v>
      </c>
      <c r="BR31" s="21">
        <f>EXP(-LN(2)/2)*BR30+(1-EXP(-LN(2)/2))/(LN(2)/2)*BL31*BO31*VLOOKUP('Données projet'!$B$11,Paramètres!$A$1:$I$89,3,0)*0.475*44/12</f>
        <v>0.55380312252763286</v>
      </c>
      <c r="BS31" s="22">
        <f t="shared" si="9"/>
        <v>4.9441730289128181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</v>
      </c>
      <c r="DO31" s="12">
        <f>IF('Données projet'!$A$166&gt;35,DO30+DN31-DW30,IF(A31&lt;'Données projet'!$A$166,$DL$205^A31,IF(A31='Données projet'!$A$166,'Données projet'!$B$166,DO30+DN31-DW30)))</f>
        <v>192</v>
      </c>
      <c r="DP31" s="17">
        <f>DO31*VLOOKUP('Données projet'!$B$14,Paramètres!$A$1:$I$89,3,0)*VLOOKUP('Données projet'!$B$14,Paramètres!$A$1:$I$89,5,0)</f>
        <v>114.81600000000002</v>
      </c>
      <c r="DQ31" s="13">
        <f t="shared" si="43"/>
        <v>30.462826482209831</v>
      </c>
      <c r="DR31" s="20">
        <f t="shared" si="16"/>
        <v>253.02728945651543</v>
      </c>
      <c r="DS31" s="59">
        <f t="shared" si="17"/>
        <v>487.75875887849952</v>
      </c>
      <c r="DT31" s="59">
        <f ca="1">AVERAGE(OFFSET($DS$3,0,0,'Données projet'!$E$14+1,1))-AVERAGE(OFFSET($H$3,0,0,'Données projet'!$E$14+1,1))</f>
        <v>350.88566459278962</v>
      </c>
      <c r="DU31" s="59">
        <f t="shared" si="44"/>
        <v>342.18151800581552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0.42725815079690321</v>
      </c>
      <c r="EC31" s="21">
        <f>EXP(-LN(2)/2)*EC30+(1-EXP(-LN(2)/2))/(LN(2)/2)*DW31*DZ31*VLOOKUP('Données projet'!$B$14,Paramètres!$A$1:$I$89,3,0)*0.475*44/12</f>
        <v>6.3475773180077522E-2</v>
      </c>
      <c r="ED31" s="22">
        <f t="shared" si="18"/>
        <v>0.49073392397698073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6.3</v>
      </c>
      <c r="N32" s="13">
        <f>IF('Données projet'!$A$36&gt;35,N31+M32-V31,IF(A32&lt;'Données projet'!$A$36,$K$205^A32,IF(A32='Données projet'!$A$36,'Données projet'!$B$36,N31+M32-V31)))</f>
        <v>98.699999999999974</v>
      </c>
      <c r="O32" s="13">
        <f>N32*VLOOKUP('Données projet'!$B$9,Paramètres!$A$1:$I$89,3,0)*VLOOKUP('Données projet'!$B$9,Paramètres!$A$1:$I$89,5,0)</f>
        <v>100.08179999999999</v>
      </c>
      <c r="P32" s="13">
        <f t="shared" si="33"/>
        <v>26.981484342875188</v>
      </c>
      <c r="Q32" s="20">
        <f t="shared" si="2"/>
        <v>221.30188689717423</v>
      </c>
      <c r="R32" s="59">
        <f t="shared" si="0"/>
        <v>458.22978421995003</v>
      </c>
      <c r="S32" s="59">
        <f ca="1">AVERAGE(OFFSET($R$3,0,0,'Données projet'!$E$9+1,1))-AVERAGE(OFFSET($H$3,0,0,'Données projet'!$E$9+1,1))</f>
        <v>465.40148250851843</v>
      </c>
      <c r="T32" s="59">
        <f t="shared" si="34"/>
        <v>290.8428650572356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106.24067999999997</v>
      </c>
      <c r="AK32" s="13">
        <f t="shared" si="35"/>
        <v>28.443474912743159</v>
      </c>
      <c r="AL32" s="20">
        <f t="shared" si="4"/>
        <v>234.57490313969427</v>
      </c>
      <c r="AM32" s="59">
        <f t="shared" si="5"/>
        <v>471.50280046247008</v>
      </c>
      <c r="AN32" s="59">
        <f ca="1">AVERAGE(OFFSET($AM$3,0,0,'Données projet'!$E$10+1,1))-AVERAGE(OFFSET($H$3,0,0,'Données projet'!$E$10+1,1))</f>
        <v>489.34829722967373</v>
      </c>
      <c r="AO32" s="59">
        <f t="shared" si="36"/>
        <v>304.94365539329362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12.2</v>
      </c>
      <c r="BD32" s="12">
        <f>IF('Données projet'!$A$88&gt;35,BD31+BC32-BL31,IF(A32&lt;'Données projet'!$A$88,$BA$205^A32,IF(A32='Données projet'!$A$88,'Données projet'!$B$88,BD31+BC32-BL31)))</f>
        <v>161.79999999999998</v>
      </c>
      <c r="BE32" s="13">
        <f>BD32*VLOOKUP('Données projet'!$B$11,Paramètres!$A$1:$I$89,3,0)*VLOOKUP('Données projet'!$B$11,Paramètres!$A$1:$I$89,5,0)</f>
        <v>141.34848000000002</v>
      </c>
      <c r="BF32" s="13">
        <f t="shared" si="37"/>
        <v>36.605750770707807</v>
      </c>
      <c r="BG32" s="20">
        <f t="shared" si="7"/>
        <v>309.93695192564945</v>
      </c>
      <c r="BH32" s="59">
        <f t="shared" si="8"/>
        <v>546.86484924842534</v>
      </c>
      <c r="BI32" s="59">
        <f ca="1">AVERAGE(OFFSET($BH$3,0,0,'Données projet'!$E$11+1,1))-AVERAGE(OFFSET($H$3,0,0,'Données projet'!$E$11+1,1))</f>
        <v>360.3011551173708</v>
      </c>
      <c r="BJ32" s="59">
        <f t="shared" si="38"/>
        <v>388.50312617855309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4.2703150104155636</v>
      </c>
      <c r="BR32" s="21">
        <f>EXP(-LN(2)/2)*BR31+(1-EXP(-LN(2)/2))/(LN(2)/2)*BL32*BO32*VLOOKUP('Données projet'!$B$11,Paramètres!$A$1:$I$89,3,0)*0.475*44/12</f>
        <v>0.39159794338157367</v>
      </c>
      <c r="BS32" s="22">
        <f t="shared" si="9"/>
        <v>4.6619129537971373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</v>
      </c>
      <c r="DO32" s="12">
        <f>IF('Données projet'!$A$166&gt;35,DO31+DN32-DW31,IF(A32&lt;'Données projet'!$A$166,$DL$205^A32,IF(A32='Données projet'!$A$166,'Données projet'!$B$166,DO31+DN32-DW31)))</f>
        <v>205</v>
      </c>
      <c r="DP32" s="17">
        <f>DO32*VLOOKUP('Données projet'!$B$14,Paramètres!$A$1:$I$89,3,0)*VLOOKUP('Données projet'!$B$14,Paramètres!$A$1:$I$89,5,0)</f>
        <v>122.59</v>
      </c>
      <c r="DQ32" s="13">
        <f t="shared" si="43"/>
        <v>32.278321478706822</v>
      </c>
      <c r="DR32" s="20">
        <f t="shared" si="16"/>
        <v>269.72899324208106</v>
      </c>
      <c r="DS32" s="59">
        <f t="shared" si="17"/>
        <v>506.65689056485689</v>
      </c>
      <c r="DT32" s="59">
        <f ca="1">AVERAGE(OFFSET($DS$3,0,0,'Données projet'!$E$14+1,1))-AVERAGE(OFFSET($H$3,0,0,'Données projet'!$E$14+1,1))</f>
        <v>350.88566459278962</v>
      </c>
      <c r="DU32" s="59">
        <f t="shared" si="44"/>
        <v>342.18151800581552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0.41557475419483225</v>
      </c>
      <c r="EC32" s="21">
        <f>EXP(-LN(2)/2)*EC31+(1-EXP(-LN(2)/2))/(LN(2)/2)*DW32*DZ32*VLOOKUP('Données projet'!$B$14,Paramètres!$A$1:$I$89,3,0)*0.475*44/12</f>
        <v>4.4884149656691998E-2</v>
      </c>
      <c r="ED32" s="22">
        <f t="shared" si="18"/>
        <v>0.46045890385152427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105</v>
      </c>
      <c r="L33" s="12">
        <f>VLOOKUP(A33,'Données projet'!$A$35:$I$55,9,0)</f>
        <v>6.3</v>
      </c>
      <c r="M33" s="12">
        <f t="array" ref="M33">INDEX(L:L,MIN(IF(ISNUMBER(L33:L229),ROW(L33:L229),"")))</f>
        <v>6.3</v>
      </c>
      <c r="N33" s="13">
        <f>IF('Données projet'!$A$36&gt;35,N32+M33-V32,IF(A33&lt;'Données projet'!$A$36,$K$205^A33,IF(A33='Données projet'!$A$36,'Données projet'!$B$36,N32+M33-V32)))</f>
        <v>104.99999999999997</v>
      </c>
      <c r="O33" s="13">
        <f>N33*VLOOKUP('Données projet'!$B$9,Paramètres!$A$1:$I$89,3,0)*VLOOKUP('Données projet'!$B$9,Paramètres!$A$1:$I$89,5,0)</f>
        <v>106.46999999999998</v>
      </c>
      <c r="P33" s="13">
        <f t="shared" si="33"/>
        <v>28.497716817718885</v>
      </c>
      <c r="Q33" s="20">
        <f t="shared" si="2"/>
        <v>235.06877345752699</v>
      </c>
      <c r="R33" s="59">
        <f t="shared" si="0"/>
        <v>474.17619839056897</v>
      </c>
      <c r="S33" s="59">
        <f ca="1">AVERAGE(OFFSET($R$3,0,0,'Données projet'!$E$9+1,1))-AVERAGE(OFFSET($H$3,0,0,'Données projet'!$E$9+1,1))</f>
        <v>465.40148250851843</v>
      </c>
      <c r="T33" s="59">
        <f t="shared" si="34"/>
        <v>290.8428650572356</v>
      </c>
      <c r="U33" s="15">
        <f>IF(ISNA(VLOOKUP(A33,'Données projet'!$A$35:$I$55,3,0)),0,VLOOKUP(A33,'Données projet'!$A$35:$I$55,3,0))</f>
        <v>1</v>
      </c>
      <c r="V33" s="15">
        <f>IF(ISNA(VLOOKUP(A33,'Données projet'!$A$35:$I$55,4,0)),0,VLOOKUP(A33,'Données projet'!$A$35:$I$55,4,0))</f>
        <v>29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0.1075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3.4807927795145521</v>
      </c>
      <c r="AB33" s="21">
        <f>EXP(-LN(2)/2)*AB32+(1-EXP(-LN(2)/2))/(LN(2)/2)*V33*Y33*VLOOKUP('Données projet'!$B$9,Paramètres!$A$1:$I$89,3,0)*0.475*44/12</f>
        <v>6.9363381127215114</v>
      </c>
      <c r="AC33" s="22">
        <f t="shared" si="3"/>
        <v>10.417130892236063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113.02199999999996</v>
      </c>
      <c r="AK33" s="13">
        <f t="shared" si="35"/>
        <v>30.041864379091852</v>
      </c>
      <c r="AL33" s="20">
        <f t="shared" si="4"/>
        <v>249.16956379358496</v>
      </c>
      <c r="AM33" s="59">
        <f t="shared" si="5"/>
        <v>488.27698872662694</v>
      </c>
      <c r="AN33" s="59">
        <f ca="1">AVERAGE(OFFSET($AM$3,0,0,'Données projet'!$E$10+1,1))-AVERAGE(OFFSET($H$3,0,0,'Données projet'!$E$10+1,1))</f>
        <v>489.34829722967373</v>
      </c>
      <c r="AO33" s="59">
        <f t="shared" si="36"/>
        <v>304.94365539329362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3.694995412100063</v>
      </c>
      <c r="AW33" s="21">
        <f>EXP(-LN(2)/2)*AW32+(1-EXP(-LN(2)/2))/(LN(2)/2)*AQ33*AT33*VLOOKUP('Données projet'!$B$10,Paramètres!$A$1:$I$89,3,0)*0.475*44/12</f>
        <v>7.3631896888889896</v>
      </c>
      <c r="AX33" s="21">
        <f t="shared" si="6"/>
        <v>11.058185100989053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174</v>
      </c>
      <c r="BB33" s="12">
        <f>VLOOKUP(A33,'Données projet'!$A$87:$I$107,9,0)</f>
        <v>12.2</v>
      </c>
      <c r="BC33" s="12">
        <f t="array" ref="BC33">INDEX(BB:BB,MIN(IF(ISNUMBER(BB33:BB229),ROW(BB33:BB229),"")))</f>
        <v>12.2</v>
      </c>
      <c r="BD33" s="12">
        <f>IF('Données projet'!$A$88&gt;35,BD32+BC33-BL32,IF(A33&lt;'Données projet'!$A$88,$BA$205^A33,IF(A33='Données projet'!$A$88,'Données projet'!$B$88,BD32+BC33-BL32)))</f>
        <v>173.99999999999997</v>
      </c>
      <c r="BE33" s="13">
        <f>BD33*VLOOKUP('Données projet'!$B$11,Paramètres!$A$1:$I$89,3,0)*VLOOKUP('Données projet'!$B$11,Paramètres!$A$1:$I$89,5,0)</f>
        <v>152.00640000000001</v>
      </c>
      <c r="BF33" s="13">
        <f t="shared" si="37"/>
        <v>39.03419401656145</v>
      </c>
      <c r="BG33" s="20">
        <f t="shared" si="7"/>
        <v>332.72903457884451</v>
      </c>
      <c r="BH33" s="59">
        <f t="shared" si="8"/>
        <v>571.83645951188646</v>
      </c>
      <c r="BI33" s="59">
        <f ca="1">AVERAGE(OFFSET($BH$3,0,0,'Données projet'!$E$11+1,1))-AVERAGE(OFFSET($H$3,0,0,'Données projet'!$E$11+1,1))</f>
        <v>360.3011551173708</v>
      </c>
      <c r="BJ33" s="59">
        <f t="shared" si="38"/>
        <v>388.50312617855309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0.13250000000000001</v>
      </c>
      <c r="BO33" s="16">
        <f>IF(ISNA(VLOOKUP(A33,'Données projet'!$A$87:$I$107,7,0)),0%,VLOOKUP(A33,'Données projet'!$A$87:$I$107,7,0))</f>
        <v>0.25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11.291111417393374</v>
      </c>
      <c r="BR33" s="21">
        <f>EXP(-LN(2)/2)*BR32+(1-EXP(-LN(2)/2))/(LN(2)/2)*BL33*BO33*VLOOKUP('Données projet'!$B$11,Paramètres!$A$1:$I$89,3,0)*0.475*44/12</f>
        <v>11.816613137653558</v>
      </c>
      <c r="BS33" s="22">
        <f t="shared" si="9"/>
        <v>23.107724555046932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218</v>
      </c>
      <c r="DM33" s="12">
        <f>VLOOKUP(A33,'Données projet'!$A$165:$I$185,9,0)</f>
        <v>13</v>
      </c>
      <c r="DN33" s="12">
        <f t="array" ref="DN33">INDEX(DM:DM,MIN(IF(ISNUMBER(DM33:DM229),ROW(DM33:DM229),"")))</f>
        <v>13</v>
      </c>
      <c r="DO33" s="12">
        <f>IF('Données projet'!$A$166&gt;35,DO32+DN33-DW32,IF(A33&lt;'Données projet'!$A$166,$DL$205^A33,IF(A33='Données projet'!$A$166,'Données projet'!$B$166,DO32+DN33-DW32)))</f>
        <v>218</v>
      </c>
      <c r="DP33" s="17">
        <f>DO33*VLOOKUP('Données projet'!$B$14,Paramètres!$A$1:$I$89,3,0)*VLOOKUP('Données projet'!$B$14,Paramètres!$A$1:$I$89,5,0)</f>
        <v>130.364</v>
      </c>
      <c r="DQ33" s="13">
        <f t="shared" si="43"/>
        <v>34.080455352788661</v>
      </c>
      <c r="DR33" s="20">
        <f t="shared" si="16"/>
        <v>286.40742640610694</v>
      </c>
      <c r="DS33" s="59">
        <f t="shared" si="17"/>
        <v>525.51485133914889</v>
      </c>
      <c r="DT33" s="59">
        <f ca="1">AVERAGE(OFFSET($DS$3,0,0,'Données projet'!$E$14+1,1))-AVERAGE(OFFSET($H$3,0,0,'Données projet'!$E$14+1,1))</f>
        <v>350.88566459278962</v>
      </c>
      <c r="DU33" s="59">
        <f t="shared" si="44"/>
        <v>342.18151800581552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12.84926355185025</v>
      </c>
      <c r="EC33" s="21">
        <f>EXP(-LN(2)/2)*EC32+(1-EXP(-LN(2)/2))/(LN(2)/2)*DW33*DZ33*VLOOKUP('Données projet'!$B$14,Paramètres!$A$1:$I$89,3,0)*0.475*44/12</f>
        <v>23.729359873818968</v>
      </c>
      <c r="ED33" s="22">
        <f t="shared" si="18"/>
        <v>36.578623425669221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8.1999999999999993</v>
      </c>
      <c r="N34" s="13">
        <f>IF('Données projet'!$A$36&gt;35,N33+M34-V33,IF(A34&lt;'Données projet'!$A$36,$K$205^A34,IF(A34='Données projet'!$A$36,'Données projet'!$B$36,N33+M34-V33)))</f>
        <v>84.199999999999974</v>
      </c>
      <c r="O34" s="13">
        <f>N34*VLOOKUP('Données projet'!$B$9,Paramètres!$A$1:$I$89,3,0)*VLOOKUP('Données projet'!$B$9,Paramètres!$A$1:$I$89,5,0)</f>
        <v>85.37879999999997</v>
      </c>
      <c r="P34" s="13">
        <f t="shared" si="33"/>
        <v>23.447306793896495</v>
      </c>
      <c r="Q34" s="20">
        <f t="shared" si="2"/>
        <v>189.53880266603633</v>
      </c>
      <c r="R34" s="59">
        <f t="shared" si="0"/>
        <v>429.58692587885389</v>
      </c>
      <c r="S34" s="59">
        <f ca="1">AVERAGE(OFFSET($R$3,0,0,'Données projet'!$E$9+1,1))-AVERAGE(OFFSET($H$3,0,0,'Données projet'!$E$9+1,1))</f>
        <v>465.40148250851843</v>
      </c>
      <c r="T34" s="59">
        <f t="shared" si="34"/>
        <v>290.8428650572356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3.38561031791179</v>
      </c>
      <c r="AB34" s="21">
        <f>EXP(-LN(2)/2)*AB33+(1-EXP(-LN(2)/2))/(LN(2)/2)*V34*Y34*VLOOKUP('Données projet'!$B$9,Paramètres!$A$1:$I$89,3,0)*0.475*44/12</f>
        <v>4.9047317161080803</v>
      </c>
      <c r="AC34" s="22">
        <f t="shared" si="3"/>
        <v>8.2903420340198704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90.632879999999972</v>
      </c>
      <c r="AK34" s="13">
        <f t="shared" si="35"/>
        <v>24.717798105117861</v>
      </c>
      <c r="AL34" s="20">
        <f t="shared" si="4"/>
        <v>200.90243103308021</v>
      </c>
      <c r="AM34" s="59">
        <f t="shared" si="5"/>
        <v>440.95055424589776</v>
      </c>
      <c r="AN34" s="59">
        <f ca="1">AVERAGE(OFFSET($AM$3,0,0,'Données projet'!$E$10+1,1))-AVERAGE(OFFSET($H$3,0,0,'Données projet'!$E$10+1,1))</f>
        <v>489.34829722967373</v>
      </c>
      <c r="AO34" s="59">
        <f t="shared" si="36"/>
        <v>304.94365539329362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3.593955568244823</v>
      </c>
      <c r="AW34" s="21">
        <f>EXP(-LN(2)/2)*AW33+(1-EXP(-LN(2)/2))/(LN(2)/2)*AQ34*AT34*VLOOKUP('Données projet'!$B$10,Paramètres!$A$1:$I$89,3,0)*0.475*44/12</f>
        <v>5.2065613601762699</v>
      </c>
      <c r="AX34" s="21">
        <f t="shared" si="6"/>
        <v>8.8005169284210929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10.199999999999999</v>
      </c>
      <c r="BD34" s="12">
        <f>IF('Données projet'!$A$88&gt;35,BD33+BC34-BL33,IF(A34&lt;'Données projet'!$A$88,$BA$205^A34,IF(A34='Données projet'!$A$88,'Données projet'!$B$88,BD33+BC34-BL33)))</f>
        <v>128.19999999999996</v>
      </c>
      <c r="BE34" s="13">
        <f>BD34*VLOOKUP('Données projet'!$B$11,Paramètres!$A$1:$I$89,3,0)*VLOOKUP('Données projet'!$B$11,Paramètres!$A$1:$I$89,5,0)</f>
        <v>111.99551999999998</v>
      </c>
      <c r="BF34" s="13">
        <f t="shared" si="37"/>
        <v>29.8006515679741</v>
      </c>
      <c r="BG34" s="20">
        <f t="shared" si="7"/>
        <v>246.9616654808882</v>
      </c>
      <c r="BH34" s="59">
        <f t="shared" si="8"/>
        <v>487.00978869370579</v>
      </c>
      <c r="BI34" s="59">
        <f ca="1">AVERAGE(OFFSET($BH$3,0,0,'Données projet'!$E$11+1,1))-AVERAGE(OFFSET($H$3,0,0,'Données projet'!$E$11+1,1))</f>
        <v>360.3011551173708</v>
      </c>
      <c r="BJ34" s="59">
        <f t="shared" si="38"/>
        <v>388.50312617855309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10.98235538191101</v>
      </c>
      <c r="BR34" s="21">
        <f>EXP(-LN(2)/2)*BR33+(1-EXP(-LN(2)/2))/(LN(2)/2)*BL34*BO34*VLOOKUP('Données projet'!$B$11,Paramètres!$A$1:$I$89,3,0)*0.475*44/12</f>
        <v>8.3556072802928778</v>
      </c>
      <c r="BS34" s="22">
        <f t="shared" si="9"/>
        <v>19.337962662203886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13.7</v>
      </c>
      <c r="DO34" s="12">
        <f>IF('Données projet'!$A$166&gt;35,DO33+DN34-DW33,IF(A34&lt;'Données projet'!$A$166,$DL$205^A34,IF(A34='Données projet'!$A$166,'Données projet'!$B$166,DO33+DN34-DW33)))</f>
        <v>161.69999999999999</v>
      </c>
      <c r="DP34" s="17">
        <f>DO34*VLOOKUP('Données projet'!$B$14,Paramètres!$A$1:$I$89,3,0)*VLOOKUP('Données projet'!$B$14,Paramètres!$A$1:$I$89,5,0)</f>
        <v>96.696600000000004</v>
      </c>
      <c r="DQ34" s="13">
        <f t="shared" si="43"/>
        <v>26.173476069859898</v>
      </c>
      <c r="DR34" s="20">
        <f t="shared" si="16"/>
        <v>213.99871582167268</v>
      </c>
      <c r="DS34" s="59">
        <f t="shared" si="17"/>
        <v>454.04683903449023</v>
      </c>
      <c r="DT34" s="59">
        <f ca="1">AVERAGE(OFFSET($DS$3,0,0,'Données projet'!$E$14+1,1))-AVERAGE(OFFSET($H$3,0,0,'Données projet'!$E$14+1,1))</f>
        <v>350.88566459278962</v>
      </c>
      <c r="DU34" s="59">
        <f t="shared" si="44"/>
        <v>342.18151800581552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12.497899764311502</v>
      </c>
      <c r="EC34" s="21">
        <f>EXP(-LN(2)/2)*EC33+(1-EXP(-LN(2)/2))/(LN(2)/2)*DW34*DZ34*VLOOKUP('Données projet'!$B$14,Paramètres!$A$1:$I$89,3,0)*0.475*44/12</f>
        <v>16.779191279993352</v>
      </c>
      <c r="ED34" s="22">
        <f t="shared" si="18"/>
        <v>29.277091044304854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8.1999999999999993</v>
      </c>
      <c r="N35" s="13">
        <f>IF('Données projet'!$A$36&gt;35,N34+M35-V34,IF(A35&lt;'Données projet'!$A$36,$K$205^A35,IF(A35='Données projet'!$A$36,'Données projet'!$B$36,N34+M35-V34)))</f>
        <v>92.399999999999977</v>
      </c>
      <c r="O35" s="13">
        <f>N35*VLOOKUP('Données projet'!$B$9,Paramètres!$A$1:$I$89,3,0)*VLOOKUP('Données projet'!$B$9,Paramètres!$A$1:$I$89,5,0)</f>
        <v>93.693599999999989</v>
      </c>
      <c r="P35" s="13">
        <f t="shared" si="33"/>
        <v>25.453936461054091</v>
      </c>
      <c r="Q35" s="20">
        <f t="shared" ref="Q35:Q66" si="53">(O35+P35)*0.475*44/12</f>
        <v>207.51529266966918</v>
      </c>
      <c r="R35" s="59">
        <f t="shared" si="0"/>
        <v>448.48779515019453</v>
      </c>
      <c r="S35" s="59">
        <f ca="1">AVERAGE(OFFSET($R$3,0,0,'Données projet'!$E$9+1,1))-AVERAGE(OFFSET($H$3,0,0,'Données projet'!$E$9+1,1))</f>
        <v>465.40148250851843</v>
      </c>
      <c r="T35" s="59">
        <f t="shared" si="34"/>
        <v>290.8428650572356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3.2930306257269835</v>
      </c>
      <c r="AB35" s="21">
        <f>EXP(-LN(2)/2)*AB34+(1-EXP(-LN(2)/2))/(LN(2)/2)*V35*Y35*VLOOKUP('Données projet'!$B$9,Paramètres!$A$1:$I$89,3,0)*0.475*44/12</f>
        <v>3.4681690563607561</v>
      </c>
      <c r="AC35" s="22">
        <f t="shared" si="3"/>
        <v>6.7611996820877396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99.459359999999975</v>
      </c>
      <c r="AK35" s="13">
        <f t="shared" si="35"/>
        <v>26.833156914576186</v>
      </c>
      <c r="AL35" s="20">
        <f t="shared" si="4"/>
        <v>219.95946695955351</v>
      </c>
      <c r="AM35" s="59">
        <f t="shared" si="5"/>
        <v>460.93196944007883</v>
      </c>
      <c r="AN35" s="59">
        <f ca="1">AVERAGE(OFFSET($AM$3,0,0,'Données projet'!$E$10+1,1))-AVERAGE(OFFSET($H$3,0,0,'Données projet'!$E$10+1,1))</f>
        <v>489.34829722967373</v>
      </c>
      <c r="AO35" s="59">
        <f t="shared" si="36"/>
        <v>304.94365539329362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3.4956786642332589</v>
      </c>
      <c r="AW35" s="21">
        <f>EXP(-LN(2)/2)*AW34+(1-EXP(-LN(2)/2))/(LN(2)/2)*AQ35*AT35*VLOOKUP('Données projet'!$B$10,Paramètres!$A$1:$I$89,3,0)*0.475*44/12</f>
        <v>3.6815948444444953</v>
      </c>
      <c r="AX35" s="21">
        <f t="shared" si="6"/>
        <v>7.1772735086777537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10.199999999999999</v>
      </c>
      <c r="BD35" s="12">
        <f>IF('Données projet'!$A$88&gt;35,BD34+BC35-BL34,IF(A35&lt;'Données projet'!$A$88,$BA$205^A35,IF(A35='Données projet'!$A$88,'Données projet'!$B$88,BD34+BC35-BL34)))</f>
        <v>138.39999999999995</v>
      </c>
      <c r="BE35" s="13">
        <f>BD35*VLOOKUP('Données projet'!$B$11,Paramètres!$A$1:$I$89,3,0)*VLOOKUP('Données projet'!$B$11,Paramètres!$A$1:$I$89,5,0)</f>
        <v>120.90623999999997</v>
      </c>
      <c r="BF35" s="13">
        <f t="shared" si="37"/>
        <v>31.886272251257857</v>
      </c>
      <c r="BG35" s="20">
        <f t="shared" si="7"/>
        <v>266.11362550427401</v>
      </c>
      <c r="BH35" s="59">
        <f t="shared" si="8"/>
        <v>507.0861279847993</v>
      </c>
      <c r="BI35" s="59">
        <f ca="1">AVERAGE(OFFSET($BH$3,0,0,'Données projet'!$E$11+1,1))-AVERAGE(OFFSET($H$3,0,0,'Données projet'!$E$11+1,1))</f>
        <v>360.3011551173708</v>
      </c>
      <c r="BJ35" s="59">
        <f t="shared" si="38"/>
        <v>388.50312617855309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10.682042296455684</v>
      </c>
      <c r="BR35" s="21">
        <f>EXP(-LN(2)/2)*BR34+(1-EXP(-LN(2)/2))/(LN(2)/2)*BL35*BO35*VLOOKUP('Données projet'!$B$11,Paramètres!$A$1:$I$89,3,0)*0.475*44/12</f>
        <v>5.90830656882678</v>
      </c>
      <c r="BS35" s="22">
        <f t="shared" si="9"/>
        <v>16.590348865282465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13.7</v>
      </c>
      <c r="DO35" s="12">
        <f>IF('Données projet'!$A$166&gt;35,DO34+DN35-DW34,IF(A35&lt;'Données projet'!$A$166,$DL$205^A35,IF(A35='Données projet'!$A$166,'Données projet'!$B$166,DO34+DN35-DW34)))</f>
        <v>175.39999999999998</v>
      </c>
      <c r="DP35" s="17">
        <f>DO35*VLOOKUP('Données projet'!$B$14,Paramètres!$A$1:$I$89,3,0)*VLOOKUP('Données projet'!$B$14,Paramètres!$A$1:$I$89,5,0)</f>
        <v>104.8892</v>
      </c>
      <c r="DQ35" s="13">
        <f t="shared" si="43"/>
        <v>28.123526406473545</v>
      </c>
      <c r="DR35" s="20">
        <f t="shared" si="16"/>
        <v>231.66383182460808</v>
      </c>
      <c r="DS35" s="59">
        <f t="shared" si="17"/>
        <v>472.6363343051334</v>
      </c>
      <c r="DT35" s="59">
        <f ca="1">AVERAGE(OFFSET($DS$3,0,0,'Données projet'!$E$14+1,1))-AVERAGE(OFFSET($H$3,0,0,'Données projet'!$E$14+1,1))</f>
        <v>350.88566459278962</v>
      </c>
      <c r="DU35" s="59">
        <f t="shared" si="44"/>
        <v>342.18151800581552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12.15614403802042</v>
      </c>
      <c r="EC35" s="21">
        <f>EXP(-LN(2)/2)*EC34+(1-EXP(-LN(2)/2))/(LN(2)/2)*DW35*DZ35*VLOOKUP('Données projet'!$B$14,Paramètres!$A$1:$I$89,3,0)*0.475*44/12</f>
        <v>11.864679936909486</v>
      </c>
      <c r="ED35" s="22">
        <f t="shared" si="18"/>
        <v>24.020823974929904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8.1999999999999993</v>
      </c>
      <c r="N36" s="13">
        <f>IF('Données projet'!$A$36&gt;35,N35+M36-V35,IF(A36&lt;'Données projet'!$A$36,$K$205^A36,IF(A36='Données projet'!$A$36,'Données projet'!$B$36,N35+M36-V35)))</f>
        <v>100.59999999999998</v>
      </c>
      <c r="O36" s="13">
        <f>N36*VLOOKUP('Données projet'!$B$9,Paramètres!$A$1:$I$89,3,0)*VLOOKUP('Données projet'!$B$9,Paramètres!$A$1:$I$89,5,0)</f>
        <v>102.00839999999998</v>
      </c>
      <c r="P36" s="13">
        <f t="shared" si="33"/>
        <v>27.43991600691951</v>
      </c>
      <c r="Q36" s="20">
        <f t="shared" si="53"/>
        <v>225.45581704538475</v>
      </c>
      <c r="R36" s="59">
        <f t="shared" si="0"/>
        <v>467.33666287992548</v>
      </c>
      <c r="S36" s="59">
        <f ca="1">AVERAGE(OFFSET($R$3,0,0,'Données projet'!$E$9+1,1))-AVERAGE(OFFSET($H$3,0,0,'Données projet'!$E$9+1,1))</f>
        <v>465.40148250851843</v>
      </c>
      <c r="T36" s="59">
        <f t="shared" si="34"/>
        <v>290.8428650572356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3.2029825300935246</v>
      </c>
      <c r="AB36" s="21">
        <f>EXP(-LN(2)/2)*AB35+(1-EXP(-LN(2)/2))/(LN(2)/2)*V36*Y36*VLOOKUP('Données projet'!$B$9,Paramètres!$A$1:$I$89,3,0)*0.475*44/12</f>
        <v>2.4523658580540402</v>
      </c>
      <c r="AC36" s="22">
        <f t="shared" si="3"/>
        <v>5.6553483881475648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108.28583999999998</v>
      </c>
      <c r="AK36" s="13">
        <f t="shared" si="35"/>
        <v>28.926746676807358</v>
      </c>
      <c r="AL36" s="20">
        <f t="shared" si="4"/>
        <v>238.97858846210613</v>
      </c>
      <c r="AM36" s="59">
        <f t="shared" si="5"/>
        <v>480.8594342966469</v>
      </c>
      <c r="AN36" s="59">
        <f ca="1">AVERAGE(OFFSET($AM$3,0,0,'Données projet'!$E$10+1,1))-AVERAGE(OFFSET($H$3,0,0,'Données projet'!$E$10+1,1))</f>
        <v>489.34829722967373</v>
      </c>
      <c r="AO36" s="59">
        <f t="shared" si="36"/>
        <v>304.94365539329362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3.400089147330049</v>
      </c>
      <c r="AW36" s="21">
        <f>EXP(-LN(2)/2)*AW35+(1-EXP(-LN(2)/2))/(LN(2)/2)*AQ36*AT36*VLOOKUP('Données projet'!$B$10,Paramètres!$A$1:$I$89,3,0)*0.475*44/12</f>
        <v>2.6032806800881354</v>
      </c>
      <c r="AX36" s="21">
        <f t="shared" si="6"/>
        <v>6.0033698274181848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10.199999999999999</v>
      </c>
      <c r="BD36" s="12">
        <f>IF('Données projet'!$A$88&gt;35,BD35+BC36-BL35,IF(A36&lt;'Données projet'!$A$88,$BA$205^A36,IF(A36='Données projet'!$A$88,'Données projet'!$B$88,BD35+BC36-BL35)))</f>
        <v>148.59999999999994</v>
      </c>
      <c r="BE36" s="13">
        <f>BD36*VLOOKUP('Données projet'!$B$11,Paramètres!$A$1:$I$89,3,0)*VLOOKUP('Données projet'!$B$11,Paramètres!$A$1:$I$89,5,0)</f>
        <v>129.81695999999997</v>
      </c>
      <c r="BF36" s="13">
        <f t="shared" si="37"/>
        <v>33.954060694815986</v>
      </c>
      <c r="BG36" s="20">
        <f t="shared" si="7"/>
        <v>285.23452771013774</v>
      </c>
      <c r="BH36" s="59">
        <f t="shared" si="8"/>
        <v>527.1153735446785</v>
      </c>
      <c r="BI36" s="59">
        <f ca="1">AVERAGE(OFFSET($BH$3,0,0,'Données projet'!$E$11+1,1))-AVERAGE(OFFSET($H$3,0,0,'Données projet'!$E$11+1,1))</f>
        <v>360.3011551173708</v>
      </c>
      <c r="BJ36" s="59">
        <f t="shared" si="38"/>
        <v>388.50312617855309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10.389941288114914</v>
      </c>
      <c r="BR36" s="21">
        <f>EXP(-LN(2)/2)*BR35+(1-EXP(-LN(2)/2))/(LN(2)/2)*BL36*BO36*VLOOKUP('Données projet'!$B$11,Paramètres!$A$1:$I$89,3,0)*0.475*44/12</f>
        <v>4.1778036401464398</v>
      </c>
      <c r="BS36" s="22">
        <f t="shared" si="9"/>
        <v>14.567744928261353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13.7</v>
      </c>
      <c r="DO36" s="12">
        <f>IF('Données projet'!$A$166&gt;35,DO35+DN36-DW35,IF(A36&lt;'Données projet'!$A$166,$DL$205^A36,IF(A36='Données projet'!$A$166,'Données projet'!$B$166,DO35+DN36-DW35)))</f>
        <v>189.09999999999997</v>
      </c>
      <c r="DP36" s="17">
        <f>DO36*VLOOKUP('Données projet'!$B$14,Paramètres!$A$1:$I$89,3,0)*VLOOKUP('Données projet'!$B$14,Paramètres!$A$1:$I$89,5,0)</f>
        <v>113.08179999999999</v>
      </c>
      <c r="DQ36" s="13">
        <f t="shared" si="43"/>
        <v>30.055908915657483</v>
      </c>
      <c r="DR36" s="20">
        <f t="shared" si="16"/>
        <v>249.29817636143676</v>
      </c>
      <c r="DS36" s="59">
        <f t="shared" si="17"/>
        <v>491.1790221959775</v>
      </c>
      <c r="DT36" s="59">
        <f ca="1">AVERAGE(OFFSET($DS$3,0,0,'Données projet'!$E$14+1,1))-AVERAGE(OFFSET($H$3,0,0,'Données projet'!$E$14+1,1))</f>
        <v>350.88566459278962</v>
      </c>
      <c r="DU36" s="59">
        <f t="shared" si="44"/>
        <v>342.18151800581552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11.82373364003692</v>
      </c>
      <c r="EC36" s="21">
        <f>EXP(-LN(2)/2)*EC35+(1-EXP(-LN(2)/2))/(LN(2)/2)*DW36*DZ36*VLOOKUP('Données projet'!$B$14,Paramètres!$A$1:$I$89,3,0)*0.475*44/12</f>
        <v>8.389595639996676</v>
      </c>
      <c r="ED36" s="22">
        <f t="shared" si="18"/>
        <v>20.213329280033598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8.1999999999999993</v>
      </c>
      <c r="N37" s="13">
        <f>IF('Données projet'!$A$36&gt;35,N36+M37-V36,IF(A37&lt;'Données projet'!$A$36,$K$205^A37,IF(A37='Données projet'!$A$36,'Données projet'!$B$36,N36+M37-V36)))</f>
        <v>108.79999999999998</v>
      </c>
      <c r="O37" s="13">
        <f>N37*VLOOKUP('Données projet'!$B$9,Paramètres!$A$1:$I$89,3,0)*VLOOKUP('Données projet'!$B$9,Paramètres!$A$1:$I$89,5,0)</f>
        <v>110.32319999999999</v>
      </c>
      <c r="P37" s="13">
        <f t="shared" si="33"/>
        <v>29.407120006092025</v>
      </c>
      <c r="Q37" s="20">
        <f t="shared" si="53"/>
        <v>243.36364067727686</v>
      </c>
      <c r="R37" s="59">
        <f t="shared" si="0"/>
        <v>486.13707213939244</v>
      </c>
      <c r="S37" s="59">
        <f ca="1">AVERAGE(OFFSET($R$3,0,0,'Données projet'!$E$9+1,1))-AVERAGE(OFFSET($H$3,0,0,'Données projet'!$E$9+1,1))</f>
        <v>465.40148250851843</v>
      </c>
      <c r="T37" s="59">
        <f t="shared" si="34"/>
        <v>290.8428650572356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3.1153968043705866</v>
      </c>
      <c r="AB37" s="21">
        <f>EXP(-LN(2)/2)*AB36+(1-EXP(-LN(2)/2))/(LN(2)/2)*V37*Y37*VLOOKUP('Données projet'!$B$9,Paramètres!$A$1:$I$89,3,0)*0.475*44/12</f>
        <v>1.7340845281803781</v>
      </c>
      <c r="AC37" s="22">
        <f t="shared" si="3"/>
        <v>4.8494813325509645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117.11231999999998</v>
      </c>
      <c r="AK37" s="13">
        <f t="shared" si="35"/>
        <v>31.000543540154752</v>
      </c>
      <c r="AL37" s="20">
        <f t="shared" si="4"/>
        <v>257.96323733243617</v>
      </c>
      <c r="AM37" s="59">
        <f t="shared" si="5"/>
        <v>500.73666879455175</v>
      </c>
      <c r="AN37" s="59">
        <f ca="1">AVERAGE(OFFSET($AM$3,0,0,'Données projet'!$E$10+1,1))-AVERAGE(OFFSET($H$3,0,0,'Données projet'!$E$10+1,1))</f>
        <v>489.34829722967373</v>
      </c>
      <c r="AO37" s="59">
        <f t="shared" si="36"/>
        <v>304.94365539329362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3.3071135307933917</v>
      </c>
      <c r="AW37" s="21">
        <f>EXP(-LN(2)/2)*AW36+(1-EXP(-LN(2)/2))/(LN(2)/2)*AQ37*AT37*VLOOKUP('Données projet'!$B$10,Paramètres!$A$1:$I$89,3,0)*0.475*44/12</f>
        <v>1.8407974222222478</v>
      </c>
      <c r="AX37" s="21">
        <f t="shared" si="6"/>
        <v>5.1479109530156393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10.199999999999999</v>
      </c>
      <c r="BD37" s="12">
        <f>IF('Données projet'!$A$88&gt;35,BD36+BC37-BL36,IF(A37&lt;'Données projet'!$A$88,$BA$205^A37,IF(A37='Données projet'!$A$88,'Données projet'!$B$88,BD36+BC37-BL36)))</f>
        <v>158.79999999999993</v>
      </c>
      <c r="BE37" s="13">
        <f>BD37*VLOOKUP('Données projet'!$B$11,Paramètres!$A$1:$I$89,3,0)*VLOOKUP('Données projet'!$B$11,Paramètres!$A$1:$I$89,5,0)</f>
        <v>138.72767999999996</v>
      </c>
      <c r="BF37" s="13">
        <f t="shared" si="37"/>
        <v>36.005380160492741</v>
      </c>
      <c r="BG37" s="20">
        <f t="shared" si="7"/>
        <v>304.32674644619146</v>
      </c>
      <c r="BH37" s="59">
        <f t="shared" si="8"/>
        <v>547.10017790830705</v>
      </c>
      <c r="BI37" s="59">
        <f ca="1">AVERAGE(OFFSET($BH$3,0,0,'Données projet'!$E$11+1,1))-AVERAGE(OFFSET($H$3,0,0,'Données projet'!$E$11+1,1))</f>
        <v>360.3011551173708</v>
      </c>
      <c r="BJ37" s="59">
        <f t="shared" si="38"/>
        <v>388.50312617855309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10.105827797208146</v>
      </c>
      <c r="BR37" s="21">
        <f>EXP(-LN(2)/2)*BR36+(1-EXP(-LN(2)/2))/(LN(2)/2)*BL37*BO37*VLOOKUP('Données projet'!$B$11,Paramètres!$A$1:$I$89,3,0)*0.475*44/12</f>
        <v>2.9541532844133904</v>
      </c>
      <c r="BS37" s="22">
        <f t="shared" si="9"/>
        <v>13.059981081621537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13.7</v>
      </c>
      <c r="DO37" s="12">
        <f>IF('Données projet'!$A$166&gt;35,DO36+DN37-DW36,IF(A37&lt;'Données projet'!$A$166,$DL$205^A37,IF(A37='Données projet'!$A$166,'Données projet'!$B$166,DO36+DN37-DW36)))</f>
        <v>202.79999999999995</v>
      </c>
      <c r="DP37" s="17">
        <f>DO37*VLOOKUP('Données projet'!$B$14,Paramètres!$A$1:$I$89,3,0)*VLOOKUP('Données projet'!$B$14,Paramètres!$A$1:$I$89,5,0)</f>
        <v>121.27439999999999</v>
      </c>
      <c r="DQ37" s="13">
        <f t="shared" si="43"/>
        <v>31.972049173215385</v>
      </c>
      <c r="DR37" s="20">
        <f t="shared" si="16"/>
        <v>266.90423231001677</v>
      </c>
      <c r="DS37" s="59">
        <f t="shared" si="17"/>
        <v>509.67766377213235</v>
      </c>
      <c r="DT37" s="59">
        <f ca="1">AVERAGE(OFFSET($DS$3,0,0,'Données projet'!$E$14+1,1))-AVERAGE(OFFSET($H$3,0,0,'Données projet'!$E$14+1,1))</f>
        <v>350.88566459278962</v>
      </c>
      <c r="DU37" s="59">
        <f t="shared" si="44"/>
        <v>342.18151800581552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11.500413021866981</v>
      </c>
      <c r="EC37" s="21">
        <f>EXP(-LN(2)/2)*EC36+(1-EXP(-LN(2)/2))/(LN(2)/2)*DW37*DZ37*VLOOKUP('Données projet'!$B$14,Paramètres!$A$1:$I$89,3,0)*0.475*44/12</f>
        <v>5.9323399684547429</v>
      </c>
      <c r="ED37" s="22">
        <f t="shared" si="18"/>
        <v>17.432752990321724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8.1999999999999993</v>
      </c>
      <c r="N38" s="13">
        <f>IF('Données projet'!$A$36&gt;35,N37+M38-V37,IF(A38&lt;'Données projet'!$A$36,$K$205^A38,IF(A38='Données projet'!$A$36,'Données projet'!$B$36,N37+M38-V37)))</f>
        <v>116.99999999999999</v>
      </c>
      <c r="O38" s="13">
        <f>N38*VLOOKUP('Données projet'!$B$9,Paramètres!$A$1:$I$89,3,0)*VLOOKUP('Données projet'!$B$9,Paramètres!$A$1:$I$89,5,0)</f>
        <v>118.63800000000001</v>
      </c>
      <c r="P38" s="13">
        <f t="shared" si="33"/>
        <v>31.357124429643687</v>
      </c>
      <c r="Q38" s="20">
        <f t="shared" si="53"/>
        <v>261.24150838162944</v>
      </c>
      <c r="R38" s="59">
        <f t="shared" si="0"/>
        <v>504.89204110620392</v>
      </c>
      <c r="S38" s="59">
        <f ca="1">AVERAGE(OFFSET($R$3,0,0,'Données projet'!$E$9+1,1))-AVERAGE(OFFSET($H$3,0,0,'Données projet'!$E$9+1,1))</f>
        <v>465.40148250851843</v>
      </c>
      <c r="T38" s="59">
        <f t="shared" si="34"/>
        <v>290.8428650572356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3.0302061149234754</v>
      </c>
      <c r="AB38" s="21">
        <f>EXP(-LN(2)/2)*AB37+(1-EXP(-LN(2)/2))/(LN(2)/2)*V38*Y38*VLOOKUP('Données projet'!$B$9,Paramètres!$A$1:$I$89,3,0)*0.475*44/12</f>
        <v>1.2261829290270201</v>
      </c>
      <c r="AC38" s="22">
        <f t="shared" si="3"/>
        <v>4.2563890439504952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125.93879999999999</v>
      </c>
      <c r="AK38" s="13">
        <f t="shared" si="35"/>
        <v>33.056208869615254</v>
      </c>
      <c r="AL38" s="20">
        <f t="shared" si="4"/>
        <v>276.91630711457987</v>
      </c>
      <c r="AM38" s="59">
        <f t="shared" si="5"/>
        <v>520.56683983915434</v>
      </c>
      <c r="AN38" s="59">
        <f ca="1">AVERAGE(OFFSET($AM$3,0,0,'Données projet'!$E$10+1,1))-AVERAGE(OFFSET($H$3,0,0,'Données projet'!$E$10+1,1))</f>
        <v>489.34829722967373</v>
      </c>
      <c r="AO38" s="59">
        <f t="shared" si="36"/>
        <v>304.94365539329362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3.2166803373803043</v>
      </c>
      <c r="AW38" s="21">
        <f>EXP(-LN(2)/2)*AW37+(1-EXP(-LN(2)/2))/(LN(2)/2)*AQ38*AT38*VLOOKUP('Données projet'!$B$10,Paramètres!$A$1:$I$89,3,0)*0.475*44/12</f>
        <v>1.3016403400440679</v>
      </c>
      <c r="AX38" s="21">
        <f t="shared" si="6"/>
        <v>4.5183206774243718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10.199999999999999</v>
      </c>
      <c r="BD38" s="12">
        <f>IF('Données projet'!$A$88&gt;35,BD37+BC38-BL37,IF(A38&lt;'Données projet'!$A$88,$BA$205^A38,IF(A38='Données projet'!$A$88,'Données projet'!$B$88,BD37+BC38-BL37)))</f>
        <v>168.99999999999991</v>
      </c>
      <c r="BE38" s="13">
        <f>BD38*VLOOKUP('Données projet'!$B$11,Paramètres!$A$1:$I$89,3,0)*VLOOKUP('Données projet'!$B$11,Paramètres!$A$1:$I$89,5,0)</f>
        <v>147.63839999999993</v>
      </c>
      <c r="BF38" s="13">
        <f t="shared" si="37"/>
        <v>38.041408878951295</v>
      </c>
      <c r="BG38" s="20">
        <f t="shared" si="7"/>
        <v>323.39233379750675</v>
      </c>
      <c r="BH38" s="59">
        <f t="shared" si="8"/>
        <v>567.04286652208123</v>
      </c>
      <c r="BI38" s="59">
        <f ca="1">AVERAGE(OFFSET($BH$3,0,0,'Données projet'!$E$11+1,1))-AVERAGE(OFFSET($H$3,0,0,'Données projet'!$E$11+1,1))</f>
        <v>360.3011551173708</v>
      </c>
      <c r="BJ38" s="59">
        <f t="shared" si="38"/>
        <v>388.50312617855309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9.8294834046511035</v>
      </c>
      <c r="BR38" s="21">
        <f>EXP(-LN(2)/2)*BR37+(1-EXP(-LN(2)/2))/(LN(2)/2)*BL38*BO38*VLOOKUP('Données projet'!$B$11,Paramètres!$A$1:$I$89,3,0)*0.475*44/12</f>
        <v>2.0889018200732199</v>
      </c>
      <c r="BS38" s="22">
        <f t="shared" si="9"/>
        <v>11.918385224724323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13.7</v>
      </c>
      <c r="DO38" s="12">
        <f>IF('Données projet'!$A$166&gt;35,DO37+DN38-DW37,IF(A38&lt;'Données projet'!$A$166,$DL$205^A38,IF(A38='Données projet'!$A$166,'Données projet'!$B$166,DO37+DN38-DW37)))</f>
        <v>216.49999999999994</v>
      </c>
      <c r="DP38" s="17">
        <f>DO38*VLOOKUP('Données projet'!$B$14,Paramètres!$A$1:$I$89,3,0)*VLOOKUP('Données projet'!$B$14,Paramètres!$A$1:$I$89,5,0)</f>
        <v>129.46699999999998</v>
      </c>
      <c r="DQ38" s="13">
        <f t="shared" si="43"/>
        <v>33.873169248083329</v>
      </c>
      <c r="DR38" s="20">
        <f t="shared" si="16"/>
        <v>284.48412810707845</v>
      </c>
      <c r="DS38" s="59">
        <f t="shared" si="17"/>
        <v>528.13466083165292</v>
      </c>
      <c r="DT38" s="59">
        <f ca="1">AVERAGE(OFFSET($DS$3,0,0,'Données projet'!$E$14+1,1))-AVERAGE(OFFSET($H$3,0,0,'Données projet'!$E$14+1,1))</f>
        <v>350.88566459278962</v>
      </c>
      <c r="DU38" s="59">
        <f t="shared" si="44"/>
        <v>342.18151800581552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11.185933623003592</v>
      </c>
      <c r="EC38" s="21">
        <f>EXP(-LN(2)/2)*EC37+(1-EXP(-LN(2)/2))/(LN(2)/2)*DW38*DZ38*VLOOKUP('Données projet'!$B$14,Paramètres!$A$1:$I$89,3,0)*0.475*44/12</f>
        <v>4.194797819998338</v>
      </c>
      <c r="ED38" s="22">
        <f t="shared" si="18"/>
        <v>15.380731443001931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125.19999999999999</v>
      </c>
      <c r="O39" s="13">
        <f>N39*VLOOKUP('Données projet'!$B$9,Paramètres!$A$1:$I$89,3,0)*VLOOKUP('Données projet'!$B$9,Paramètres!$A$1:$I$89,5,0)</f>
        <v>126.9528</v>
      </c>
      <c r="P39" s="13">
        <f t="shared" si="33"/>
        <v>33.291271832047542</v>
      </c>
      <c r="Q39" s="20">
        <f t="shared" si="53"/>
        <v>279.09175844081614</v>
      </c>
      <c r="R39" s="59">
        <f t="shared" si="0"/>
        <v>523.6041766818505</v>
      </c>
      <c r="S39" s="59">
        <f ca="1">AVERAGE(OFFSET($R$3,0,0,'Données projet'!$E$9+1,1))-AVERAGE(OFFSET($H$3,0,0,'Données projet'!$E$9+1,1))</f>
        <v>465.40148250851843</v>
      </c>
      <c r="T39" s="59">
        <f t="shared" si="34"/>
        <v>290.8428650572356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2.9473449693592788</v>
      </c>
      <c r="AB39" s="21">
        <f>EXP(-LN(2)/2)*AB38+(1-EXP(-LN(2)/2))/(LN(2)/2)*V39*Y39*VLOOKUP('Données projet'!$B$9,Paramètres!$A$1:$I$89,3,0)*0.475*44/12</f>
        <v>0.86704226409018903</v>
      </c>
      <c r="AC39" s="22">
        <f t="shared" si="3"/>
        <v>3.8143872334494677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134.76527999999999</v>
      </c>
      <c r="AK39" s="13">
        <f t="shared" si="35"/>
        <v>35.095157965918347</v>
      </c>
      <c r="AL39" s="20">
        <f t="shared" si="4"/>
        <v>295.84026279064108</v>
      </c>
      <c r="AM39" s="59">
        <f t="shared" si="5"/>
        <v>540.3526810316755</v>
      </c>
      <c r="AN39" s="59">
        <f ca="1">AVERAGE(OFFSET($AM$3,0,0,'Données projet'!$E$10+1,1))-AVERAGE(OFFSET($H$3,0,0,'Données projet'!$E$10+1,1))</f>
        <v>489.34829722967373</v>
      </c>
      <c r="AO39" s="59">
        <f t="shared" si="36"/>
        <v>304.94365539329362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3.1287200443967729</v>
      </c>
      <c r="AW39" s="21">
        <f>EXP(-LN(2)/2)*AW38+(1-EXP(-LN(2)/2))/(LN(2)/2)*AQ39*AT39*VLOOKUP('Données projet'!$B$10,Paramètres!$A$1:$I$89,3,0)*0.475*44/12</f>
        <v>0.92039871111112415</v>
      </c>
      <c r="AX39" s="21">
        <f t="shared" si="6"/>
        <v>4.0491187555078971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10.199999999999999</v>
      </c>
      <c r="BD39" s="12">
        <f>IF('Données projet'!$A$88&gt;35,BD38+BC39-BL38,IF(A39&lt;'Données projet'!$A$88,$BA$205^A39,IF(A39='Données projet'!$A$88,'Données projet'!$B$88,BD38+BC39-BL38)))</f>
        <v>179.1999999999999</v>
      </c>
      <c r="BE39" s="13">
        <f>BD39*VLOOKUP('Données projet'!$B$11,Paramètres!$A$1:$I$89,3,0)*VLOOKUP('Données projet'!$B$11,Paramètres!$A$1:$I$89,5,0)</f>
        <v>156.54911999999993</v>
      </c>
      <c r="BF39" s="13">
        <f t="shared" si="37"/>
        <v>40.063174820761041</v>
      </c>
      <c r="BG39" s="20">
        <f t="shared" si="7"/>
        <v>342.43308014615872</v>
      </c>
      <c r="BH39" s="59">
        <f t="shared" si="8"/>
        <v>586.94549838719308</v>
      </c>
      <c r="BI39" s="59">
        <f ca="1">AVERAGE(OFFSET($BH$3,0,0,'Données projet'!$E$11+1,1))-AVERAGE(OFFSET($H$3,0,0,'Données projet'!$E$11+1,1))</f>
        <v>360.3011551173708</v>
      </c>
      <c r="BJ39" s="59">
        <f t="shared" si="38"/>
        <v>388.50312617855309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9.5606956640408516</v>
      </c>
      <c r="BR39" s="21">
        <f>EXP(-LN(2)/2)*BR38+(1-EXP(-LN(2)/2))/(LN(2)/2)*BL39*BO39*VLOOKUP('Données projet'!$B$11,Paramètres!$A$1:$I$89,3,0)*0.475*44/12</f>
        <v>1.4770766422066952</v>
      </c>
      <c r="BS39" s="22">
        <f t="shared" si="9"/>
        <v>11.037772306247547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13.7</v>
      </c>
      <c r="DO39" s="12">
        <f>IF('Données projet'!$A$166&gt;35,DO38+DN39-DW38,IF(A39&lt;'Données projet'!$A$166,$DL$205^A39,IF(A39='Données projet'!$A$166,'Données projet'!$B$166,DO38+DN39-DW38)))</f>
        <v>230.19999999999993</v>
      </c>
      <c r="DP39" s="17">
        <f>DO39*VLOOKUP('Données projet'!$B$14,Paramètres!$A$1:$I$89,3,0)*VLOOKUP('Données projet'!$B$14,Paramètres!$A$1:$I$89,5,0)</f>
        <v>137.65959999999995</v>
      </c>
      <c r="DQ39" s="13">
        <f t="shared" si="43"/>
        <v>35.760327802577585</v>
      </c>
      <c r="DR39" s="20">
        <f t="shared" si="16"/>
        <v>302.03970758948918</v>
      </c>
      <c r="DS39" s="59">
        <f t="shared" si="17"/>
        <v>546.55212583052366</v>
      </c>
      <c r="DT39" s="59">
        <f ca="1">AVERAGE(OFFSET($DS$3,0,0,'Données projet'!$E$14+1,1))-AVERAGE(OFFSET($H$3,0,0,'Données projet'!$E$14+1,1))</f>
        <v>350.88566459278962</v>
      </c>
      <c r="DU39" s="59">
        <f t="shared" si="44"/>
        <v>342.18151800581552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10.880053679839875</v>
      </c>
      <c r="EC39" s="21">
        <f>EXP(-LN(2)/2)*EC38+(1-EXP(-LN(2)/2))/(LN(2)/2)*DW39*DZ39*VLOOKUP('Données projet'!$B$14,Paramètres!$A$1:$I$89,3,0)*0.475*44/12</f>
        <v>2.9661699842273714</v>
      </c>
      <c r="ED39" s="22">
        <f t="shared" si="18"/>
        <v>13.846223664067246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133.39999999999998</v>
      </c>
      <c r="O40" s="13">
        <f>N40*VLOOKUP('Données projet'!$B$9,Paramètres!$A$1:$I$89,3,0)*VLOOKUP('Données projet'!$B$9,Paramètres!$A$1:$I$89,5,0)</f>
        <v>135.26759999999999</v>
      </c>
      <c r="P40" s="13">
        <f t="shared" si="33"/>
        <v>35.210718959789133</v>
      </c>
      <c r="Q40" s="20">
        <f t="shared" si="53"/>
        <v>296.91640552163273</v>
      </c>
      <c r="R40" s="59">
        <f t="shared" si="0"/>
        <v>542.2757574923038</v>
      </c>
      <c r="S40" s="59">
        <f ca="1">AVERAGE(OFFSET($R$3,0,0,'Données projet'!$E$9+1,1))-AVERAGE(OFFSET($H$3,0,0,'Données projet'!$E$9+1,1))</f>
        <v>465.40148250851843</v>
      </c>
      <c r="T40" s="59">
        <f t="shared" si="34"/>
        <v>290.8428650572356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2.8667496661780136</v>
      </c>
      <c r="AB40" s="21">
        <f>EXP(-LN(2)/2)*AB39+(1-EXP(-LN(2)/2))/(LN(2)/2)*V40*Y40*VLOOKUP('Données projet'!$B$9,Paramètres!$A$1:$I$89,3,0)*0.475*44/12</f>
        <v>0.61309146451351004</v>
      </c>
      <c r="AC40" s="22">
        <f t="shared" si="3"/>
        <v>3.4798411306915238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143.59175999999997</v>
      </c>
      <c r="AK40" s="13">
        <f t="shared" si="35"/>
        <v>37.118610253808193</v>
      </c>
      <c r="AL40" s="20">
        <f t="shared" si="4"/>
        <v>314.7372281920492</v>
      </c>
      <c r="AM40" s="59">
        <f t="shared" si="5"/>
        <v>560.09658016272033</v>
      </c>
      <c r="AN40" s="59">
        <f ca="1">AVERAGE(OFFSET($AM$3,0,0,'Données projet'!$E$10+1,1))-AVERAGE(OFFSET($H$3,0,0,'Données projet'!$E$10+1,1))</f>
        <v>489.34829722967373</v>
      </c>
      <c r="AO40" s="59">
        <f t="shared" si="36"/>
        <v>304.94365539329362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3.0431650302505067</v>
      </c>
      <c r="AW40" s="21">
        <f>EXP(-LN(2)/2)*AW39+(1-EXP(-LN(2)/2))/(LN(2)/2)*AQ40*AT40*VLOOKUP('Données projet'!$B$10,Paramètres!$A$1:$I$89,3,0)*0.475*44/12</f>
        <v>0.65082017002203407</v>
      </c>
      <c r="AX40" s="21">
        <f t="shared" si="6"/>
        <v>3.6939852002725408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10.199999999999999</v>
      </c>
      <c r="BD40" s="12">
        <f>IF('Données projet'!$A$88&gt;35,BD39+BC40-BL39,IF(A40&lt;'Données projet'!$A$88,$BA$205^A40,IF(A40='Données projet'!$A$88,'Données projet'!$B$88,BD39+BC40-BL39)))</f>
        <v>189.39999999999989</v>
      </c>
      <c r="BE40" s="13">
        <f>BD40*VLOOKUP('Données projet'!$B$11,Paramètres!$A$1:$I$89,3,0)*VLOOKUP('Données projet'!$B$11,Paramètres!$A$1:$I$89,5,0)</f>
        <v>165.45983999999993</v>
      </c>
      <c r="BF40" s="13">
        <f t="shared" si="37"/>
        <v>42.071582323311688</v>
      </c>
      <c r="BG40" s="20">
        <f t="shared" si="7"/>
        <v>361.45056054643442</v>
      </c>
      <c r="BH40" s="59">
        <f t="shared" si="8"/>
        <v>606.80991251710554</v>
      </c>
      <c r="BI40" s="59">
        <f ca="1">AVERAGE(OFFSET($BH$3,0,0,'Données projet'!$E$11+1,1))-AVERAGE(OFFSET($H$3,0,0,'Données projet'!$E$11+1,1))</f>
        <v>360.3011551173708</v>
      </c>
      <c r="BJ40" s="59">
        <f t="shared" si="38"/>
        <v>388.50312617855309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9.29925793833252</v>
      </c>
      <c r="BR40" s="21">
        <f>EXP(-LN(2)/2)*BR39+(1-EXP(-LN(2)/2))/(LN(2)/2)*BL40*BO40*VLOOKUP('Données projet'!$B$11,Paramètres!$A$1:$I$89,3,0)*0.475*44/12</f>
        <v>1.0444509100366099</v>
      </c>
      <c r="BS40" s="22">
        <f t="shared" si="9"/>
        <v>10.343708848369129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13.7</v>
      </c>
      <c r="DO40" s="12">
        <f>IF('Données projet'!$A$166&gt;35,DO39+DN40-DW39,IF(A40&lt;'Données projet'!$A$166,$DL$205^A40,IF(A40='Données projet'!$A$166,'Données projet'!$B$166,DO39+DN40-DW39)))</f>
        <v>243.89999999999992</v>
      </c>
      <c r="DP40" s="17">
        <f>DO40*VLOOKUP('Données projet'!$B$14,Paramètres!$A$1:$I$89,3,0)*VLOOKUP('Données projet'!$B$14,Paramètres!$A$1:$I$89,5,0)</f>
        <v>145.85219999999998</v>
      </c>
      <c r="DQ40" s="13">
        <f t="shared" si="43"/>
        <v>37.634450370795903</v>
      </c>
      <c r="DR40" s="20">
        <f t="shared" si="16"/>
        <v>319.57258272913612</v>
      </c>
      <c r="DS40" s="59">
        <f t="shared" si="17"/>
        <v>564.93193469980724</v>
      </c>
      <c r="DT40" s="59">
        <f ca="1">AVERAGE(OFFSET($DS$3,0,0,'Données projet'!$E$14+1,1))-AVERAGE(OFFSET($H$3,0,0,'Données projet'!$E$14+1,1))</f>
        <v>350.88566459278962</v>
      </c>
      <c r="DU40" s="59">
        <f t="shared" si="44"/>
        <v>342.18151800581552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10.582538039807497</v>
      </c>
      <c r="EC40" s="21">
        <f>EXP(-LN(2)/2)*EC39+(1-EXP(-LN(2)/2))/(LN(2)/2)*DW40*DZ40*VLOOKUP('Données projet'!$B$14,Paramètres!$A$1:$I$89,3,0)*0.475*44/12</f>
        <v>2.097398909999169</v>
      </c>
      <c r="ED40" s="22">
        <f t="shared" si="18"/>
        <v>12.679936949806667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141.59999999999997</v>
      </c>
      <c r="O41" s="13">
        <f>N41*VLOOKUP('Données projet'!$B$9,Paramètres!$A$1:$I$89,3,0)*VLOOKUP('Données projet'!$B$9,Paramètres!$A$1:$I$89,5,0)</f>
        <v>143.58239999999998</v>
      </c>
      <c r="P41" s="13">
        <f t="shared" si="33"/>
        <v>37.116472314400653</v>
      </c>
      <c r="Q41" s="20">
        <f t="shared" si="53"/>
        <v>314.71720261424775</v>
      </c>
      <c r="R41" s="59">
        <f t="shared" si="0"/>
        <v>560.90879590780651</v>
      </c>
      <c r="S41" s="59">
        <f ca="1">AVERAGE(OFFSET($R$3,0,0,'Données projet'!$E$9+1,1))-AVERAGE(OFFSET($H$3,0,0,'Données projet'!$E$9+1,1))</f>
        <v>465.40148250851843</v>
      </c>
      <c r="T41" s="59">
        <f t="shared" si="34"/>
        <v>290.8428650572356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2.7883582458005631</v>
      </c>
      <c r="AB41" s="21">
        <f>EXP(-LN(2)/2)*AB40+(1-EXP(-LN(2)/2))/(LN(2)/2)*V41*Y41*VLOOKUP('Données projet'!$B$9,Paramètres!$A$1:$I$89,3,0)*0.475*44/12</f>
        <v>0.43352113204509451</v>
      </c>
      <c r="AC41" s="22">
        <f t="shared" si="3"/>
        <v>3.2218793778456578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152.41823999999994</v>
      </c>
      <c r="AK41" s="13">
        <f t="shared" si="35"/>
        <v>39.127626772059259</v>
      </c>
      <c r="AL41" s="20">
        <f t="shared" si="4"/>
        <v>333.60905129466971</v>
      </c>
      <c r="AM41" s="59">
        <f t="shared" si="5"/>
        <v>579.80064458822847</v>
      </c>
      <c r="AN41" s="59">
        <f ca="1">AVERAGE(OFFSET($AM$3,0,0,'Données projet'!$E$10+1,1))-AVERAGE(OFFSET($H$3,0,0,'Données projet'!$E$10+1,1))</f>
        <v>489.34829722967373</v>
      </c>
      <c r="AO41" s="59">
        <f t="shared" si="36"/>
        <v>304.94365539329362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2.9599495224652128</v>
      </c>
      <c r="AW41" s="21">
        <f>EXP(-LN(2)/2)*AW40+(1-EXP(-LN(2)/2))/(LN(2)/2)*AQ41*AT41*VLOOKUP('Données projet'!$B$10,Paramètres!$A$1:$I$89,3,0)*0.475*44/12</f>
        <v>0.46019935555556213</v>
      </c>
      <c r="AX41" s="21">
        <f t="shared" si="6"/>
        <v>3.4201488780207749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10.199999999999999</v>
      </c>
      <c r="BD41" s="12">
        <f>IF('Données projet'!$A$88&gt;35,BD40+BC41-BL40,IF(A41&lt;'Données projet'!$A$88,$BA$205^A41,IF(A41='Données projet'!$A$88,'Données projet'!$B$88,BD40+BC41-BL40)))</f>
        <v>199.59999999999988</v>
      </c>
      <c r="BE41" s="13">
        <f>BD41*VLOOKUP('Données projet'!$B$11,Paramètres!$A$1:$I$89,3,0)*VLOOKUP('Données projet'!$B$11,Paramètres!$A$1:$I$89,5,0)</f>
        <v>174.3705599999999</v>
      </c>
      <c r="BF41" s="13">
        <f t="shared" si="37"/>
        <v>44.06743281787746</v>
      </c>
      <c r="BG41" s="20">
        <f t="shared" si="7"/>
        <v>380.44617082446968</v>
      </c>
      <c r="BH41" s="59">
        <f t="shared" si="8"/>
        <v>626.63776411802837</v>
      </c>
      <c r="BI41" s="59">
        <f ca="1">AVERAGE(OFFSET($BH$3,0,0,'Données projet'!$E$11+1,1))-AVERAGE(OFFSET($H$3,0,0,'Données projet'!$E$11+1,1))</f>
        <v>360.3011551173708</v>
      </c>
      <c r="BJ41" s="59">
        <f t="shared" si="38"/>
        <v>388.50312617855309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9.0449692409820965</v>
      </c>
      <c r="BR41" s="21">
        <f>EXP(-LN(2)/2)*BR40+(1-EXP(-LN(2)/2))/(LN(2)/2)*BL41*BO41*VLOOKUP('Données projet'!$B$11,Paramètres!$A$1:$I$89,3,0)*0.475*44/12</f>
        <v>0.73853832110334761</v>
      </c>
      <c r="BS41" s="22">
        <f t="shared" si="9"/>
        <v>9.7835075620854433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13.7</v>
      </c>
      <c r="DO41" s="12">
        <f>IF('Données projet'!$A$166&gt;35,DO40+DN41-DW40,IF(A41&lt;'Données projet'!$A$166,$DL$205^A41,IF(A41='Données projet'!$A$166,'Données projet'!$B$166,DO40+DN41-DW40)))</f>
        <v>257.59999999999991</v>
      </c>
      <c r="DP41" s="17">
        <f>DO41*VLOOKUP('Données projet'!$B$14,Paramètres!$A$1:$I$89,3,0)*VLOOKUP('Données projet'!$B$14,Paramètres!$A$1:$I$89,5,0)</f>
        <v>154.04479999999995</v>
      </c>
      <c r="DQ41" s="13">
        <f t="shared" si="43"/>
        <v>39.496352638742984</v>
      </c>
      <c r="DR41" s="20">
        <f t="shared" si="16"/>
        <v>337.08417417914399</v>
      </c>
      <c r="DS41" s="59">
        <f t="shared" si="17"/>
        <v>583.27576747270268</v>
      </c>
      <c r="DT41" s="59">
        <f ca="1">AVERAGE(OFFSET($DS$3,0,0,'Données projet'!$E$14+1,1))-AVERAGE(OFFSET($H$3,0,0,'Données projet'!$E$14+1,1))</f>
        <v>350.88566459278962</v>
      </c>
      <c r="DU41" s="59">
        <f t="shared" si="44"/>
        <v>342.18151800581552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10.293157980597472</v>
      </c>
      <c r="EC41" s="21">
        <f>EXP(-LN(2)/2)*EC40+(1-EXP(-LN(2)/2))/(LN(2)/2)*DW41*DZ41*VLOOKUP('Données projet'!$B$14,Paramètres!$A$1:$I$89,3,0)*0.475*44/12</f>
        <v>1.4830849921136857</v>
      </c>
      <c r="ED41" s="22">
        <f t="shared" si="18"/>
        <v>11.776242972711158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149.79999999999995</v>
      </c>
      <c r="O42" s="13">
        <f>N42*VLOOKUP('Données projet'!$B$9,Paramètres!$A$1:$I$89,3,0)*VLOOKUP('Données projet'!$B$9,Paramètres!$A$1:$I$89,5,0)</f>
        <v>151.89719999999997</v>
      </c>
      <c r="P42" s="13">
        <f t="shared" si="33"/>
        <v>39.009415240495969</v>
      </c>
      <c r="Q42" s="20">
        <f t="shared" si="53"/>
        <v>332.49568821053043</v>
      </c>
      <c r="R42" s="59">
        <f t="shared" si="0"/>
        <v>579.50508530063757</v>
      </c>
      <c r="S42" s="59">
        <f ca="1">AVERAGE(OFFSET($R$3,0,0,'Données projet'!$E$9+1,1))-AVERAGE(OFFSET($H$3,0,0,'Données projet'!$E$9+1,1))</f>
        <v>465.40148250851843</v>
      </c>
      <c r="T42" s="59">
        <f t="shared" si="34"/>
        <v>290.8428650572356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2.7121104429357596</v>
      </c>
      <c r="AB42" s="21">
        <f>EXP(-LN(2)/2)*AB41+(1-EXP(-LN(2)/2))/(LN(2)/2)*V42*Y42*VLOOKUP('Données projet'!$B$9,Paramètres!$A$1:$I$89,3,0)*0.475*44/12</f>
        <v>0.30654573225675502</v>
      </c>
      <c r="AC42" s="22">
        <f t="shared" si="3"/>
        <v>3.0186561751925147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161.24471999999994</v>
      </c>
      <c r="AK42" s="13">
        <f t="shared" si="35"/>
        <v>41.123138729275411</v>
      </c>
      <c r="AL42" s="20">
        <f t="shared" si="4"/>
        <v>352.45735395348788</v>
      </c>
      <c r="AM42" s="59">
        <f t="shared" si="5"/>
        <v>599.46675104359497</v>
      </c>
      <c r="AN42" s="59">
        <f ca="1">AVERAGE(OFFSET($AM$3,0,0,'Données projet'!$E$10+1,1))-AVERAGE(OFFSET($H$3,0,0,'Données projet'!$E$10+1,1))</f>
        <v>489.34829722967373</v>
      </c>
      <c r="AO42" s="59">
        <f t="shared" si="36"/>
        <v>304.94365539329362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2.8790095471164214</v>
      </c>
      <c r="AW42" s="21">
        <f>EXP(-LN(2)/2)*AW41+(1-EXP(-LN(2)/2))/(LN(2)/2)*AQ42*AT42*VLOOKUP('Données projet'!$B$10,Paramètres!$A$1:$I$89,3,0)*0.475*44/12</f>
        <v>0.32541008501101709</v>
      </c>
      <c r="AX42" s="21">
        <f t="shared" si="6"/>
        <v>3.2044196321274385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10.199999999999999</v>
      </c>
      <c r="BD42" s="12">
        <f>IF('Données projet'!$A$88&gt;35,BD41+BC42-BL41,IF(A42&lt;'Données projet'!$A$88,$BA$205^A42,IF(A42='Données projet'!$A$88,'Données projet'!$B$88,BD41+BC42-BL41)))</f>
        <v>209.79999999999987</v>
      </c>
      <c r="BE42" s="13">
        <f>BD42*VLOOKUP('Données projet'!$B$11,Paramètres!$A$1:$I$89,3,0)*VLOOKUP('Données projet'!$B$11,Paramètres!$A$1:$I$89,5,0)</f>
        <v>183.28127999999992</v>
      </c>
      <c r="BF42" s="13">
        <f t="shared" si="37"/>
        <v>46.05144119929907</v>
      </c>
      <c r="BG42" s="20">
        <f t="shared" si="7"/>
        <v>399.42115608877901</v>
      </c>
      <c r="BH42" s="59">
        <f t="shared" si="8"/>
        <v>646.43055317888616</v>
      </c>
      <c r="BI42" s="59">
        <f ca="1">AVERAGE(OFFSET($BH$3,0,0,'Données projet'!$E$11+1,1))-AVERAGE(OFFSET($H$3,0,0,'Données projet'!$E$11+1,1))</f>
        <v>360.3011551173708</v>
      </c>
      <c r="BJ42" s="59">
        <f t="shared" si="38"/>
        <v>388.50312617855309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8.7976340814331806</v>
      </c>
      <c r="BR42" s="21">
        <f>EXP(-LN(2)/2)*BR41+(1-EXP(-LN(2)/2))/(LN(2)/2)*BL42*BO42*VLOOKUP('Données projet'!$B$11,Paramètres!$A$1:$I$89,3,0)*0.475*44/12</f>
        <v>0.52222545501830497</v>
      </c>
      <c r="BS42" s="22">
        <f t="shared" si="9"/>
        <v>9.3198595364514851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13.7</v>
      </c>
      <c r="DO42" s="12">
        <f>IF('Données projet'!$A$166&gt;35,DO41+DN42-DW41,IF(A42&lt;'Données projet'!$A$166,$DL$205^A42,IF(A42='Données projet'!$A$166,'Données projet'!$B$166,DO41+DN42-DW41)))</f>
        <v>271.2999999999999</v>
      </c>
      <c r="DP42" s="17">
        <f>DO42*VLOOKUP('Données projet'!$B$14,Paramètres!$A$1:$I$89,3,0)*VLOOKUP('Données projet'!$B$14,Paramètres!$A$1:$I$89,5,0)</f>
        <v>162.23739999999995</v>
      </c>
      <c r="DQ42" s="13">
        <f t="shared" si="43"/>
        <v>41.346758630600348</v>
      </c>
      <c r="DR42" s="20">
        <f t="shared" si="16"/>
        <v>354.57574294829556</v>
      </c>
      <c r="DS42" s="59">
        <f t="shared" si="17"/>
        <v>601.58514003840264</v>
      </c>
      <c r="DT42" s="59">
        <f ca="1">AVERAGE(OFFSET($DS$3,0,0,'Données projet'!$E$14+1,1))-AVERAGE(OFFSET($H$3,0,0,'Données projet'!$E$14+1,1))</f>
        <v>350.88566459278962</v>
      </c>
      <c r="DU42" s="59">
        <f t="shared" si="44"/>
        <v>342.18151800581552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10.011691034324382</v>
      </c>
      <c r="EC42" s="21">
        <f>EXP(-LN(2)/2)*EC41+(1-EXP(-LN(2)/2))/(LN(2)/2)*DW42*DZ42*VLOOKUP('Données projet'!$B$14,Paramètres!$A$1:$I$89,3,0)*0.475*44/12</f>
        <v>1.0486994549995845</v>
      </c>
      <c r="ED42" s="22">
        <f t="shared" si="18"/>
        <v>11.060390489323966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158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157.99999999999994</v>
      </c>
      <c r="O43" s="13">
        <f>N43*VLOOKUP('Données projet'!$B$9,Paramètres!$A$1:$I$89,3,0)*VLOOKUP('Données projet'!$B$9,Paramètres!$A$1:$I$89,5,0)</f>
        <v>160.21199999999993</v>
      </c>
      <c r="P43" s="13">
        <f t="shared" si="33"/>
        <v>40.890328912852695</v>
      </c>
      <c r="Q43" s="20">
        <f t="shared" si="53"/>
        <v>350.25322285655164</v>
      </c>
      <c r="R43" s="59">
        <f t="shared" si="0"/>
        <v>598.06623667567249</v>
      </c>
      <c r="S43" s="59">
        <f ca="1">AVERAGE(OFFSET($R$3,0,0,'Données projet'!$E$9+1,1))-AVERAGE(OFFSET($H$3,0,0,'Données projet'!$E$9+1,1))</f>
        <v>465.40148250851843</v>
      </c>
      <c r="T43" s="59">
        <f t="shared" si="34"/>
        <v>290.8428650572356</v>
      </c>
      <c r="U43" s="15">
        <f>IF(ISNA(VLOOKUP(A43,'Données projet'!$A$35:$I$55,3,0)),0,VLOOKUP(A43,'Données projet'!$A$35:$I$55,3,0))</f>
        <v>2</v>
      </c>
      <c r="V43" s="15">
        <f>IF(ISNA(VLOOKUP(A43,'Données projet'!$A$35:$I$55,4,0)),0,VLOOKUP(A43,'Données projet'!$A$35:$I$55,4,0))</f>
        <v>42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2.6379476402499917</v>
      </c>
      <c r="AB43" s="21">
        <f>EXP(-LN(2)/2)*AB42+(1-EXP(-LN(2)/2))/(LN(2)/2)*V43*Y43*VLOOKUP('Données projet'!$B$9,Paramètres!$A$1:$I$89,3,0)*0.475*44/12</f>
        <v>0.21676056602254726</v>
      </c>
      <c r="AC43" s="22">
        <f t="shared" si="3"/>
        <v>2.8547082062725391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170.07119999999992</v>
      </c>
      <c r="AK43" s="13">
        <f t="shared" si="35"/>
        <v>43.105969628155904</v>
      </c>
      <c r="AL43" s="20">
        <f t="shared" si="4"/>
        <v>371.28357043570469</v>
      </c>
      <c r="AM43" s="59">
        <f t="shared" si="5"/>
        <v>619.09658425482553</v>
      </c>
      <c r="AN43" s="59">
        <f ca="1">AVERAGE(OFFSET($AM$3,0,0,'Données projet'!$E$10+1,1))-AVERAGE(OFFSET($H$3,0,0,'Données projet'!$E$10+1,1))</f>
        <v>489.34829722967373</v>
      </c>
      <c r="AO43" s="59">
        <f t="shared" si="36"/>
        <v>304.94365539329362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2.8002828796499908</v>
      </c>
      <c r="AW43" s="21">
        <f>EXP(-LN(2)/2)*AW42+(1-EXP(-LN(2)/2))/(LN(2)/2)*AQ43*AT43*VLOOKUP('Données projet'!$B$10,Paramètres!$A$1:$I$89,3,0)*0.475*44/12</f>
        <v>0.23009967777778112</v>
      </c>
      <c r="AX43" s="21">
        <f t="shared" si="6"/>
        <v>3.0303825574277719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220</v>
      </c>
      <c r="BB43" s="12">
        <f>VLOOKUP(A43,'Données projet'!$A$87:$I$107,9,0)</f>
        <v>10.199999999999999</v>
      </c>
      <c r="BC43" s="12">
        <f t="array" ref="BC43">INDEX(BB:BB,MIN(IF(ISNUMBER(BB43:BB239),ROW(BB43:BB239),"")))</f>
        <v>10.199999999999999</v>
      </c>
      <c r="BD43" s="12">
        <f>IF('Données projet'!$A$88&gt;35,BD42+BC43-BL42,IF(A43&lt;'Données projet'!$A$88,$BA$205^A43,IF(A43='Données projet'!$A$88,'Données projet'!$B$88,BD42+BC43-BL42)))</f>
        <v>219.99999999999986</v>
      </c>
      <c r="BE43" s="13">
        <f>BD43*VLOOKUP('Données projet'!$B$11,Paramètres!$A$1:$I$89,3,0)*VLOOKUP('Données projet'!$B$11,Paramètres!$A$1:$I$89,5,0)</f>
        <v>192.19199999999989</v>
      </c>
      <c r="BF43" s="13">
        <f t="shared" si="37"/>
        <v>48.024248921932397</v>
      </c>
      <c r="BG43" s="20">
        <f t="shared" si="7"/>
        <v>418.37663353903207</v>
      </c>
      <c r="BH43" s="59">
        <f t="shared" si="8"/>
        <v>666.18964735815291</v>
      </c>
      <c r="BI43" s="59">
        <f ca="1">AVERAGE(OFFSET($BH$3,0,0,'Données projet'!$E$11+1,1))-AVERAGE(OFFSET($H$3,0,0,'Données projet'!$E$11+1,1))</f>
        <v>360.3011551173708</v>
      </c>
      <c r="BJ43" s="59">
        <f t="shared" si="38"/>
        <v>388.50312617855309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8.5570623148289204</v>
      </c>
      <c r="BR43" s="21">
        <f>EXP(-LN(2)/2)*BR42+(1-EXP(-LN(2)/2))/(LN(2)/2)*BL43*BO43*VLOOKUP('Données projet'!$B$11,Paramètres!$A$1:$I$89,3,0)*0.475*44/12</f>
        <v>0.3692691605516738</v>
      </c>
      <c r="BS43" s="22">
        <f t="shared" si="9"/>
        <v>8.9263314753805947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285</v>
      </c>
      <c r="DM43" s="12">
        <f>VLOOKUP(A43,'Données projet'!$A$165:$I$185,9,0)</f>
        <v>13.7</v>
      </c>
      <c r="DN43" s="12">
        <f t="array" ref="DN43">INDEX(DM:DM,MIN(IF(ISNUMBER(DM43:DM239),ROW(DM43:DM239),"")))</f>
        <v>13.7</v>
      </c>
      <c r="DO43" s="12">
        <f>IF('Données projet'!$A$166&gt;35,DO42+DN43-DW42,IF(A43&lt;'Données projet'!$A$166,$DL$205^A43,IF(A43='Données projet'!$A$166,'Données projet'!$B$166,DO42+DN43-DW42)))</f>
        <v>284.99999999999989</v>
      </c>
      <c r="DP43" s="17">
        <f>DO43*VLOOKUP('Données projet'!$B$14,Paramètres!$A$1:$I$89,3,0)*VLOOKUP('Données projet'!$B$14,Paramètres!$A$1:$I$89,5,0)</f>
        <v>170.42999999999995</v>
      </c>
      <c r="DQ43" s="13">
        <f t="shared" si="43"/>
        <v>43.186315117079396</v>
      </c>
      <c r="DR43" s="20">
        <f t="shared" si="16"/>
        <v>372.04841549557983</v>
      </c>
      <c r="DS43" s="59">
        <f t="shared" si="17"/>
        <v>619.86142931470067</v>
      </c>
      <c r="DT43" s="59">
        <f ca="1">AVERAGE(OFFSET($DS$3,0,0,'Données projet'!$E$14+1,1))-AVERAGE(OFFSET($H$3,0,0,'Données projet'!$E$14+1,1))</f>
        <v>350.88566459278962</v>
      </c>
      <c r="DU43" s="59">
        <f t="shared" si="44"/>
        <v>342.18151800581552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9.737920816498832</v>
      </c>
      <c r="EC43" s="21">
        <f>EXP(-LN(2)/2)*EC42+(1-EXP(-LN(2)/2))/(LN(2)/2)*DW43*DZ43*VLOOKUP('Données projet'!$B$14,Paramètres!$A$1:$I$89,3,0)*0.475*44/12</f>
        <v>0.74154249605684286</v>
      </c>
      <c r="ED43" s="22">
        <f t="shared" si="18"/>
        <v>10.479463312555675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8.3000000000000007</v>
      </c>
      <c r="N44" s="13">
        <f>IF('Données projet'!$A$36&gt;35,N43+M44-V43,IF(A44&lt;'Données projet'!$A$36,$K$205^A44,IF(A44='Données projet'!$A$36,'Données projet'!$B$36,N43+M44-V43)))</f>
        <v>124.29999999999995</v>
      </c>
      <c r="O44" s="13">
        <f>N44*VLOOKUP('Données projet'!$B$9,Paramètres!$A$1:$I$89,3,0)*VLOOKUP('Données projet'!$B$9,Paramètres!$A$1:$I$89,5,0)</f>
        <v>126.04019999999996</v>
      </c>
      <c r="P44" s="13">
        <f t="shared" si="33"/>
        <v>33.079725051468074</v>
      </c>
      <c r="Q44" s="20">
        <f t="shared" si="53"/>
        <v>277.13386946464016</v>
      </c>
      <c r="R44" s="59">
        <f t="shared" si="0"/>
        <v>525.73655905914416</v>
      </c>
      <c r="S44" s="59">
        <f ca="1">AVERAGE(OFFSET($R$3,0,0,'Données projet'!$E$9+1,1))-AVERAGE(OFFSET($H$3,0,0,'Données projet'!$E$9+1,1))</f>
        <v>465.40148250851843</v>
      </c>
      <c r="T44" s="59">
        <f t="shared" si="34"/>
        <v>290.8428650572356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2.5658128233037183</v>
      </c>
      <c r="AB44" s="21">
        <f>EXP(-LN(2)/2)*AB43+(1-EXP(-LN(2)/2))/(LN(2)/2)*V44*Y44*VLOOKUP('Données projet'!$B$9,Paramètres!$A$1:$I$89,3,0)*0.475*44/12</f>
        <v>0.15327286612837751</v>
      </c>
      <c r="AC44" s="22">
        <f t="shared" si="3"/>
        <v>2.7190856894320956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133.79651999999996</v>
      </c>
      <c r="AK44" s="13">
        <f t="shared" si="35"/>
        <v>34.872148532122218</v>
      </c>
      <c r="AL44" s="20">
        <f t="shared" si="4"/>
        <v>293.76459769344609</v>
      </c>
      <c r="AM44" s="59">
        <f t="shared" si="5"/>
        <v>542.36728728795003</v>
      </c>
      <c r="AN44" s="59">
        <f ca="1">AVERAGE(OFFSET($AM$3,0,0,'Données projet'!$E$10+1,1))-AVERAGE(OFFSET($H$3,0,0,'Données projet'!$E$10+1,1))</f>
        <v>489.34829722967373</v>
      </c>
      <c r="AO44" s="59">
        <f t="shared" si="36"/>
        <v>304.94365539329362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2.7237089970454851</v>
      </c>
      <c r="AW44" s="21">
        <f>EXP(-LN(2)/2)*AW43+(1-EXP(-LN(2)/2))/(LN(2)/2)*AQ44*AT44*VLOOKUP('Données projet'!$B$10,Paramètres!$A$1:$I$89,3,0)*0.475*44/12</f>
        <v>0.16270504250550857</v>
      </c>
      <c r="AX44" s="21">
        <f t="shared" si="6"/>
        <v>2.8864140395509938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7.7</v>
      </c>
      <c r="BD44" s="12">
        <f>IF('Données projet'!$A$88&gt;35,BD43+BC44-BL43,IF(A44&lt;'Données projet'!$A$88,$BA$205^A44,IF(A44='Données projet'!$A$88,'Données projet'!$B$88,BD43+BC44-BL43)))</f>
        <v>171.69999999999985</v>
      </c>
      <c r="BE44" s="13">
        <f>BD44*VLOOKUP('Données projet'!$B$11,Paramètres!$A$1:$I$89,3,0)*VLOOKUP('Données projet'!$B$11,Paramètres!$A$1:$I$89,5,0)</f>
        <v>149.99711999999991</v>
      </c>
      <c r="BF44" s="13">
        <f t="shared" si="37"/>
        <v>38.577931129787821</v>
      </c>
      <c r="BG44" s="20">
        <f t="shared" si="7"/>
        <v>328.43488071771361</v>
      </c>
      <c r="BH44" s="59">
        <f t="shared" si="8"/>
        <v>577.03757031221755</v>
      </c>
      <c r="BI44" s="59">
        <f ca="1">AVERAGE(OFFSET($BH$3,0,0,'Données projet'!$E$11+1,1))-AVERAGE(OFFSET($H$3,0,0,'Données projet'!$E$11+1,1))</f>
        <v>360.3011551173708</v>
      </c>
      <c r="BJ44" s="59">
        <f t="shared" si="38"/>
        <v>388.50312617855309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8.3230689958335731</v>
      </c>
      <c r="BR44" s="21">
        <f>EXP(-LN(2)/2)*BR43+(1-EXP(-LN(2)/2))/(LN(2)/2)*BL44*BO44*VLOOKUP('Données projet'!$B$11,Paramètres!$A$1:$I$89,3,0)*0.475*44/12</f>
        <v>0.26111272750915249</v>
      </c>
      <c r="BS44" s="22">
        <f t="shared" si="9"/>
        <v>8.5841817233427253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12.8</v>
      </c>
      <c r="DO44" s="12">
        <f>IF('Données projet'!$A$166&gt;35,DO43+DN44-DW43,IF(A44&lt;'Données projet'!$A$166,$DL$205^A44,IF(A44='Données projet'!$A$166,'Données projet'!$B$166,DO43+DN44-DW43)))</f>
        <v>227.7999999999999</v>
      </c>
      <c r="DP44" s="17">
        <f>DO44*VLOOKUP('Données projet'!$B$14,Paramètres!$A$1:$I$89,3,0)*VLOOKUP('Données projet'!$B$14,Paramètres!$A$1:$I$89,5,0)</f>
        <v>136.22439999999995</v>
      </c>
      <c r="DQ44" s="13">
        <f t="shared" si="43"/>
        <v>35.430697151629076</v>
      </c>
      <c r="DR44" s="20">
        <f t="shared" si="16"/>
        <v>298.96596087242057</v>
      </c>
      <c r="DS44" s="59">
        <f t="shared" si="17"/>
        <v>547.56865046692451</v>
      </c>
      <c r="DT44" s="59">
        <f ca="1">AVERAGE(OFFSET($DS$3,0,0,'Données projet'!$E$14+1,1))-AVERAGE(OFFSET($H$3,0,0,'Données projet'!$E$14+1,1))</f>
        <v>350.88566459278962</v>
      </c>
      <c r="DU44" s="59">
        <f t="shared" si="44"/>
        <v>342.18151800581552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9.4716368596766713</v>
      </c>
      <c r="EC44" s="21">
        <f>EXP(-LN(2)/2)*EC43+(1-EXP(-LN(2)/2))/(LN(2)/2)*DW44*DZ44*VLOOKUP('Données projet'!$B$14,Paramètres!$A$1:$I$89,3,0)*0.475*44/12</f>
        <v>0.52434972749979225</v>
      </c>
      <c r="ED44" s="22">
        <f t="shared" si="18"/>
        <v>9.9959865871764642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8.3000000000000007</v>
      </c>
      <c r="N45" s="13">
        <f>IF('Données projet'!$A$36&gt;35,N44+M45-V44,IF(A45&lt;'Données projet'!$A$36,$K$205^A45,IF(A45='Données projet'!$A$36,'Données projet'!$B$36,N44+M45-V44)))</f>
        <v>132.59999999999997</v>
      </c>
      <c r="O45" s="13">
        <f>N45*VLOOKUP('Données projet'!$B$9,Paramètres!$A$1:$I$89,3,0)*VLOOKUP('Données projet'!$B$9,Paramètres!$A$1:$I$89,5,0)</f>
        <v>134.45639999999997</v>
      </c>
      <c r="P45" s="13">
        <f t="shared" si="33"/>
        <v>35.024073835162383</v>
      </c>
      <c r="Q45" s="20">
        <f t="shared" si="53"/>
        <v>295.17849192957436</v>
      </c>
      <c r="R45" s="59">
        <f t="shared" si="0"/>
        <v>544.55715819020907</v>
      </c>
      <c r="S45" s="59">
        <f ca="1">AVERAGE(OFFSET($R$3,0,0,'Données projet'!$E$9+1,1))-AVERAGE(OFFSET($H$3,0,0,'Données projet'!$E$9+1,1))</f>
        <v>465.40148250851843</v>
      </c>
      <c r="T45" s="59">
        <f t="shared" si="34"/>
        <v>290.8428650572356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2.4956505367202459</v>
      </c>
      <c r="AB45" s="21">
        <f>EXP(-LN(2)/2)*AB44+(1-EXP(-LN(2)/2))/(LN(2)/2)*V45*Y45*VLOOKUP('Données projet'!$B$9,Paramètres!$A$1:$I$89,3,0)*0.475*44/12</f>
        <v>0.10838028301127363</v>
      </c>
      <c r="AC45" s="22">
        <f t="shared" si="3"/>
        <v>2.6040308197315194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142.73063999999997</v>
      </c>
      <c r="AK45" s="13">
        <f t="shared" si="35"/>
        <v>36.921851771122689</v>
      </c>
      <c r="AL45" s="20">
        <f t="shared" si="4"/>
        <v>312.89475650137189</v>
      </c>
      <c r="AM45" s="59">
        <f t="shared" si="5"/>
        <v>562.27342276200659</v>
      </c>
      <c r="AN45" s="59">
        <f ca="1">AVERAGE(OFFSET($AM$3,0,0,'Données projet'!$E$10+1,1))-AVERAGE(OFFSET($H$3,0,0,'Données projet'!$E$10+1,1))</f>
        <v>489.34829722967373</v>
      </c>
      <c r="AO45" s="59">
        <f t="shared" si="36"/>
        <v>304.94365539329362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2.6492290312876454</v>
      </c>
      <c r="AW45" s="21">
        <f>EXP(-LN(2)/2)*AW44+(1-EXP(-LN(2)/2))/(LN(2)/2)*AQ45*AT45*VLOOKUP('Données projet'!$B$10,Paramètres!$A$1:$I$89,3,0)*0.475*44/12</f>
        <v>0.11504983888889057</v>
      </c>
      <c r="AX45" s="21">
        <f t="shared" si="6"/>
        <v>2.7642788701765362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7.7</v>
      </c>
      <c r="BD45" s="12">
        <f>IF('Données projet'!$A$88&gt;35,BD44+BC45-BL44,IF(A45&lt;'Données projet'!$A$88,$BA$205^A45,IF(A45='Données projet'!$A$88,'Données projet'!$B$88,BD44+BC45-BL44)))</f>
        <v>179.39999999999984</v>
      </c>
      <c r="BE45" s="13">
        <f>BD45*VLOOKUP('Données projet'!$B$11,Paramètres!$A$1:$I$89,3,0)*VLOOKUP('Données projet'!$B$11,Paramètres!$A$1:$I$89,5,0)</f>
        <v>156.72383999999988</v>
      </c>
      <c r="BF45" s="13">
        <f t="shared" si="37"/>
        <v>40.102680984620484</v>
      </c>
      <c r="BG45" s="20">
        <f t="shared" si="7"/>
        <v>342.80619071488053</v>
      </c>
      <c r="BH45" s="59">
        <f t="shared" si="8"/>
        <v>592.18485697551523</v>
      </c>
      <c r="BI45" s="59">
        <f ca="1">AVERAGE(OFFSET($BH$3,0,0,'Données projet'!$E$11+1,1))-AVERAGE(OFFSET($H$3,0,0,'Données projet'!$E$11+1,1))</f>
        <v>360.3011551173708</v>
      </c>
      <c r="BJ45" s="59">
        <f t="shared" si="38"/>
        <v>388.50312617855309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8.095474236451329</v>
      </c>
      <c r="BR45" s="21">
        <f>EXP(-LN(2)/2)*BR44+(1-EXP(-LN(2)/2))/(LN(2)/2)*BL45*BO45*VLOOKUP('Données projet'!$B$11,Paramètres!$A$1:$I$89,3,0)*0.475*44/12</f>
        <v>0.1846345802758369</v>
      </c>
      <c r="BS45" s="22">
        <f t="shared" si="9"/>
        <v>8.2801088167271661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12.8</v>
      </c>
      <c r="DO45" s="12">
        <f>IF('Données projet'!$A$166&gt;35,DO44+DN45-DW44,IF(A45&lt;'Données projet'!$A$166,$DL$205^A45,IF(A45='Données projet'!$A$166,'Données projet'!$B$166,DO44+DN45-DW44)))</f>
        <v>240.59999999999991</v>
      </c>
      <c r="DP45" s="17">
        <f>DO45*VLOOKUP('Données projet'!$B$14,Paramètres!$A$1:$I$89,3,0)*VLOOKUP('Données projet'!$B$14,Paramètres!$A$1:$I$89,5,0)</f>
        <v>143.87879999999996</v>
      </c>
      <c r="DQ45" s="13">
        <f t="shared" si="43"/>
        <v>37.184165858158067</v>
      </c>
      <c r="DR45" s="20">
        <f t="shared" si="16"/>
        <v>315.35133220295853</v>
      </c>
      <c r="DS45" s="59">
        <f t="shared" si="17"/>
        <v>564.72999846359323</v>
      </c>
      <c r="DT45" s="59">
        <f ca="1">AVERAGE(OFFSET($DS$3,0,0,'Données projet'!$E$14+1,1))-AVERAGE(OFFSET($H$3,0,0,'Données projet'!$E$14+1,1))</f>
        <v>350.88566459278962</v>
      </c>
      <c r="DU45" s="59">
        <f t="shared" si="44"/>
        <v>342.18151800581552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9.2126344516570775</v>
      </c>
      <c r="EC45" s="21">
        <f>EXP(-LN(2)/2)*EC44+(1-EXP(-LN(2)/2))/(LN(2)/2)*DW45*DZ45*VLOOKUP('Données projet'!$B$14,Paramètres!$A$1:$I$89,3,0)*0.475*44/12</f>
        <v>0.37077124802842143</v>
      </c>
      <c r="ED45" s="22">
        <f t="shared" si="18"/>
        <v>9.5834056996854997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8.3000000000000007</v>
      </c>
      <c r="N46" s="13">
        <f>IF('Données projet'!$A$36&gt;35,N45+M46-V45,IF(A46&lt;'Données projet'!$A$36,$K$205^A46,IF(A46='Données projet'!$A$36,'Données projet'!$B$36,N45+M46-V45)))</f>
        <v>140.89999999999998</v>
      </c>
      <c r="O46" s="13">
        <f>N46*VLOOKUP('Données projet'!$B$9,Paramètres!$A$1:$I$89,3,0)*VLOOKUP('Données projet'!$B$9,Paramètres!$A$1:$I$89,5,0)</f>
        <v>142.87260000000001</v>
      </c>
      <c r="P46" s="13">
        <f t="shared" si="33"/>
        <v>36.954297895468954</v>
      </c>
      <c r="Q46" s="20">
        <f t="shared" si="53"/>
        <v>313.19851383460843</v>
      </c>
      <c r="R46" s="59">
        <f t="shared" si="0"/>
        <v>563.33969530104048</v>
      </c>
      <c r="S46" s="59">
        <f ca="1">AVERAGE(OFFSET($R$3,0,0,'Données projet'!$E$9+1,1))-AVERAGE(OFFSET($H$3,0,0,'Données projet'!$E$9+1,1))</f>
        <v>465.40148250851843</v>
      </c>
      <c r="T46" s="59">
        <f t="shared" si="34"/>
        <v>290.8428650572356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2.427406841553073</v>
      </c>
      <c r="AB46" s="21">
        <f>EXP(-LN(2)/2)*AB45+(1-EXP(-LN(2)/2))/(LN(2)/2)*V46*Y46*VLOOKUP('Données projet'!$B$9,Paramètres!$A$1:$I$89,3,0)*0.475*44/12</f>
        <v>7.6636433064188755E-2</v>
      </c>
      <c r="AC46" s="22">
        <f t="shared" si="3"/>
        <v>2.5040432746172616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151.66475999999997</v>
      </c>
      <c r="AK46" s="13">
        <f t="shared" si="35"/>
        <v>38.956664939205524</v>
      </c>
      <c r="AL46" s="20">
        <f t="shared" si="4"/>
        <v>331.9989817691162</v>
      </c>
      <c r="AM46" s="59">
        <f t="shared" si="5"/>
        <v>582.14016323554824</v>
      </c>
      <c r="AN46" s="59">
        <f ca="1">AVERAGE(OFFSET($AM$3,0,0,'Données projet'!$E$10+1,1))-AVERAGE(OFFSET($H$3,0,0,'Données projet'!$E$10+1,1))</f>
        <v>489.34829722967373</v>
      </c>
      <c r="AO46" s="59">
        <f t="shared" si="36"/>
        <v>304.94365539329362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2.5767857241101848</v>
      </c>
      <c r="AW46" s="21">
        <f>EXP(-LN(2)/2)*AW45+(1-EXP(-LN(2)/2))/(LN(2)/2)*AQ46*AT46*VLOOKUP('Données projet'!$B$10,Paramètres!$A$1:$I$89,3,0)*0.475*44/12</f>
        <v>8.1352521252754301E-2</v>
      </c>
      <c r="AX46" s="21">
        <f t="shared" si="6"/>
        <v>2.658138245362939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7.7</v>
      </c>
      <c r="BD46" s="12">
        <f>IF('Données projet'!$A$88&gt;35,BD45+BC46-BL45,IF(A46&lt;'Données projet'!$A$88,$BA$205^A46,IF(A46='Données projet'!$A$88,'Données projet'!$B$88,BD45+BC46-BL45)))</f>
        <v>187.09999999999982</v>
      </c>
      <c r="BE46" s="13">
        <f>BD46*VLOOKUP('Données projet'!$B$11,Paramètres!$A$1:$I$89,3,0)*VLOOKUP('Données projet'!$B$11,Paramètres!$A$1:$I$89,5,0)</f>
        <v>163.45055999999985</v>
      </c>
      <c r="BF46" s="13">
        <f t="shared" si="37"/>
        <v>41.61982974216253</v>
      </c>
      <c r="BG46" s="20">
        <f t="shared" si="7"/>
        <v>357.16426213426615</v>
      </c>
      <c r="BH46" s="59">
        <f t="shared" si="8"/>
        <v>607.30544360069825</v>
      </c>
      <c r="BI46" s="59">
        <f ca="1">AVERAGE(OFFSET($BH$3,0,0,'Données projet'!$E$11+1,1))-AVERAGE(OFFSET($H$3,0,0,'Données projet'!$E$11+1,1))</f>
        <v>360.3011551173708</v>
      </c>
      <c r="BJ46" s="59">
        <f t="shared" si="38"/>
        <v>388.50312617855309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7.8741030677330794</v>
      </c>
      <c r="BR46" s="21">
        <f>EXP(-LN(2)/2)*BR45+(1-EXP(-LN(2)/2))/(LN(2)/2)*BL46*BO46*VLOOKUP('Données projet'!$B$11,Paramètres!$A$1:$I$89,3,0)*0.475*44/12</f>
        <v>0.13055636375457624</v>
      </c>
      <c r="BS46" s="22">
        <f t="shared" si="9"/>
        <v>8.0046594314876565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12.8</v>
      </c>
      <c r="DO46" s="12">
        <f>IF('Données projet'!$A$166&gt;35,DO45+DN46-DW45,IF(A46&lt;'Données projet'!$A$166,$DL$205^A46,IF(A46='Données projet'!$A$166,'Données projet'!$B$166,DO45+DN46-DW45)))</f>
        <v>253.39999999999992</v>
      </c>
      <c r="DP46" s="17">
        <f>DO46*VLOOKUP('Données projet'!$B$14,Paramètres!$A$1:$I$89,3,0)*VLOOKUP('Données projet'!$B$14,Paramètres!$A$1:$I$89,5,0)</f>
        <v>151.53319999999997</v>
      </c>
      <c r="DQ46" s="13">
        <f t="shared" si="43"/>
        <v>38.926804334954284</v>
      </c>
      <c r="DR46" s="20">
        <f t="shared" si="16"/>
        <v>331.71784088337864</v>
      </c>
      <c r="DS46" s="59">
        <f t="shared" si="17"/>
        <v>581.85902234981063</v>
      </c>
      <c r="DT46" s="59">
        <f ca="1">AVERAGE(OFFSET($DS$3,0,0,'Données projet'!$E$14+1,1))-AVERAGE(OFFSET($H$3,0,0,'Données projet'!$E$14+1,1))</f>
        <v>350.88566459278962</v>
      </c>
      <c r="DU46" s="59">
        <f t="shared" si="44"/>
        <v>342.18151800581552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8.9607144781051247</v>
      </c>
      <c r="EC46" s="21">
        <f>EXP(-LN(2)/2)*EC45+(1-EXP(-LN(2)/2))/(LN(2)/2)*DW46*DZ46*VLOOKUP('Données projet'!$B$14,Paramètres!$A$1:$I$89,3,0)*0.475*44/12</f>
        <v>0.26217486374989613</v>
      </c>
      <c r="ED46" s="22">
        <f t="shared" si="18"/>
        <v>9.2228893418550211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8.3000000000000007</v>
      </c>
      <c r="N47" s="13">
        <f>IF('Données projet'!$A$36&gt;35,N46+M47-V46,IF(A47&lt;'Données projet'!$A$36,$K$205^A47,IF(A47='Données projet'!$A$36,'Données projet'!$B$36,N46+M47-V46)))</f>
        <v>149.19999999999999</v>
      </c>
      <c r="O47" s="13">
        <f>N47*VLOOKUP('Données projet'!$B$9,Paramètres!$A$1:$I$89,3,0)*VLOOKUP('Données projet'!$B$9,Paramètres!$A$1:$I$89,5,0)</f>
        <v>151.28879999999998</v>
      </c>
      <c r="P47" s="13">
        <f t="shared" si="33"/>
        <v>38.871324053555178</v>
      </c>
      <c r="Q47" s="20">
        <f t="shared" si="53"/>
        <v>331.19554939327526</v>
      </c>
      <c r="R47" s="59">
        <f t="shared" si="0"/>
        <v>582.08601813141263</v>
      </c>
      <c r="S47" s="59">
        <f ca="1">AVERAGE(OFFSET($R$3,0,0,'Données projet'!$E$9+1,1))-AVERAGE(OFFSET($H$3,0,0,'Données projet'!$E$9+1,1))</f>
        <v>465.40148250851843</v>
      </c>
      <c r="T47" s="59">
        <f t="shared" si="34"/>
        <v>290.8428650572356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2.3610292738190264</v>
      </c>
      <c r="AB47" s="21">
        <f>EXP(-LN(2)/2)*AB46+(1-EXP(-LN(2)/2))/(LN(2)/2)*V47*Y47*VLOOKUP('Données projet'!$B$9,Paramètres!$A$1:$I$89,3,0)*0.475*44/12</f>
        <v>5.4190141505636814E-2</v>
      </c>
      <c r="AC47" s="22">
        <f t="shared" si="3"/>
        <v>2.4152194153246631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160.59887999999998</v>
      </c>
      <c r="AK47" s="13">
        <f t="shared" si="35"/>
        <v>40.97756507730324</v>
      </c>
      <c r="AL47" s="20">
        <f t="shared" si="4"/>
        <v>351.07897517630312</v>
      </c>
      <c r="AM47" s="59">
        <f t="shared" si="5"/>
        <v>601.96944391444049</v>
      </c>
      <c r="AN47" s="59">
        <f ca="1">AVERAGE(OFFSET($AM$3,0,0,'Données projet'!$E$10+1,1))-AVERAGE(OFFSET($H$3,0,0,'Données projet'!$E$10+1,1))</f>
        <v>489.34829722967373</v>
      </c>
      <c r="AO47" s="59">
        <f t="shared" si="36"/>
        <v>304.94365539329362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2.5063233829771199</v>
      </c>
      <c r="AW47" s="21">
        <f>EXP(-LN(2)/2)*AW46+(1-EXP(-LN(2)/2))/(LN(2)/2)*AQ47*AT47*VLOOKUP('Données projet'!$B$10,Paramètres!$A$1:$I$89,3,0)*0.475*44/12</f>
        <v>5.7524919444445294E-2</v>
      </c>
      <c r="AX47" s="21">
        <f t="shared" si="6"/>
        <v>2.5638483024215653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7.7</v>
      </c>
      <c r="BD47" s="12">
        <f>IF('Données projet'!$A$88&gt;35,BD46+BC47-BL46,IF(A47&lt;'Données projet'!$A$88,$BA$205^A47,IF(A47='Données projet'!$A$88,'Données projet'!$B$88,BD46+BC47-BL46)))</f>
        <v>194.79999999999981</v>
      </c>
      <c r="BE47" s="13">
        <f>BD47*VLOOKUP('Données projet'!$B$11,Paramètres!$A$1:$I$89,3,0)*VLOOKUP('Données projet'!$B$11,Paramètres!$A$1:$I$89,5,0)</f>
        <v>170.17727999999985</v>
      </c>
      <c r="BF47" s="13">
        <f t="shared" si="37"/>
        <v>43.129725999134628</v>
      </c>
      <c r="BG47" s="20">
        <f t="shared" si="7"/>
        <v>371.50970211515914</v>
      </c>
      <c r="BH47" s="59">
        <f t="shared" si="8"/>
        <v>622.40017085329657</v>
      </c>
      <c r="BI47" s="59">
        <f ca="1">AVERAGE(OFFSET($BH$3,0,0,'Données projet'!$E$11+1,1))-AVERAGE(OFFSET($H$3,0,0,'Données projet'!$E$11+1,1))</f>
        <v>360.3011551173708</v>
      </c>
      <c r="BJ47" s="59">
        <f t="shared" si="38"/>
        <v>388.50312617855309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7.6587853052648347</v>
      </c>
      <c r="BR47" s="21">
        <f>EXP(-LN(2)/2)*BR46+(1-EXP(-LN(2)/2))/(LN(2)/2)*BL47*BO47*VLOOKUP('Données projet'!$B$11,Paramètres!$A$1:$I$89,3,0)*0.475*44/12</f>
        <v>9.2317290137918451E-2</v>
      </c>
      <c r="BS47" s="22">
        <f t="shared" si="9"/>
        <v>7.7511025954027533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12.8</v>
      </c>
      <c r="DO47" s="12">
        <f>IF('Données projet'!$A$166&gt;35,DO46+DN47-DW46,IF(A47&lt;'Données projet'!$A$166,$DL$205^A47,IF(A47='Données projet'!$A$166,'Données projet'!$B$166,DO46+DN47-DW46)))</f>
        <v>266.19999999999993</v>
      </c>
      <c r="DP47" s="17">
        <f>DO47*VLOOKUP('Données projet'!$B$14,Paramètres!$A$1:$I$89,3,0)*VLOOKUP('Données projet'!$B$14,Paramètres!$A$1:$I$89,5,0)</f>
        <v>159.18759999999997</v>
      </c>
      <c r="DQ47" s="13">
        <f t="shared" si="43"/>
        <v>40.659222067351315</v>
      </c>
      <c r="DR47" s="20">
        <f t="shared" si="16"/>
        <v>348.06654843397018</v>
      </c>
      <c r="DS47" s="59">
        <f t="shared" si="17"/>
        <v>598.95701717210761</v>
      </c>
      <c r="DT47" s="59">
        <f ca="1">AVERAGE(OFFSET($DS$3,0,0,'Données projet'!$E$14+1,1))-AVERAGE(OFFSET($H$3,0,0,'Données projet'!$E$14+1,1))</f>
        <v>350.88566459278962</v>
      </c>
      <c r="DU47" s="59">
        <f t="shared" si="44"/>
        <v>342.18151800581552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8.7156832694778448</v>
      </c>
      <c r="EC47" s="21">
        <f>EXP(-LN(2)/2)*EC46+(1-EXP(-LN(2)/2))/(LN(2)/2)*DW47*DZ47*VLOOKUP('Données projet'!$B$14,Paramètres!$A$1:$I$89,3,0)*0.475*44/12</f>
        <v>0.18538562401421071</v>
      </c>
      <c r="ED47" s="22">
        <f t="shared" si="18"/>
        <v>8.9010688934920559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8.3000000000000007</v>
      </c>
      <c r="N48" s="13">
        <f>IF('Données projet'!$A$36&gt;35,N47+M48-V47,IF(A48&lt;'Données projet'!$A$36,$K$205^A48,IF(A48='Données projet'!$A$36,'Données projet'!$B$36,N47+M48-V47)))</f>
        <v>157.5</v>
      </c>
      <c r="O48" s="13">
        <f>N48*VLOOKUP('Données projet'!$B$9,Paramètres!$A$1:$I$89,3,0)*VLOOKUP('Données projet'!$B$9,Paramètres!$A$1:$I$89,5,0)</f>
        <v>159.70500000000001</v>
      </c>
      <c r="P48" s="13">
        <f t="shared" si="33"/>
        <v>40.775970188397643</v>
      </c>
      <c r="Q48" s="20">
        <f t="shared" si="53"/>
        <v>349.17102307812593</v>
      </c>
      <c r="R48" s="59">
        <f t="shared" si="0"/>
        <v>600.79778062896003</v>
      </c>
      <c r="S48" s="59">
        <f ca="1">AVERAGE(OFFSET($R$3,0,0,'Données projet'!$E$9+1,1))-AVERAGE(OFFSET($H$3,0,0,'Données projet'!$E$9+1,1))</f>
        <v>465.40148250851843</v>
      </c>
      <c r="T48" s="59">
        <f t="shared" si="34"/>
        <v>290.8428650572356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2.2964668041653118</v>
      </c>
      <c r="AB48" s="21">
        <f>EXP(-LN(2)/2)*AB47+(1-EXP(-LN(2)/2))/(LN(2)/2)*V48*Y48*VLOOKUP('Données projet'!$B$9,Paramètres!$A$1:$I$89,3,0)*0.475*44/12</f>
        <v>3.8318216532094378E-2</v>
      </c>
      <c r="AC48" s="22">
        <f t="shared" si="3"/>
        <v>2.3347850206974061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169.53300000000002</v>
      </c>
      <c r="AK48" s="13">
        <f t="shared" si="35"/>
        <v>42.985414381129679</v>
      </c>
      <c r="AL48" s="20">
        <f t="shared" si="4"/>
        <v>370.13623838046755</v>
      </c>
      <c r="AM48" s="59">
        <f t="shared" si="5"/>
        <v>621.7629959313017</v>
      </c>
      <c r="AN48" s="59">
        <f ca="1">AVERAGE(OFFSET($AM$3,0,0,'Données projet'!$E$10+1,1))-AVERAGE(OFFSET($H$3,0,0,'Données projet'!$E$10+1,1))</f>
        <v>489.34829722967373</v>
      </c>
      <c r="AO48" s="59">
        <f t="shared" si="36"/>
        <v>304.94365539329362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2.4377878382677922</v>
      </c>
      <c r="AW48" s="21">
        <f>EXP(-LN(2)/2)*AW47+(1-EXP(-LN(2)/2))/(LN(2)/2)*AQ48*AT48*VLOOKUP('Données projet'!$B$10,Paramètres!$A$1:$I$89,3,0)*0.475*44/12</f>
        <v>4.0676260626377157E-2</v>
      </c>
      <c r="AX48" s="21">
        <f t="shared" si="6"/>
        <v>2.4784640988941695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7.7</v>
      </c>
      <c r="BD48" s="12">
        <f>IF('Données projet'!$A$88&gt;35,BD47+BC48-BL47,IF(A48&lt;'Données projet'!$A$88,$BA$205^A48,IF(A48='Données projet'!$A$88,'Données projet'!$B$88,BD47+BC48-BL47)))</f>
        <v>202.4999999999998</v>
      </c>
      <c r="BE48" s="13">
        <f>BD48*VLOOKUP('Données projet'!$B$11,Paramètres!$A$1:$I$89,3,0)*VLOOKUP('Données projet'!$B$11,Paramètres!$A$1:$I$89,5,0)</f>
        <v>176.90399999999985</v>
      </c>
      <c r="BF48" s="13">
        <f t="shared" si="37"/>
        <v>44.632689233663115</v>
      </c>
      <c r="BG48" s="20">
        <f t="shared" si="7"/>
        <v>385.843067081963</v>
      </c>
      <c r="BH48" s="59">
        <f t="shared" si="8"/>
        <v>637.4698246327971</v>
      </c>
      <c r="BI48" s="59">
        <f ca="1">AVERAGE(OFFSET($BH$3,0,0,'Données projet'!$E$11+1,1))-AVERAGE(OFFSET($H$3,0,0,'Données projet'!$E$11+1,1))</f>
        <v>360.3011551173708</v>
      </c>
      <c r="BJ48" s="59">
        <f t="shared" si="38"/>
        <v>388.50312617855309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7.4493554183343527</v>
      </c>
      <c r="BR48" s="21">
        <f>EXP(-LN(2)/2)*BR47+(1-EXP(-LN(2)/2))/(LN(2)/2)*BL48*BO48*VLOOKUP('Données projet'!$B$11,Paramètres!$A$1:$I$89,3,0)*0.475*44/12</f>
        <v>6.5278181877288122E-2</v>
      </c>
      <c r="BS48" s="22">
        <f t="shared" si="9"/>
        <v>7.5146336002116412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12.8</v>
      </c>
      <c r="DO48" s="12">
        <f>IF('Données projet'!$A$166&gt;35,DO47+DN48-DW47,IF(A48&lt;'Données projet'!$A$166,$DL$205^A48,IF(A48='Données projet'!$A$166,'Données projet'!$B$166,DO47+DN48-DW47)))</f>
        <v>278.99999999999994</v>
      </c>
      <c r="DP48" s="17">
        <f>DO48*VLOOKUP('Données projet'!$B$14,Paramètres!$A$1:$I$89,3,0)*VLOOKUP('Données projet'!$B$14,Paramètres!$A$1:$I$89,5,0)</f>
        <v>166.84199999999998</v>
      </c>
      <c r="DQ48" s="13">
        <f t="shared" si="43"/>
        <v>42.381966615760334</v>
      </c>
      <c r="DR48" s="20">
        <f t="shared" si="16"/>
        <v>364.39840852244924</v>
      </c>
      <c r="DS48" s="59">
        <f t="shared" si="17"/>
        <v>616.02516607328334</v>
      </c>
      <c r="DT48" s="59">
        <f ca="1">AVERAGE(OFFSET($DS$3,0,0,'Données projet'!$E$14+1,1))-AVERAGE(OFFSET($H$3,0,0,'Données projet'!$E$14+1,1))</f>
        <v>350.88566459278962</v>
      </c>
      <c r="DU48" s="59">
        <f t="shared" si="44"/>
        <v>342.18151800581552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8.4773524521361097</v>
      </c>
      <c r="EC48" s="21">
        <f>EXP(-LN(2)/2)*EC47+(1-EXP(-LN(2)/2))/(LN(2)/2)*DW48*DZ48*VLOOKUP('Données projet'!$B$14,Paramètres!$A$1:$I$89,3,0)*0.475*44/12</f>
        <v>0.13108743187494806</v>
      </c>
      <c r="ED48" s="22">
        <f t="shared" si="18"/>
        <v>8.608439884011057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8.3000000000000007</v>
      </c>
      <c r="N49" s="13">
        <f>IF('Données projet'!$A$36&gt;35,N48+M49-V48,IF(A49&lt;'Données projet'!$A$36,$K$205^A49,IF(A49='Données projet'!$A$36,'Données projet'!$B$36,N48+M49-V48)))</f>
        <v>165.8</v>
      </c>
      <c r="O49" s="13">
        <f>N49*VLOOKUP('Données projet'!$B$9,Paramètres!$A$1:$I$89,3,0)*VLOOKUP('Données projet'!$B$9,Paramètres!$A$1:$I$89,5,0)</f>
        <v>168.12120000000002</v>
      </c>
      <c r="P49" s="13">
        <f t="shared" si="33"/>
        <v>42.668963108479424</v>
      </c>
      <c r="Q49" s="20">
        <f t="shared" si="53"/>
        <v>367.12620074726834</v>
      </c>
      <c r="R49" s="59">
        <f t="shared" si="0"/>
        <v>619.47647414599396</v>
      </c>
      <c r="S49" s="59">
        <f ca="1">AVERAGE(OFFSET($R$3,0,0,'Données projet'!$E$9+1,1))-AVERAGE(OFFSET($H$3,0,0,'Données projet'!$E$9+1,1))</f>
        <v>465.40148250851843</v>
      </c>
      <c r="T49" s="59">
        <f t="shared" si="34"/>
        <v>290.8428650572356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2.2336697986394709</v>
      </c>
      <c r="AB49" s="21">
        <f>EXP(-LN(2)/2)*AB48+(1-EXP(-LN(2)/2))/(LN(2)/2)*V49*Y49*VLOOKUP('Données projet'!$B$9,Paramètres!$A$1:$I$89,3,0)*0.475*44/12</f>
        <v>2.7095070752818407E-2</v>
      </c>
      <c r="AC49" s="22">
        <f t="shared" si="3"/>
        <v>2.2607648693922893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178.46711999999999</v>
      </c>
      <c r="AK49" s="13">
        <f t="shared" si="35"/>
        <v>44.980979041254272</v>
      </c>
      <c r="AL49" s="20">
        <f t="shared" si="4"/>
        <v>389.17210583018453</v>
      </c>
      <c r="AM49" s="59">
        <f t="shared" si="5"/>
        <v>641.52237922891015</v>
      </c>
      <c r="AN49" s="59">
        <f ca="1">AVERAGE(OFFSET($AM$3,0,0,'Données projet'!$E$10+1,1))-AVERAGE(OFFSET($H$3,0,0,'Données projet'!$E$10+1,1))</f>
        <v>489.34829722967373</v>
      </c>
      <c r="AO49" s="59">
        <f t="shared" si="36"/>
        <v>304.94365539329362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2.3711264016326687</v>
      </c>
      <c r="AW49" s="21">
        <f>EXP(-LN(2)/2)*AW48+(1-EXP(-LN(2)/2))/(LN(2)/2)*AQ49*AT49*VLOOKUP('Données projet'!$B$10,Paramètres!$A$1:$I$89,3,0)*0.475*44/12</f>
        <v>2.8762459722222654E-2</v>
      </c>
      <c r="AX49" s="21">
        <f t="shared" si="6"/>
        <v>2.3998888613548912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7.7</v>
      </c>
      <c r="BD49" s="12">
        <f>IF('Données projet'!$A$88&gt;35,BD48+BC49-BL48,IF(A49&lt;'Données projet'!$A$88,$BA$205^A49,IF(A49='Données projet'!$A$88,'Données projet'!$B$88,BD48+BC49-BL48)))</f>
        <v>210.19999999999979</v>
      </c>
      <c r="BE49" s="13">
        <f>BD49*VLOOKUP('Données projet'!$B$11,Paramètres!$A$1:$I$89,3,0)*VLOOKUP('Données projet'!$B$11,Paramètres!$A$1:$I$89,5,0)</f>
        <v>183.63071999999983</v>
      </c>
      <c r="BF49" s="13">
        <f t="shared" si="37"/>
        <v>46.129013251634404</v>
      </c>
      <c r="BG49" s="20">
        <f t="shared" si="7"/>
        <v>400.16486874659626</v>
      </c>
      <c r="BH49" s="59">
        <f t="shared" si="8"/>
        <v>652.51514214532187</v>
      </c>
      <c r="BI49" s="59">
        <f ca="1">AVERAGE(OFFSET($BH$3,0,0,'Données projet'!$E$11+1,1))-AVERAGE(OFFSET($H$3,0,0,'Données projet'!$E$11+1,1))</f>
        <v>360.3011551173708</v>
      </c>
      <c r="BJ49" s="59">
        <f t="shared" si="38"/>
        <v>388.50312617855309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7.2456524026754243</v>
      </c>
      <c r="BR49" s="21">
        <f>EXP(-LN(2)/2)*BR48+(1-EXP(-LN(2)/2))/(LN(2)/2)*BL49*BO49*VLOOKUP('Données projet'!$B$11,Paramètres!$A$1:$I$89,3,0)*0.475*44/12</f>
        <v>4.6158645068959225E-2</v>
      </c>
      <c r="BS49" s="22">
        <f t="shared" si="9"/>
        <v>7.2918110477443836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12.8</v>
      </c>
      <c r="DO49" s="12">
        <f>IF('Données projet'!$A$166&gt;35,DO48+DN49-DW48,IF(A49&lt;'Données projet'!$A$166,$DL$205^A49,IF(A49='Données projet'!$A$166,'Données projet'!$B$166,DO48+DN49-DW48)))</f>
        <v>291.79999999999995</v>
      </c>
      <c r="DP49" s="17">
        <f>DO49*VLOOKUP('Données projet'!$B$14,Paramètres!$A$1:$I$89,3,0)*VLOOKUP('Données projet'!$B$14,Paramètres!$A$1:$I$89,5,0)</f>
        <v>174.49639999999999</v>
      </c>
      <c r="DQ49" s="13">
        <f t="shared" si="43"/>
        <v>44.095532458716939</v>
      </c>
      <c r="DR49" s="20">
        <f t="shared" si="16"/>
        <v>380.71428236559865</v>
      </c>
      <c r="DS49" s="59">
        <f t="shared" si="17"/>
        <v>633.06455576432427</v>
      </c>
      <c r="DT49" s="59">
        <f ca="1">AVERAGE(OFFSET($DS$3,0,0,'Données projet'!$E$14+1,1))-AVERAGE(OFFSET($H$3,0,0,'Données projet'!$E$14+1,1))</f>
        <v>350.88566459278962</v>
      </c>
      <c r="DU49" s="59">
        <f t="shared" si="44"/>
        <v>342.18151800581552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8.2455388035278574</v>
      </c>
      <c r="EC49" s="21">
        <f>EXP(-LN(2)/2)*EC48+(1-EXP(-LN(2)/2))/(LN(2)/2)*DW49*DZ49*VLOOKUP('Données projet'!$B$14,Paramètres!$A$1:$I$89,3,0)*0.475*44/12</f>
        <v>9.2692812007105357E-2</v>
      </c>
      <c r="ED49" s="22">
        <f t="shared" si="18"/>
        <v>8.3382316155349621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8.3000000000000007</v>
      </c>
      <c r="N50" s="13">
        <f>IF('Données projet'!$A$36&gt;35,N49+M50-V49,IF(A50&lt;'Données projet'!$A$36,$K$205^A50,IF(A50='Données projet'!$A$36,'Données projet'!$B$36,N49+M50-V49)))</f>
        <v>174.10000000000002</v>
      </c>
      <c r="O50" s="13">
        <f>N50*VLOOKUP('Données projet'!$B$9,Paramètres!$A$1:$I$89,3,0)*VLOOKUP('Données projet'!$B$9,Paramètres!$A$1:$I$89,5,0)</f>
        <v>176.53740000000005</v>
      </c>
      <c r="P50" s="13">
        <f t="shared" si="33"/>
        <v>44.550952743128576</v>
      </c>
      <c r="Q50" s="20">
        <f t="shared" si="53"/>
        <v>385.06221436094899</v>
      </c>
      <c r="R50" s="59">
        <f t="shared" si="0"/>
        <v>638.12345222514432</v>
      </c>
      <c r="S50" s="59">
        <f ca="1">AVERAGE(OFFSET($R$3,0,0,'Données projet'!$E$9+1,1))-AVERAGE(OFFSET($H$3,0,0,'Données projet'!$E$9+1,1))</f>
        <v>465.40148250851843</v>
      </c>
      <c r="T50" s="59">
        <f t="shared" si="34"/>
        <v>290.8428650572356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2.1725899805320852</v>
      </c>
      <c r="AB50" s="21">
        <f>EXP(-LN(2)/2)*AB49+(1-EXP(-LN(2)/2))/(LN(2)/2)*V50*Y50*VLOOKUP('Données projet'!$B$9,Paramètres!$A$1:$I$89,3,0)*0.475*44/12</f>
        <v>1.9159108266047189E-2</v>
      </c>
      <c r="AC50" s="22">
        <f t="shared" si="3"/>
        <v>2.1917490887981326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187.40124</v>
      </c>
      <c r="AK50" s="13">
        <f t="shared" si="35"/>
        <v>46.964944203397764</v>
      </c>
      <c r="AL50" s="20">
        <f t="shared" si="4"/>
        <v>408.18777082091782</v>
      </c>
      <c r="AM50" s="59">
        <f t="shared" si="5"/>
        <v>661.24900868511327</v>
      </c>
      <c r="AN50" s="59">
        <f ca="1">AVERAGE(OFFSET($AM$3,0,0,'Données projet'!$E$10+1,1))-AVERAGE(OFFSET($H$3,0,0,'Données projet'!$E$10+1,1))</f>
        <v>489.34829722967373</v>
      </c>
      <c r="AO50" s="59">
        <f t="shared" si="36"/>
        <v>304.94365539329362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2.3062878254879053</v>
      </c>
      <c r="AW50" s="21">
        <f>EXP(-LN(2)/2)*AW49+(1-EXP(-LN(2)/2))/(LN(2)/2)*AQ50*AT50*VLOOKUP('Données projet'!$B$10,Paramètres!$A$1:$I$89,3,0)*0.475*44/12</f>
        <v>2.0338130313188582E-2</v>
      </c>
      <c r="AX50" s="21">
        <f t="shared" si="6"/>
        <v>2.3266259558010938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7.7</v>
      </c>
      <c r="BD50" s="12">
        <f>IF('Données projet'!$A$88&gt;35,BD49+BC50-BL49,IF(A50&lt;'Données projet'!$A$88,$BA$205^A50,IF(A50='Données projet'!$A$88,'Données projet'!$B$88,BD49+BC50-BL49)))</f>
        <v>217.89999999999978</v>
      </c>
      <c r="BE50" s="13">
        <f>BD50*VLOOKUP('Données projet'!$B$11,Paramètres!$A$1:$I$89,3,0)*VLOOKUP('Données projet'!$B$11,Paramètres!$A$1:$I$89,5,0)</f>
        <v>190.35743999999983</v>
      </c>
      <c r="BF50" s="13">
        <f t="shared" si="37"/>
        <v>47.618969113870712</v>
      </c>
      <c r="BG50" s="20">
        <f t="shared" si="7"/>
        <v>414.47557920665781</v>
      </c>
      <c r="BH50" s="59">
        <f t="shared" si="8"/>
        <v>667.5368170708532</v>
      </c>
      <c r="BI50" s="59">
        <f ca="1">AVERAGE(OFFSET($BH$3,0,0,'Données projet'!$E$11+1,1))-AVERAGE(OFFSET($H$3,0,0,'Données projet'!$E$11+1,1))</f>
        <v>360.3011551173708</v>
      </c>
      <c r="BJ50" s="59">
        <f t="shared" si="38"/>
        <v>388.50312617855309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7.0475196566919651</v>
      </c>
      <c r="BR50" s="21">
        <f>EXP(-LN(2)/2)*BR49+(1-EXP(-LN(2)/2))/(LN(2)/2)*BL50*BO50*VLOOKUP('Données projet'!$B$11,Paramètres!$A$1:$I$89,3,0)*0.475*44/12</f>
        <v>3.2639090938644061E-2</v>
      </c>
      <c r="BS50" s="22">
        <f t="shared" si="9"/>
        <v>7.0801587476306089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12.8</v>
      </c>
      <c r="DO50" s="12">
        <f>IF('Données projet'!$A$166&gt;35,DO49+DN50-DW49,IF(A50&lt;'Données projet'!$A$166,$DL$205^A50,IF(A50='Données projet'!$A$166,'Données projet'!$B$166,DO49+DN50-DW49)))</f>
        <v>304.59999999999997</v>
      </c>
      <c r="DP50" s="17">
        <f>DO50*VLOOKUP('Données projet'!$B$14,Paramètres!$A$1:$I$89,3,0)*VLOOKUP('Données projet'!$B$14,Paramètres!$A$1:$I$89,5,0)</f>
        <v>182.15079999999998</v>
      </c>
      <c r="DQ50" s="13">
        <f t="shared" si="43"/>
        <v>45.800368240506849</v>
      </c>
      <c r="DR50" s="20">
        <f t="shared" si="16"/>
        <v>397.01495135221603</v>
      </c>
      <c r="DS50" s="59">
        <f t="shared" si="17"/>
        <v>650.07618921641142</v>
      </c>
      <c r="DT50" s="59">
        <f ca="1">AVERAGE(OFFSET($DS$3,0,0,'Données projet'!$E$14+1,1))-AVERAGE(OFFSET($H$3,0,0,'Données projet'!$E$14+1,1))</f>
        <v>350.88566459278962</v>
      </c>
      <c r="DU50" s="59">
        <f t="shared" si="44"/>
        <v>342.18151800581552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8.0200641113313473</v>
      </c>
      <c r="EC50" s="21">
        <f>EXP(-LN(2)/2)*EC49+(1-EXP(-LN(2)/2))/(LN(2)/2)*DW50*DZ50*VLOOKUP('Données projet'!$B$14,Paramètres!$A$1:$I$89,3,0)*0.475*44/12</f>
        <v>6.5543715937474031E-2</v>
      </c>
      <c r="ED50" s="22">
        <f t="shared" si="18"/>
        <v>8.0856078272688219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8.3000000000000007</v>
      </c>
      <c r="N51" s="13">
        <f>IF('Données projet'!$A$36&gt;35,N50+M51-V50,IF(A51&lt;'Données projet'!$A$36,$K$205^A51,IF(A51='Données projet'!$A$36,'Données projet'!$B$36,N50+M51-V50)))</f>
        <v>182.40000000000003</v>
      </c>
      <c r="O51" s="13">
        <f>N51*VLOOKUP('Données projet'!$B$9,Paramètres!$A$1:$I$89,3,0)*VLOOKUP('Données projet'!$B$9,Paramètres!$A$1:$I$89,5,0)</f>
        <v>184.95360000000005</v>
      </c>
      <c r="P51" s="13">
        <f t="shared" si="33"/>
        <v>46.42252355095799</v>
      </c>
      <c r="Q51" s="20">
        <f t="shared" si="53"/>
        <v>402.9800818512519</v>
      </c>
      <c r="R51" s="59">
        <f t="shared" si="0"/>
        <v>656.73995053691965</v>
      </c>
      <c r="S51" s="59">
        <f ca="1">AVERAGE(OFFSET($R$3,0,0,'Données projet'!$E$9+1,1))-AVERAGE(OFFSET($H$3,0,0,'Données projet'!$E$9+1,1))</f>
        <v>465.40148250851843</v>
      </c>
      <c r="T51" s="59">
        <f t="shared" si="34"/>
        <v>290.8428650572356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2.1131803932628936</v>
      </c>
      <c r="AB51" s="21">
        <f>EXP(-LN(2)/2)*AB50+(1-EXP(-LN(2)/2))/(LN(2)/2)*V51*Y51*VLOOKUP('Données projet'!$B$9,Paramètres!$A$1:$I$89,3,0)*0.475*44/12</f>
        <v>1.3547535376409204E-2</v>
      </c>
      <c r="AC51" s="22">
        <f t="shared" si="3"/>
        <v>2.126727928639303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196.33536000000001</v>
      </c>
      <c r="AK51" s="13">
        <f t="shared" si="35"/>
        <v>48.937925995037986</v>
      </c>
      <c r="AL51" s="20">
        <f t="shared" si="4"/>
        <v>427.18430644135782</v>
      </c>
      <c r="AM51" s="59">
        <f t="shared" si="5"/>
        <v>680.94417512702557</v>
      </c>
      <c r="AN51" s="59">
        <f ca="1">AVERAGE(OFFSET($AM$3,0,0,'Données projet'!$E$10+1,1))-AVERAGE(OFFSET($H$3,0,0,'Données projet'!$E$10+1,1))</f>
        <v>489.34829722967373</v>
      </c>
      <c r="AO51" s="59">
        <f t="shared" si="36"/>
        <v>304.94365539329362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2.243222263617533</v>
      </c>
      <c r="AW51" s="21">
        <f>EXP(-LN(2)/2)*AW50+(1-EXP(-LN(2)/2))/(LN(2)/2)*AQ51*AT51*VLOOKUP('Données projet'!$B$10,Paramètres!$A$1:$I$89,3,0)*0.475*44/12</f>
        <v>1.4381229861111329E-2</v>
      </c>
      <c r="AX51" s="21">
        <f t="shared" si="6"/>
        <v>2.2576034934786442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7.7</v>
      </c>
      <c r="BD51" s="12">
        <f>IF('Données projet'!$A$88&gt;35,BD50+BC51-BL50,IF(A51&lt;'Données projet'!$A$88,$BA$205^A51,IF(A51='Données projet'!$A$88,'Données projet'!$B$88,BD50+BC51-BL50)))</f>
        <v>225.59999999999977</v>
      </c>
      <c r="BE51" s="13">
        <f>BD51*VLOOKUP('Données projet'!$B$11,Paramètres!$A$1:$I$89,3,0)*VLOOKUP('Données projet'!$B$11,Paramètres!$A$1:$I$89,5,0)</f>
        <v>197.08415999999983</v>
      </c>
      <c r="BF51" s="13">
        <f t="shared" si="37"/>
        <v>49.102807637925835</v>
      </c>
      <c r="BG51" s="20">
        <f t="shared" si="7"/>
        <v>428.7756353027205</v>
      </c>
      <c r="BH51" s="59">
        <f t="shared" si="8"/>
        <v>682.5355039883882</v>
      </c>
      <c r="BI51" s="59">
        <f ca="1">AVERAGE(OFFSET($BH$3,0,0,'Données projet'!$E$11+1,1))-AVERAGE(OFFSET($H$3,0,0,'Données projet'!$E$11+1,1))</f>
        <v>360.3011551173708</v>
      </c>
      <c r="BJ51" s="59">
        <f t="shared" si="38"/>
        <v>388.50312617855309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6.8548048610667722</v>
      </c>
      <c r="BR51" s="21">
        <f>EXP(-LN(2)/2)*BR50+(1-EXP(-LN(2)/2))/(LN(2)/2)*BL51*BO51*VLOOKUP('Données projet'!$B$11,Paramètres!$A$1:$I$89,3,0)*0.475*44/12</f>
        <v>2.3079322534479613E-2</v>
      </c>
      <c r="BS51" s="22">
        <f t="shared" si="9"/>
        <v>6.8778841836012514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12.8</v>
      </c>
      <c r="DO51" s="12">
        <f>IF('Données projet'!$A$166&gt;35,DO50+DN51-DW50,IF(A51&lt;'Données projet'!$A$166,$DL$205^A51,IF(A51='Données projet'!$A$166,'Données projet'!$B$166,DO50+DN51-DW50)))</f>
        <v>317.39999999999998</v>
      </c>
      <c r="DP51" s="17">
        <f>DO51*VLOOKUP('Données projet'!$B$14,Paramètres!$A$1:$I$89,3,0)*VLOOKUP('Données projet'!$B$14,Paramètres!$A$1:$I$89,5,0)</f>
        <v>189.80519999999999</v>
      </c>
      <c r="DQ51" s="13">
        <f t="shared" si="43"/>
        <v>47.496882766206909</v>
      </c>
      <c r="DR51" s="20">
        <f t="shared" si="16"/>
        <v>413.30112748447704</v>
      </c>
      <c r="DS51" s="59">
        <f t="shared" si="17"/>
        <v>667.06099617014479</v>
      </c>
      <c r="DT51" s="59">
        <f ca="1">AVERAGE(OFFSET($DS$3,0,0,'Données projet'!$E$14+1,1))-AVERAGE(OFFSET($H$3,0,0,'Données projet'!$E$14+1,1))</f>
        <v>350.88566459278962</v>
      </c>
      <c r="DU51" s="59">
        <f t="shared" si="44"/>
        <v>342.18151800581552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7.8007550364501501</v>
      </c>
      <c r="EC51" s="21">
        <f>EXP(-LN(2)/2)*EC50+(1-EXP(-LN(2)/2))/(LN(2)/2)*DW51*DZ51*VLOOKUP('Données projet'!$B$14,Paramètres!$A$1:$I$89,3,0)*0.475*44/12</f>
        <v>4.6346406003552679E-2</v>
      </c>
      <c r="ED51" s="22">
        <f t="shared" si="18"/>
        <v>7.8471014424537024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8.3000000000000007</v>
      </c>
      <c r="N52" s="13">
        <f>IF('Données projet'!$A$36&gt;35,N51+M52-V51,IF(A52&lt;'Données projet'!$A$36,$K$205^A52,IF(A52='Données projet'!$A$36,'Données projet'!$B$36,N51+M52-V51)))</f>
        <v>190.70000000000005</v>
      </c>
      <c r="O52" s="13">
        <f>N52*VLOOKUP('Données projet'!$B$9,Paramètres!$A$1:$I$89,3,0)*VLOOKUP('Données projet'!$B$9,Paramètres!$A$1:$I$89,5,0)</f>
        <v>193.36980000000005</v>
      </c>
      <c r="P52" s="13">
        <f t="shared" si="33"/>
        <v>48.284203793067718</v>
      </c>
      <c r="Q52" s="20">
        <f t="shared" si="53"/>
        <v>420.88072327292639</v>
      </c>
      <c r="R52" s="59">
        <f t="shared" si="0"/>
        <v>675.32710309721836</v>
      </c>
      <c r="S52" s="59">
        <f ca="1">AVERAGE(OFFSET($R$3,0,0,'Données projet'!$E$9+1,1))-AVERAGE(OFFSET($H$3,0,0,'Données projet'!$E$9+1,1))</f>
        <v>465.40148250851843</v>
      </c>
      <c r="T52" s="59">
        <f t="shared" si="34"/>
        <v>290.8428650572356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2.0553953642817926</v>
      </c>
      <c r="AB52" s="21">
        <f>EXP(-LN(2)/2)*AB51+(1-EXP(-LN(2)/2))/(LN(2)/2)*V52*Y52*VLOOKUP('Données projet'!$B$9,Paramètres!$A$1:$I$89,3,0)*0.475*44/12</f>
        <v>9.5795541330235944E-3</v>
      </c>
      <c r="AC52" s="22">
        <f t="shared" si="3"/>
        <v>2.0649749184148161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205.26948000000004</v>
      </c>
      <c r="AK52" s="13">
        <f t="shared" si="35"/>
        <v>50.900481301079985</v>
      </c>
      <c r="AL52" s="20">
        <f t="shared" si="4"/>
        <v>446.16268259938101</v>
      </c>
      <c r="AM52" s="59">
        <f t="shared" si="5"/>
        <v>700.60906242367298</v>
      </c>
      <c r="AN52" s="59">
        <f ca="1">AVERAGE(OFFSET($AM$3,0,0,'Données projet'!$E$10+1,1))-AVERAGE(OFFSET($H$3,0,0,'Données projet'!$E$10+1,1))</f>
        <v>489.34829722967373</v>
      </c>
      <c r="AO52" s="59">
        <f t="shared" si="36"/>
        <v>304.94365539329362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2.1818812328529797</v>
      </c>
      <c r="AW52" s="21">
        <f>EXP(-LN(2)/2)*AW51+(1-EXP(-LN(2)/2))/(LN(2)/2)*AQ52*AT52*VLOOKUP('Données projet'!$B$10,Paramètres!$A$1:$I$89,3,0)*0.475*44/12</f>
        <v>1.0169065156594293E-2</v>
      </c>
      <c r="AX52" s="21">
        <f t="shared" si="6"/>
        <v>2.192050298009574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7.7</v>
      </c>
      <c r="BD52" s="12">
        <f>IF('Données projet'!$A$88&gt;35,BD51+BC52-BL51,IF(A52&lt;'Données projet'!$A$88,$BA$205^A52,IF(A52='Données projet'!$A$88,'Données projet'!$B$88,BD51+BC52-BL51)))</f>
        <v>233.29999999999976</v>
      </c>
      <c r="BE52" s="13">
        <f>BD52*VLOOKUP('Données projet'!$B$11,Paramètres!$A$1:$I$89,3,0)*VLOOKUP('Données projet'!$B$11,Paramètres!$A$1:$I$89,5,0)</f>
        <v>203.81087999999983</v>
      </c>
      <c r="BF52" s="13">
        <f t="shared" si="37"/>
        <v>50.580761548728134</v>
      </c>
      <c r="BG52" s="20">
        <f t="shared" si="7"/>
        <v>443.06544236403448</v>
      </c>
      <c r="BH52" s="59">
        <f t="shared" si="8"/>
        <v>697.51182218832651</v>
      </c>
      <c r="BI52" s="59">
        <f ca="1">AVERAGE(OFFSET($BH$3,0,0,'Données projet'!$E$11+1,1))-AVERAGE(OFFSET($H$3,0,0,'Données projet'!$E$11+1,1))</f>
        <v>360.3011551173708</v>
      </c>
      <c r="BJ52" s="59">
        <f t="shared" si="38"/>
        <v>388.50312617855309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6.6673598616623808</v>
      </c>
      <c r="BR52" s="21">
        <f>EXP(-LN(2)/2)*BR51+(1-EXP(-LN(2)/2))/(LN(2)/2)*BL52*BO52*VLOOKUP('Données projet'!$B$11,Paramètres!$A$1:$I$89,3,0)*0.475*44/12</f>
        <v>1.631954546932203E-2</v>
      </c>
      <c r="BS52" s="22">
        <f t="shared" si="9"/>
        <v>6.6836794071317032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12.8</v>
      </c>
      <c r="DO52" s="12">
        <f>IF('Données projet'!$A$166&gt;35,DO51+DN52-DW51,IF(A52&lt;'Données projet'!$A$166,$DL$205^A52,IF(A52='Données projet'!$A$166,'Données projet'!$B$166,DO51+DN52-DW51)))</f>
        <v>330.2</v>
      </c>
      <c r="DP52" s="17">
        <f>DO52*VLOOKUP('Données projet'!$B$14,Paramètres!$A$1:$I$89,3,0)*VLOOKUP('Données projet'!$B$14,Paramètres!$A$1:$I$89,5,0)</f>
        <v>197.45959999999999</v>
      </c>
      <c r="DQ52" s="13">
        <f t="shared" si="43"/>
        <v>49.185450002435452</v>
      </c>
      <c r="DR52" s="20">
        <f t="shared" si="16"/>
        <v>429.57346208757502</v>
      </c>
      <c r="DS52" s="59">
        <f t="shared" si="17"/>
        <v>684.01984191186693</v>
      </c>
      <c r="DT52" s="59">
        <f ca="1">AVERAGE(OFFSET($DS$3,0,0,'Données projet'!$E$14+1,1))-AVERAGE(OFFSET($H$3,0,0,'Données projet'!$E$14+1,1))</f>
        <v>350.88566459278962</v>
      </c>
      <c r="DU52" s="59">
        <f t="shared" si="44"/>
        <v>342.18151800581552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7.5874429797545426</v>
      </c>
      <c r="EC52" s="21">
        <f>EXP(-LN(2)/2)*EC51+(1-EXP(-LN(2)/2))/(LN(2)/2)*DW52*DZ52*VLOOKUP('Données projet'!$B$14,Paramètres!$A$1:$I$89,3,0)*0.475*44/12</f>
        <v>3.2771857968737016E-2</v>
      </c>
      <c r="ED52" s="22">
        <f t="shared" si="18"/>
        <v>7.6202148377232799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199</v>
      </c>
      <c r="L53" s="12">
        <f>VLOOKUP(A53,'Données projet'!$A$35:$I$55,9,0)</f>
        <v>8.3000000000000007</v>
      </c>
      <c r="M53" s="12">
        <f t="array" ref="M53">INDEX(L:L,MIN(IF(ISNUMBER(L53:L249),ROW(L53:L249),"")))</f>
        <v>8.3000000000000007</v>
      </c>
      <c r="N53" s="13">
        <f>IF('Données projet'!$A$36&gt;35,N52+M53-V52,IF(A53&lt;'Données projet'!$A$36,$K$205^A53,IF(A53='Données projet'!$A$36,'Données projet'!$B$36,N52+M53-V52)))</f>
        <v>199.00000000000006</v>
      </c>
      <c r="O53" s="13">
        <f>N53*VLOOKUP('Données projet'!$B$9,Paramètres!$A$1:$I$89,3,0)*VLOOKUP('Données projet'!$B$9,Paramètres!$A$1:$I$89,5,0)</f>
        <v>201.78600000000009</v>
      </c>
      <c r="P53" s="13">
        <f t="shared" si="33"/>
        <v>50.136473146268756</v>
      </c>
      <c r="Q53" s="20">
        <f t="shared" si="53"/>
        <v>438.76497406308482</v>
      </c>
      <c r="R53" s="59">
        <f t="shared" si="0"/>
        <v>693.88595559255486</v>
      </c>
      <c r="S53" s="59">
        <f ca="1">AVERAGE(OFFSET($R$3,0,0,'Données projet'!$E$9+1,1))-AVERAGE(OFFSET($H$3,0,0,'Données projet'!$E$9+1,1))</f>
        <v>465.40148250851843</v>
      </c>
      <c r="T53" s="59">
        <f t="shared" si="34"/>
        <v>290.8428650572356</v>
      </c>
      <c r="U53" s="15">
        <f>IF(ISNA(VLOOKUP(A53,'Données projet'!$A$35:$I$55,3,0)),0,VLOOKUP(A53,'Données projet'!$A$35:$I$55,3,0))</f>
        <v>3</v>
      </c>
      <c r="V53" s="15">
        <f>IF(ISNA(VLOOKUP(A53,'Données projet'!$A$35:$I$55,4,0)),0,VLOOKUP(A53,'Données projet'!$A$35:$I$55,4,0))</f>
        <v>42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1.9991904699569625</v>
      </c>
      <c r="AB53" s="21">
        <f>EXP(-LN(2)/2)*AB52+(1-EXP(-LN(2)/2))/(LN(2)/2)*V53*Y53*VLOOKUP('Données projet'!$B$9,Paramètres!$A$1:$I$89,3,0)*0.475*44/12</f>
        <v>6.7737676882046018E-3</v>
      </c>
      <c r="AC53" s="22">
        <f t="shared" si="3"/>
        <v>2.0059642376451672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214.20360000000005</v>
      </c>
      <c r="AK53" s="13">
        <f t="shared" si="35"/>
        <v>52.853115789602029</v>
      </c>
      <c r="AL53" s="20">
        <f t="shared" si="4"/>
        <v>465.12378000022363</v>
      </c>
      <c r="AM53" s="59">
        <f t="shared" si="5"/>
        <v>720.24476152969373</v>
      </c>
      <c r="AN53" s="59">
        <f ca="1">AVERAGE(OFFSET($AM$3,0,0,'Données projet'!$E$10+1,1))-AVERAGE(OFFSET($H$3,0,0,'Données projet'!$E$10+1,1))</f>
        <v>489.34829722967373</v>
      </c>
      <c r="AO53" s="59">
        <f t="shared" si="36"/>
        <v>304.94365539329362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2.1222175758004678</v>
      </c>
      <c r="AW53" s="21">
        <f>EXP(-LN(2)/2)*AW52+(1-EXP(-LN(2)/2))/(LN(2)/2)*AQ53*AT53*VLOOKUP('Données projet'!$B$10,Paramètres!$A$1:$I$89,3,0)*0.475*44/12</f>
        <v>7.1906149305556661E-3</v>
      </c>
      <c r="AX53" s="21">
        <f t="shared" si="6"/>
        <v>2.1294081907310236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241</v>
      </c>
      <c r="BB53" s="12">
        <f>VLOOKUP(A53,'Données projet'!$A$87:$I$107,9,0)</f>
        <v>7.7</v>
      </c>
      <c r="BC53" s="12">
        <f t="array" ref="BC53">INDEX(BB:BB,MIN(IF(ISNUMBER(BB53:BB249),ROW(BB53:BB249),"")))</f>
        <v>7.7</v>
      </c>
      <c r="BD53" s="12">
        <f>IF('Données projet'!$A$88&gt;35,BD52+BC53-BL52,IF(A53&lt;'Données projet'!$A$88,$BA$205^A53,IF(A53='Données projet'!$A$88,'Données projet'!$B$88,BD52+BC53-BL52)))</f>
        <v>240.99999999999974</v>
      </c>
      <c r="BE53" s="13">
        <f>BD53*VLOOKUP('Données projet'!$B$11,Paramètres!$A$1:$I$89,3,0)*VLOOKUP('Données projet'!$B$11,Paramètres!$A$1:$I$89,5,0)</f>
        <v>210.5375999999998</v>
      </c>
      <c r="BF53" s="13">
        <f t="shared" si="37"/>
        <v>52.053047337322234</v>
      </c>
      <c r="BG53" s="20">
        <f t="shared" si="7"/>
        <v>457.34537744583582</v>
      </c>
      <c r="BH53" s="59">
        <f t="shared" si="8"/>
        <v>712.46635897530587</v>
      </c>
      <c r="BI53" s="59">
        <f ca="1">AVERAGE(OFFSET($BH$3,0,0,'Données projet'!$E$11+1,1))-AVERAGE(OFFSET($H$3,0,0,'Données projet'!$E$11+1,1))</f>
        <v>360.3011551173708</v>
      </c>
      <c r="BJ53" s="59">
        <f t="shared" si="38"/>
        <v>388.50312617855309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39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6.4850405556240061</v>
      </c>
      <c r="BR53" s="21">
        <f>EXP(-LN(2)/2)*BR52+(1-EXP(-LN(2)/2))/(LN(2)/2)*BL53*BO53*VLOOKUP('Données projet'!$B$11,Paramètres!$A$1:$I$89,3,0)*0.475*44/12</f>
        <v>1.1539661267239806E-2</v>
      </c>
      <c r="BS53" s="22">
        <f t="shared" si="9"/>
        <v>6.4965802168912461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343</v>
      </c>
      <c r="DM53" s="12">
        <f>VLOOKUP(A53,'Données projet'!$A$165:$I$185,9,0)</f>
        <v>12.8</v>
      </c>
      <c r="DN53" s="12">
        <f t="array" ref="DN53">INDEX(DM:DM,MIN(IF(ISNUMBER(DM53:DM249),ROW(DM53:DM249),"")))</f>
        <v>12.8</v>
      </c>
      <c r="DO53" s="12">
        <f>IF('Données projet'!$A$166&gt;35,DO52+DN53-DW52,IF(A53&lt;'Données projet'!$A$166,$DL$205^A53,IF(A53='Données projet'!$A$166,'Données projet'!$B$166,DO52+DN53-DW52)))</f>
        <v>343</v>
      </c>
      <c r="DP53" s="17">
        <f>DO53*VLOOKUP('Données projet'!$B$14,Paramètres!$A$1:$I$89,3,0)*VLOOKUP('Données projet'!$B$14,Paramètres!$A$1:$I$89,5,0)</f>
        <v>205.114</v>
      </c>
      <c r="DQ53" s="13">
        <f t="shared" si="43"/>
        <v>50.86641328088507</v>
      </c>
      <c r="DR53" s="20">
        <f t="shared" si="16"/>
        <v>445.83255313087483</v>
      </c>
      <c r="DS53" s="59">
        <f t="shared" si="17"/>
        <v>700.95353466034499</v>
      </c>
      <c r="DT53" s="59">
        <f ca="1">AVERAGE(OFFSET($DS$3,0,0,'Données projet'!$E$14+1,1))-AVERAGE(OFFSET($H$3,0,0,'Données projet'!$E$14+1,1))</f>
        <v>350.88566459278962</v>
      </c>
      <c r="DU53" s="59">
        <f t="shared" si="44"/>
        <v>342.18151800581552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70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7.3799639524668699</v>
      </c>
      <c r="EC53" s="21">
        <f>EXP(-LN(2)/2)*EC52+(1-EXP(-LN(2)/2))/(LN(2)/2)*DW53*DZ53*VLOOKUP('Données projet'!$B$14,Paramètres!$A$1:$I$89,3,0)*0.475*44/12</f>
        <v>2.3173203001776339E-2</v>
      </c>
      <c r="ED53" s="22">
        <f t="shared" si="18"/>
        <v>7.403137155468646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7.8</v>
      </c>
      <c r="N54" s="13">
        <f>IF('Données projet'!$A$36&gt;35,N53+M54-V53,IF(A54&lt;'Données projet'!$A$36,$K$205^A54,IF(A54='Données projet'!$A$36,'Données projet'!$B$36,N53+M54-V53)))</f>
        <v>164.80000000000007</v>
      </c>
      <c r="O54" s="13">
        <f>N54*VLOOKUP('Données projet'!$B$9,Paramètres!$A$1:$I$89,3,0)*VLOOKUP('Données projet'!$B$9,Paramètres!$A$1:$I$89,5,0)</f>
        <v>167.10720000000009</v>
      </c>
      <c r="P54" s="13">
        <f t="shared" si="33"/>
        <v>42.441486871669696</v>
      </c>
      <c r="Q54" s="20">
        <f t="shared" si="53"/>
        <v>364.96396296815823</v>
      </c>
      <c r="R54" s="59">
        <f t="shared" si="0"/>
        <v>620.747843371405</v>
      </c>
      <c r="S54" s="59">
        <f ca="1">AVERAGE(OFFSET($R$3,0,0,'Données projet'!$E$9+1,1))-AVERAGE(OFFSET($H$3,0,0,'Données projet'!$E$9+1,1))</f>
        <v>465.40148250851843</v>
      </c>
      <c r="T54" s="59">
        <f t="shared" si="34"/>
        <v>290.8428650572356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1.9445225014231318</v>
      </c>
      <c r="AB54" s="21">
        <f>EXP(-LN(2)/2)*AB53+(1-EXP(-LN(2)/2))/(LN(2)/2)*V54*Y54*VLOOKUP('Données projet'!$B$9,Paramètres!$A$1:$I$89,3,0)*0.475*44/12</f>
        <v>4.7897770665117972E-3</v>
      </c>
      <c r="AC54" s="22">
        <f t="shared" si="3"/>
        <v>1.9493122784896435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177.39072000000004</v>
      </c>
      <c r="AK54" s="13">
        <f t="shared" si="35"/>
        <v>44.741177014326411</v>
      </c>
      <c r="AL54" s="20">
        <f t="shared" si="4"/>
        <v>386.87972063328522</v>
      </c>
      <c r="AM54" s="59">
        <f t="shared" si="5"/>
        <v>642.6636010365321</v>
      </c>
      <c r="AN54" s="59">
        <f ca="1">AVERAGE(OFFSET($AM$3,0,0,'Données projet'!$E$10+1,1))-AVERAGE(OFFSET($H$3,0,0,'Données projet'!$E$10+1,1))</f>
        <v>489.34829722967373</v>
      </c>
      <c r="AO54" s="59">
        <f t="shared" si="36"/>
        <v>304.94365539329362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2.0641854245876319</v>
      </c>
      <c r="AW54" s="21">
        <f>EXP(-LN(2)/2)*AW53+(1-EXP(-LN(2)/2))/(LN(2)/2)*AQ54*AT54*VLOOKUP('Données projet'!$B$10,Paramètres!$A$1:$I$89,3,0)*0.475*44/12</f>
        <v>5.0845325782971473E-3</v>
      </c>
      <c r="AX54" s="21">
        <f t="shared" si="6"/>
        <v>2.069269957165929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207.59999999999974</v>
      </c>
      <c r="BE54" s="13">
        <f>BD54*VLOOKUP('Données projet'!$B$11,Paramètres!$A$1:$I$89,3,0)*VLOOKUP('Données projet'!$B$11,Paramètres!$A$1:$I$89,5,0)</f>
        <v>181.35935999999978</v>
      </c>
      <c r="BF54" s="13">
        <f t="shared" si="37"/>
        <v>45.624486166835801</v>
      </c>
      <c r="BG54" s="20">
        <f t="shared" si="7"/>
        <v>395.33019874057192</v>
      </c>
      <c r="BH54" s="59">
        <f t="shared" si="8"/>
        <v>651.1140791438188</v>
      </c>
      <c r="BI54" s="59">
        <f ca="1">AVERAGE(OFFSET($BH$3,0,0,'Données projet'!$E$11+1,1))-AVERAGE(OFFSET($H$3,0,0,'Données projet'!$E$11+1,1))</f>
        <v>360.3011551173708</v>
      </c>
      <c r="BJ54" s="59">
        <f t="shared" si="38"/>
        <v>388.50312617855309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6.3077067805970062</v>
      </c>
      <c r="BR54" s="21">
        <f>EXP(-LN(2)/2)*BR53+(1-EXP(-LN(2)/2))/(LN(2)/2)*BL54*BO54*VLOOKUP('Données projet'!$B$11,Paramètres!$A$1:$I$89,3,0)*0.475*44/12</f>
        <v>8.1597727346610152E-3</v>
      </c>
      <c r="BS54" s="22">
        <f t="shared" si="9"/>
        <v>6.3158665533316674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11.4</v>
      </c>
      <c r="DO54" s="12">
        <f>IF('Données projet'!$A$166&gt;35,DO53+DN54-DW53,IF(A54&lt;'Données projet'!$A$166,$DL$205^A54,IF(A54='Données projet'!$A$166,'Données projet'!$B$166,DO53+DN54-DW53)))</f>
        <v>284.39999999999998</v>
      </c>
      <c r="DP54" s="17">
        <f>DO54*VLOOKUP('Données projet'!$B$14,Paramètres!$A$1:$I$89,3,0)*VLOOKUP('Données projet'!$B$14,Paramètres!$A$1:$I$89,5,0)</f>
        <v>170.07119999999998</v>
      </c>
      <c r="DQ54" s="13">
        <f t="shared" si="43"/>
        <v>43.105969628155904</v>
      </c>
      <c r="DR54" s="20">
        <f t="shared" si="16"/>
        <v>371.2835704357048</v>
      </c>
      <c r="DS54" s="59">
        <f t="shared" si="17"/>
        <v>627.06745083895157</v>
      </c>
      <c r="DT54" s="59">
        <f ca="1">AVERAGE(OFFSET($DS$3,0,0,'Données projet'!$E$14+1,1))-AVERAGE(OFFSET($H$3,0,0,'Données projet'!$E$14+1,1))</f>
        <v>350.88566459278962</v>
      </c>
      <c r="DU54" s="59">
        <f t="shared" si="44"/>
        <v>342.18151800581552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7.1781584500912263</v>
      </c>
      <c r="EC54" s="21">
        <f>EXP(-LN(2)/2)*EC53+(1-EXP(-LN(2)/2))/(LN(2)/2)*DW54*DZ54*VLOOKUP('Données projet'!$B$14,Paramètres!$A$1:$I$89,3,0)*0.475*44/12</f>
        <v>1.6385928984368508E-2</v>
      </c>
      <c r="ED54" s="22">
        <f t="shared" si="18"/>
        <v>7.1945443790755945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7.8</v>
      </c>
      <c r="N55" s="13">
        <f>IF('Données projet'!$A$36&gt;35,N54+M55-V54,IF(A55&lt;'Données projet'!$A$36,$K$205^A55,IF(A55='Données projet'!$A$36,'Données projet'!$B$36,N54+M55-V54)))</f>
        <v>172.60000000000008</v>
      </c>
      <c r="O55" s="13">
        <f>N55*VLOOKUP('Données projet'!$B$9,Paramètres!$A$1:$I$89,3,0)*VLOOKUP('Données projet'!$B$9,Paramètres!$A$1:$I$89,5,0)</f>
        <v>175.01640000000009</v>
      </c>
      <c r="P55" s="13">
        <f t="shared" si="33"/>
        <v>44.211621687190231</v>
      </c>
      <c r="Q55" s="20">
        <f t="shared" si="53"/>
        <v>381.82213777185649</v>
      </c>
      <c r="R55" s="59">
        <f t="shared" si="0"/>
        <v>638.25741723543979</v>
      </c>
      <c r="S55" s="59">
        <f ca="1">AVERAGE(OFFSET($R$3,0,0,'Données projet'!$E$9+1,1))-AVERAGE(OFFSET($H$3,0,0,'Données projet'!$E$9+1,1))</f>
        <v>465.40148250851843</v>
      </c>
      <c r="T55" s="59">
        <f t="shared" si="34"/>
        <v>290.8428650572356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1.8913494313637222</v>
      </c>
      <c r="AB55" s="21">
        <f>EXP(-LN(2)/2)*AB54+(1-EXP(-LN(2)/2))/(LN(2)/2)*V55*Y55*VLOOKUP('Données projet'!$B$9,Paramètres!$A$1:$I$89,3,0)*0.475*44/12</f>
        <v>3.3868838441023009E-3</v>
      </c>
      <c r="AC55" s="22">
        <f t="shared" si="3"/>
        <v>1.8947363152078245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185.78664000000009</v>
      </c>
      <c r="AK55" s="13">
        <f t="shared" si="35"/>
        <v>46.607226508772698</v>
      </c>
      <c r="AL55" s="20">
        <f t="shared" si="4"/>
        <v>404.75265083611265</v>
      </c>
      <c r="AM55" s="59">
        <f t="shared" si="5"/>
        <v>661.18793029969606</v>
      </c>
      <c r="AN55" s="59">
        <f ca="1">AVERAGE(OFFSET($AM$3,0,0,'Données projet'!$E$10+1,1))-AVERAGE(OFFSET($H$3,0,0,'Données projet'!$E$10+1,1))</f>
        <v>489.34829722967373</v>
      </c>
      <c r="AO55" s="59">
        <f t="shared" si="36"/>
        <v>304.94365539329362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2.0077401656014895</v>
      </c>
      <c r="AW55" s="21">
        <f>EXP(-LN(2)/2)*AW54+(1-EXP(-LN(2)/2))/(LN(2)/2)*AQ55*AT55*VLOOKUP('Données projet'!$B$10,Paramètres!$A$1:$I$89,3,0)*0.475*44/12</f>
        <v>3.5953074652778335E-3</v>
      </c>
      <c r="AX55" s="21">
        <f t="shared" si="6"/>
        <v>2.0113354730667674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213.19999999999973</v>
      </c>
      <c r="BE55" s="13">
        <f>BD55*VLOOKUP('Données projet'!$B$11,Paramètres!$A$1:$I$89,3,0)*VLOOKUP('Données projet'!$B$11,Paramètres!$A$1:$I$89,5,0)</f>
        <v>186.2515199999998</v>
      </c>
      <c r="BF55" s="13">
        <f t="shared" si="37"/>
        <v>46.710258515156667</v>
      </c>
      <c r="BG55" s="20">
        <f t="shared" si="7"/>
        <v>405.74176424723083</v>
      </c>
      <c r="BH55" s="59">
        <f t="shared" si="8"/>
        <v>662.17704371081413</v>
      </c>
      <c r="BI55" s="59">
        <f ca="1">AVERAGE(OFFSET($BH$3,0,0,'Données projet'!$E$11+1,1))-AVERAGE(OFFSET($H$3,0,0,'Données projet'!$E$11+1,1))</f>
        <v>360.3011551173708</v>
      </c>
      <c r="BJ55" s="59">
        <f t="shared" si="38"/>
        <v>388.50312617855309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6.1352222069736984</v>
      </c>
      <c r="BR55" s="21">
        <f>EXP(-LN(2)/2)*BR54+(1-EXP(-LN(2)/2))/(LN(2)/2)*BL55*BO55*VLOOKUP('Données projet'!$B$11,Paramètres!$A$1:$I$89,3,0)*0.475*44/12</f>
        <v>5.7698306336199032E-3</v>
      </c>
      <c r="BS55" s="22">
        <f t="shared" si="9"/>
        <v>6.1409920376073179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11.4</v>
      </c>
      <c r="DO55" s="12">
        <f>IF('Données projet'!$A$166&gt;35,DO54+DN55-DW54,IF(A55&lt;'Données projet'!$A$166,$DL$205^A55,IF(A55='Données projet'!$A$166,'Données projet'!$B$166,DO54+DN55-DW54)))</f>
        <v>295.79999999999995</v>
      </c>
      <c r="DP55" s="17">
        <f>DO55*VLOOKUP('Données projet'!$B$14,Paramètres!$A$1:$I$89,3,0)*VLOOKUP('Données projet'!$B$14,Paramètres!$A$1:$I$89,5,0)</f>
        <v>176.88839999999999</v>
      </c>
      <c r="DQ55" s="13">
        <f t="shared" si="43"/>
        <v>44.629211487047861</v>
      </c>
      <c r="DR55" s="20">
        <f t="shared" si="16"/>
        <v>385.80984000660828</v>
      </c>
      <c r="DS55" s="59">
        <f t="shared" si="17"/>
        <v>642.24511947019164</v>
      </c>
      <c r="DT55" s="59">
        <f ca="1">AVERAGE(OFFSET($DS$3,0,0,'Données projet'!$E$14+1,1))-AVERAGE(OFFSET($H$3,0,0,'Données projet'!$E$14+1,1))</f>
        <v>350.88566459278962</v>
      </c>
      <c r="DU55" s="59">
        <f t="shared" si="44"/>
        <v>342.18151800581552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6.9818713297905344</v>
      </c>
      <c r="EC55" s="21">
        <f>EXP(-LN(2)/2)*EC54+(1-EXP(-LN(2)/2))/(LN(2)/2)*DW55*DZ55*VLOOKUP('Données projet'!$B$14,Paramètres!$A$1:$I$89,3,0)*0.475*44/12</f>
        <v>1.158660150088817E-2</v>
      </c>
      <c r="ED55" s="22">
        <f t="shared" si="18"/>
        <v>6.9934579312914229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7.8</v>
      </c>
      <c r="N56" s="13">
        <f>IF('Données projet'!$A$36&gt;35,N55+M56-V55,IF(A56&lt;'Données projet'!$A$36,$K$205^A56,IF(A56='Données projet'!$A$36,'Données projet'!$B$36,N55+M56-V55)))</f>
        <v>180.40000000000009</v>
      </c>
      <c r="O56" s="13">
        <f>N56*VLOOKUP('Données projet'!$B$9,Paramètres!$A$1:$I$89,3,0)*VLOOKUP('Données projet'!$B$9,Paramètres!$A$1:$I$89,5,0)</f>
        <v>182.92560000000012</v>
      </c>
      <c r="P56" s="13">
        <f t="shared" si="33"/>
        <v>45.97246625045144</v>
      </c>
      <c r="Q56" s="20">
        <f t="shared" si="53"/>
        <v>398.66413205286977</v>
      </c>
      <c r="R56" s="59">
        <f t="shared" si="0"/>
        <v>655.739510259403</v>
      </c>
      <c r="S56" s="59">
        <f ca="1">AVERAGE(OFFSET($R$3,0,0,'Données projet'!$E$9+1,1))-AVERAGE(OFFSET($H$3,0,0,'Données projet'!$E$9+1,1))</f>
        <v>465.40148250851843</v>
      </c>
      <c r="T56" s="59">
        <f t="shared" si="34"/>
        <v>290.8428650572356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1.8396303817013373</v>
      </c>
      <c r="AB56" s="21">
        <f>EXP(-LN(2)/2)*AB55+(1-EXP(-LN(2)/2))/(LN(2)/2)*V56*Y56*VLOOKUP('Données projet'!$B$9,Paramètres!$A$1:$I$89,3,0)*0.475*44/12</f>
        <v>2.3948885332558986E-3</v>
      </c>
      <c r="AC56" s="22">
        <f t="shared" si="3"/>
        <v>1.8420252702345932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194.18256000000008</v>
      </c>
      <c r="AK56" s="13">
        <f t="shared" si="35"/>
        <v>48.463482359040057</v>
      </c>
      <c r="AL56" s="20">
        <f t="shared" si="4"/>
        <v>422.60852377532825</v>
      </c>
      <c r="AM56" s="59">
        <f t="shared" si="5"/>
        <v>679.68390198186148</v>
      </c>
      <c r="AN56" s="59">
        <f ca="1">AVERAGE(OFFSET($AM$3,0,0,'Données projet'!$E$10+1,1))-AVERAGE(OFFSET($H$3,0,0,'Données projet'!$E$10+1,1))</f>
        <v>489.34829722967373</v>
      </c>
      <c r="AO56" s="59">
        <f t="shared" si="36"/>
        <v>304.94365539329362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1.9528384051906502</v>
      </c>
      <c r="AW56" s="21">
        <f>EXP(-LN(2)/2)*AW55+(1-EXP(-LN(2)/2))/(LN(2)/2)*AQ56*AT56*VLOOKUP('Données projet'!$B$10,Paramètres!$A$1:$I$89,3,0)*0.475*44/12</f>
        <v>2.5422662891485741E-3</v>
      </c>
      <c r="AX56" s="21">
        <f t="shared" si="6"/>
        <v>1.9553806714797988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218.79999999999973</v>
      </c>
      <c r="BE56" s="13">
        <f>BD56*VLOOKUP('Données projet'!$B$11,Paramètres!$A$1:$I$89,3,0)*VLOOKUP('Données projet'!$B$11,Paramètres!$A$1:$I$89,5,0)</f>
        <v>191.14367999999979</v>
      </c>
      <c r="BF56" s="13">
        <f t="shared" si="37"/>
        <v>47.792715878069501</v>
      </c>
      <c r="BG56" s="20">
        <f t="shared" si="7"/>
        <v>416.14755615430403</v>
      </c>
      <c r="BH56" s="59">
        <f t="shared" si="8"/>
        <v>673.22293436083726</v>
      </c>
      <c r="BI56" s="59">
        <f ca="1">AVERAGE(OFFSET($BH$3,0,0,'Données projet'!$E$11+1,1))-AVERAGE(OFFSET($H$3,0,0,'Données projet'!$E$11+1,1))</f>
        <v>360.3011551173708</v>
      </c>
      <c r="BJ56" s="59">
        <f t="shared" si="38"/>
        <v>388.50312617855309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5.9674542330866887</v>
      </c>
      <c r="BR56" s="21">
        <f>EXP(-LN(2)/2)*BR55+(1-EXP(-LN(2)/2))/(LN(2)/2)*BL56*BO56*VLOOKUP('Données projet'!$B$11,Paramètres!$A$1:$I$89,3,0)*0.475*44/12</f>
        <v>4.0798863673305076E-3</v>
      </c>
      <c r="BS56" s="22">
        <f t="shared" si="9"/>
        <v>5.9715341194540192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11.4</v>
      </c>
      <c r="DO56" s="12">
        <f>IF('Données projet'!$A$166&gt;35,DO55+DN56-DW55,IF(A56&lt;'Données projet'!$A$166,$DL$205^A56,IF(A56='Données projet'!$A$166,'Données projet'!$B$166,DO55+DN56-DW55)))</f>
        <v>307.19999999999993</v>
      </c>
      <c r="DP56" s="17">
        <f>DO56*VLOOKUP('Données projet'!$B$14,Paramètres!$A$1:$I$89,3,0)*VLOOKUP('Données projet'!$B$14,Paramètres!$A$1:$I$89,5,0)</f>
        <v>183.70559999999998</v>
      </c>
      <c r="DQ56" s="13">
        <f t="shared" si="43"/>
        <v>46.145633597806309</v>
      </c>
      <c r="DR56" s="20">
        <f t="shared" si="16"/>
        <v>400.32423184951267</v>
      </c>
      <c r="DS56" s="59">
        <f t="shared" si="17"/>
        <v>657.39961005604596</v>
      </c>
      <c r="DT56" s="59">
        <f ca="1">AVERAGE(OFFSET($DS$3,0,0,'Données projet'!$E$14+1,1))-AVERAGE(OFFSET($H$3,0,0,'Données projet'!$E$14+1,1))</f>
        <v>350.88566459278962</v>
      </c>
      <c r="DU56" s="59">
        <f t="shared" si="44"/>
        <v>342.18151800581552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6.7909516911167565</v>
      </c>
      <c r="EC56" s="21">
        <f>EXP(-LN(2)/2)*EC55+(1-EXP(-LN(2)/2))/(LN(2)/2)*DW56*DZ56*VLOOKUP('Données projet'!$B$14,Paramètres!$A$1:$I$89,3,0)*0.475*44/12</f>
        <v>8.1929644921842539E-3</v>
      </c>
      <c r="ED56" s="22">
        <f t="shared" si="18"/>
        <v>6.7991446556089405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7.8</v>
      </c>
      <c r="N57" s="13">
        <f>IF('Données projet'!$A$36&gt;35,N56+M57-V56,IF(A57&lt;'Données projet'!$A$36,$K$205^A57,IF(A57='Données projet'!$A$36,'Données projet'!$B$36,N56+M57-V56)))</f>
        <v>188.2000000000001</v>
      </c>
      <c r="O57" s="13">
        <f>N57*VLOOKUP('Données projet'!$B$9,Paramètres!$A$1:$I$89,3,0)*VLOOKUP('Données projet'!$B$9,Paramètres!$A$1:$I$89,5,0)</f>
        <v>190.83480000000012</v>
      </c>
      <c r="P57" s="13">
        <f t="shared" si="33"/>
        <v>47.724468160640392</v>
      </c>
      <c r="Q57" s="20">
        <f t="shared" si="53"/>
        <v>415.49072537978219</v>
      </c>
      <c r="R57" s="59">
        <f t="shared" si="0"/>
        <v>673.19509804712152</v>
      </c>
      <c r="S57" s="59">
        <f ca="1">AVERAGE(OFFSET($R$3,0,0,'Données projet'!$E$9+1,1))-AVERAGE(OFFSET($H$3,0,0,'Données projet'!$E$9+1,1))</f>
        <v>465.40148250851843</v>
      </c>
      <c r="T57" s="59">
        <f t="shared" si="34"/>
        <v>290.8428650572356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1.789325592171757</v>
      </c>
      <c r="AB57" s="21">
        <f>EXP(-LN(2)/2)*AB56+(1-EXP(-LN(2)/2))/(LN(2)/2)*V57*Y57*VLOOKUP('Données projet'!$B$9,Paramètres!$A$1:$I$89,3,0)*0.475*44/12</f>
        <v>1.6934419220511504E-3</v>
      </c>
      <c r="AC57" s="22">
        <f t="shared" si="3"/>
        <v>1.7910190340938081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202.5784800000001</v>
      </c>
      <c r="AK57" s="13">
        <f t="shared" si="35"/>
        <v>50.310416417458406</v>
      </c>
      <c r="AL57" s="20">
        <f t="shared" si="4"/>
        <v>440.44816126040695</v>
      </c>
      <c r="AM57" s="59">
        <f t="shared" si="5"/>
        <v>698.15253392774628</v>
      </c>
      <c r="AN57" s="59">
        <f ca="1">AVERAGE(OFFSET($AM$3,0,0,'Données projet'!$E$10+1,1))-AVERAGE(OFFSET($H$3,0,0,'Données projet'!$E$10+1,1))</f>
        <v>489.34829722967373</v>
      </c>
      <c r="AO57" s="59">
        <f t="shared" si="36"/>
        <v>304.94365539329362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1.8994379363054035</v>
      </c>
      <c r="AW57" s="21">
        <f>EXP(-LN(2)/2)*AW56+(1-EXP(-LN(2)/2))/(LN(2)/2)*AQ57*AT57*VLOOKUP('Données projet'!$B$10,Paramètres!$A$1:$I$89,3,0)*0.475*44/12</f>
        <v>1.7976537326389169E-3</v>
      </c>
      <c r="AX57" s="21">
        <f t="shared" si="6"/>
        <v>1.9012355900380424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224.39999999999972</v>
      </c>
      <c r="BE57" s="13">
        <f>BD57*VLOOKUP('Données projet'!$B$11,Paramètres!$A$1:$I$89,3,0)*VLOOKUP('Données projet'!$B$11,Paramètres!$A$1:$I$89,5,0)</f>
        <v>196.03583999999978</v>
      </c>
      <c r="BF57" s="13">
        <f t="shared" si="37"/>
        <v>48.871952855623412</v>
      </c>
      <c r="BG57" s="20">
        <f t="shared" si="7"/>
        <v>426.54773922354372</v>
      </c>
      <c r="BH57" s="59">
        <f t="shared" si="8"/>
        <v>684.25211189088304</v>
      </c>
      <c r="BI57" s="59">
        <f ca="1">AVERAGE(OFFSET($BH$3,0,0,'Données projet'!$E$11+1,1))-AVERAGE(OFFSET($H$3,0,0,'Données projet'!$E$11+1,1))</f>
        <v>360.3011551173708</v>
      </c>
      <c r="BJ57" s="59">
        <f t="shared" si="38"/>
        <v>388.50312617855309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5.804273883268154</v>
      </c>
      <c r="BR57" s="21">
        <f>EXP(-LN(2)/2)*BR56+(1-EXP(-LN(2)/2))/(LN(2)/2)*BL57*BO57*VLOOKUP('Données projet'!$B$11,Paramètres!$A$1:$I$89,3,0)*0.475*44/12</f>
        <v>2.8849153168099516E-3</v>
      </c>
      <c r="BS57" s="22">
        <f t="shared" si="9"/>
        <v>5.8071587985849638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11.4</v>
      </c>
      <c r="DO57" s="12">
        <f>IF('Données projet'!$A$166&gt;35,DO56+DN57-DW56,IF(A57&lt;'Données projet'!$A$166,$DL$205^A57,IF(A57='Données projet'!$A$166,'Données projet'!$B$166,DO56+DN57-DW56)))</f>
        <v>318.59999999999991</v>
      </c>
      <c r="DP57" s="17">
        <f>DO57*VLOOKUP('Données projet'!$B$14,Paramètres!$A$1:$I$89,3,0)*VLOOKUP('Données projet'!$B$14,Paramètres!$A$1:$I$89,5,0)</f>
        <v>190.52279999999996</v>
      </c>
      <c r="DQ57" s="13">
        <f t="shared" si="43"/>
        <v>47.655518017541539</v>
      </c>
      <c r="DR57" s="20">
        <f t="shared" si="16"/>
        <v>414.82723721388476</v>
      </c>
      <c r="DS57" s="59">
        <f t="shared" si="17"/>
        <v>672.53160988122409</v>
      </c>
      <c r="DT57" s="59">
        <f ca="1">AVERAGE(OFFSET($DS$3,0,0,'Données projet'!$E$14+1,1))-AVERAGE(OFFSET($H$3,0,0,'Données projet'!$E$14+1,1))</f>
        <v>350.88566459278962</v>
      </c>
      <c r="DU57" s="59">
        <f t="shared" si="44"/>
        <v>342.18151800581552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6.6052527600025401</v>
      </c>
      <c r="EC57" s="21">
        <f>EXP(-LN(2)/2)*EC56+(1-EXP(-LN(2)/2))/(LN(2)/2)*DW57*DZ57*VLOOKUP('Données projet'!$B$14,Paramètres!$A$1:$I$89,3,0)*0.475*44/12</f>
        <v>5.7933007504440848E-3</v>
      </c>
      <c r="ED57" s="22">
        <f t="shared" si="18"/>
        <v>6.611046060752984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7.8</v>
      </c>
      <c r="N58" s="13">
        <f>IF('Données projet'!$A$36&gt;35,N57+M58-V57,IF(A58&lt;'Données projet'!$A$36,$K$205^A58,IF(A58='Données projet'!$A$36,'Données projet'!$B$36,N57+M58-V57)))</f>
        <v>196.00000000000011</v>
      </c>
      <c r="O58" s="13">
        <f>N58*VLOOKUP('Données projet'!$B$9,Paramètres!$A$1:$I$89,3,0)*VLOOKUP('Données projet'!$B$9,Paramètres!$A$1:$I$89,5,0)</f>
        <v>198.74400000000011</v>
      </c>
      <c r="P58" s="13">
        <f t="shared" si="33"/>
        <v>49.468035816012197</v>
      </c>
      <c r="Q58" s="20">
        <f t="shared" si="53"/>
        <v>432.3026290462214</v>
      </c>
      <c r="R58" s="59">
        <f t="shared" si="0"/>
        <v>690.62508452669272</v>
      </c>
      <c r="S58" s="59">
        <f ca="1">AVERAGE(OFFSET($R$3,0,0,'Données projet'!$E$9+1,1))-AVERAGE(OFFSET($H$3,0,0,'Données projet'!$E$9+1,1))</f>
        <v>465.40148250851843</v>
      </c>
      <c r="T58" s="59">
        <f t="shared" si="34"/>
        <v>290.8428650572356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1.740396389757277</v>
      </c>
      <c r="AB58" s="21">
        <f>EXP(-LN(2)/2)*AB57+(1-EXP(-LN(2)/2))/(LN(2)/2)*V58*Y58*VLOOKUP('Données projet'!$B$9,Paramètres!$A$1:$I$89,3,0)*0.475*44/12</f>
        <v>1.1974442666279493E-3</v>
      </c>
      <c r="AC58" s="22">
        <f t="shared" si="3"/>
        <v>1.741593834023905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210.97440000000012</v>
      </c>
      <c r="AK58" s="13">
        <f t="shared" si="35"/>
        <v>52.148459211324756</v>
      </c>
      <c r="AL58" s="20">
        <f t="shared" si="4"/>
        <v>458.27231312639077</v>
      </c>
      <c r="AM58" s="59">
        <f t="shared" si="5"/>
        <v>716.59476860686209</v>
      </c>
      <c r="AN58" s="59">
        <f ca="1">AVERAGE(OFFSET($AM$3,0,0,'Données projet'!$E$10+1,1))-AVERAGE(OFFSET($H$3,0,0,'Données projet'!$E$10+1,1))</f>
        <v>489.34829722967373</v>
      </c>
      <c r="AO58" s="59">
        <f t="shared" si="36"/>
        <v>304.94365539329362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1.8474977060500324</v>
      </c>
      <c r="AW58" s="21">
        <f>EXP(-LN(2)/2)*AW57+(1-EXP(-LN(2)/2))/(LN(2)/2)*AQ58*AT58*VLOOKUP('Données projet'!$B$10,Paramètres!$A$1:$I$89,3,0)*0.475*44/12</f>
        <v>1.271133144574287E-3</v>
      </c>
      <c r="AX58" s="21">
        <f t="shared" si="6"/>
        <v>1.8487688391946067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229.99999999999972</v>
      </c>
      <c r="BE58" s="13">
        <f>BD58*VLOOKUP('Données projet'!$B$11,Paramètres!$A$1:$I$89,3,0)*VLOOKUP('Données projet'!$B$11,Paramètres!$A$1:$I$89,5,0)</f>
        <v>200.92799999999977</v>
      </c>
      <c r="BF58" s="13">
        <f t="shared" si="37"/>
        <v>49.948059057188999</v>
      </c>
      <c r="BG58" s="20">
        <f t="shared" si="7"/>
        <v>436.94246952460372</v>
      </c>
      <c r="BH58" s="59">
        <f t="shared" si="8"/>
        <v>695.26492500507516</v>
      </c>
      <c r="BI58" s="59">
        <f ca="1">AVERAGE(OFFSET($BH$3,0,0,'Données projet'!$E$11+1,1))-AVERAGE(OFFSET($H$3,0,0,'Données projet'!$E$11+1,1))</f>
        <v>360.3011551173708</v>
      </c>
      <c r="BJ58" s="59">
        <f t="shared" si="38"/>
        <v>388.50312617855309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5.6455557086966888</v>
      </c>
      <c r="BR58" s="21">
        <f>EXP(-LN(2)/2)*BR57+(1-EXP(-LN(2)/2))/(LN(2)/2)*BL58*BO58*VLOOKUP('Données projet'!$B$11,Paramètres!$A$1:$I$89,3,0)*0.475*44/12</f>
        <v>2.0399431836652538E-3</v>
      </c>
      <c r="BS58" s="22">
        <f t="shared" si="9"/>
        <v>5.6475956518803541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11.4</v>
      </c>
      <c r="DO58" s="12">
        <f>IF('Données projet'!$A$166&gt;35,DO57+DN58-DW57,IF(A58&lt;'Données projet'!$A$166,$DL$205^A58,IF(A58='Données projet'!$A$166,'Données projet'!$B$166,DO57+DN58-DW57)))</f>
        <v>329.99999999999989</v>
      </c>
      <c r="DP58" s="17">
        <f>DO58*VLOOKUP('Données projet'!$B$14,Paramètres!$A$1:$I$89,3,0)*VLOOKUP('Données projet'!$B$14,Paramètres!$A$1:$I$89,5,0)</f>
        <v>197.33999999999995</v>
      </c>
      <c r="DQ58" s="13">
        <f t="shared" si="43"/>
        <v>49.159125474269977</v>
      </c>
      <c r="DR58" s="20">
        <f t="shared" si="16"/>
        <v>429.31931020102019</v>
      </c>
      <c r="DS58" s="59">
        <f t="shared" si="17"/>
        <v>687.64176568149151</v>
      </c>
      <c r="DT58" s="59">
        <f ca="1">AVERAGE(OFFSET($DS$3,0,0,'Données projet'!$E$14+1,1))-AVERAGE(OFFSET($H$3,0,0,'Données projet'!$E$14+1,1))</f>
        <v>350.88566459278962</v>
      </c>
      <c r="DU58" s="59">
        <f t="shared" si="44"/>
        <v>342.18151800581552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6.4246317759251248</v>
      </c>
      <c r="EC58" s="21">
        <f>EXP(-LN(2)/2)*EC57+(1-EXP(-LN(2)/2))/(LN(2)/2)*DW58*DZ58*VLOOKUP('Données projet'!$B$14,Paramètres!$A$1:$I$89,3,0)*0.475*44/12</f>
        <v>4.096482246092127E-3</v>
      </c>
      <c r="ED58" s="22">
        <f t="shared" si="18"/>
        <v>6.4287282581712173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7.8</v>
      </c>
      <c r="N59" s="13">
        <f>IF('Données projet'!$A$36&gt;35,N58+M59-V58,IF(A59&lt;'Données projet'!$A$36,$K$205^A59,IF(A59='Données projet'!$A$36,'Données projet'!$B$36,N58+M59-V58)))</f>
        <v>203.80000000000013</v>
      </c>
      <c r="O59" s="13">
        <f>N59*VLOOKUP('Données projet'!$B$9,Paramètres!$A$1:$I$89,3,0)*VLOOKUP('Données projet'!$B$9,Paramètres!$A$1:$I$89,5,0)</f>
        <v>206.65320000000014</v>
      </c>
      <c r="P59" s="13">
        <f t="shared" si="33"/>
        <v>51.20354326964263</v>
      </c>
      <c r="Q59" s="20">
        <f t="shared" si="53"/>
        <v>449.10049452796119</v>
      </c>
      <c r="R59" s="59">
        <f t="shared" si="0"/>
        <v>708.03031046658293</v>
      </c>
      <c r="S59" s="59">
        <f ca="1">AVERAGE(OFFSET($R$3,0,0,'Données projet'!$E$9+1,1))-AVERAGE(OFFSET($H$3,0,0,'Données projet'!$E$9+1,1))</f>
        <v>465.40148250851843</v>
      </c>
      <c r="T59" s="59">
        <f t="shared" si="34"/>
        <v>290.8428650572356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1.6928051589558959</v>
      </c>
      <c r="AB59" s="21">
        <f>EXP(-LN(2)/2)*AB58+(1-EXP(-LN(2)/2))/(LN(2)/2)*V59*Y59*VLOOKUP('Données projet'!$B$9,Paramètres!$A$1:$I$89,3,0)*0.475*44/12</f>
        <v>8.4672096102557522E-4</v>
      </c>
      <c r="AC59" s="22">
        <f t="shared" si="3"/>
        <v>1.6936518799169216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219.37032000000011</v>
      </c>
      <c r="AK59" s="13">
        <f t="shared" si="35"/>
        <v>53.978005061764598</v>
      </c>
      <c r="AL59" s="20">
        <f t="shared" si="4"/>
        <v>476.08166614924016</v>
      </c>
      <c r="AM59" s="59">
        <f t="shared" si="5"/>
        <v>735.01148208786185</v>
      </c>
      <c r="AN59" s="59">
        <f ca="1">AVERAGE(OFFSET($AM$3,0,0,'Données projet'!$E$10+1,1))-AVERAGE(OFFSET($H$3,0,0,'Données projet'!$E$10+1,1))</f>
        <v>489.34829722967373</v>
      </c>
      <c r="AO59" s="59">
        <f t="shared" si="36"/>
        <v>304.94365539329362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1.7969777841224124</v>
      </c>
      <c r="AW59" s="21">
        <f>EXP(-LN(2)/2)*AW58+(1-EXP(-LN(2)/2))/(LN(2)/2)*AQ59*AT59*VLOOKUP('Données projet'!$B$10,Paramètres!$A$1:$I$89,3,0)*0.475*44/12</f>
        <v>8.9882686631945847E-4</v>
      </c>
      <c r="AX59" s="21">
        <f t="shared" si="6"/>
        <v>1.7978766109887319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5.6</v>
      </c>
      <c r="BD59" s="12">
        <f>IF('Données projet'!$A$88&gt;35,BD58+BC59-BL58,IF(A59&lt;'Données projet'!$A$88,$BA$205^A59,IF(A59='Données projet'!$A$88,'Données projet'!$B$88,BD58+BC59-BL58)))</f>
        <v>235.59999999999971</v>
      </c>
      <c r="BE59" s="13">
        <f>BD59*VLOOKUP('Données projet'!$B$11,Paramètres!$A$1:$I$89,3,0)*VLOOKUP('Données projet'!$B$11,Paramètres!$A$1:$I$89,5,0)</f>
        <v>205.82015999999976</v>
      </c>
      <c r="BF59" s="13">
        <f t="shared" si="37"/>
        <v>51.021119479753658</v>
      </c>
      <c r="BG59" s="20">
        <f t="shared" si="7"/>
        <v>447.33189509390394</v>
      </c>
      <c r="BH59" s="59">
        <f t="shared" si="8"/>
        <v>706.26171103252568</v>
      </c>
      <c r="BI59" s="59">
        <f ca="1">AVERAGE(OFFSET($BH$3,0,0,'Données projet'!$E$11+1,1))-AVERAGE(OFFSET($H$3,0,0,'Données projet'!$E$11+1,1))</f>
        <v>360.3011551173708</v>
      </c>
      <c r="BJ59" s="59">
        <f t="shared" si="38"/>
        <v>388.50312617855309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5.4911776909555066</v>
      </c>
      <c r="BR59" s="21">
        <f>EXP(-LN(2)/2)*BR58+(1-EXP(-LN(2)/2))/(LN(2)/2)*BL59*BO59*VLOOKUP('Données projet'!$B$11,Paramètres!$A$1:$I$89,3,0)*0.475*44/12</f>
        <v>1.4424576584049758E-3</v>
      </c>
      <c r="BS59" s="22">
        <f t="shared" si="9"/>
        <v>5.4926201486139119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11.4</v>
      </c>
      <c r="DO59" s="12">
        <f>IF('Données projet'!$A$166&gt;35,DO58+DN59-DW58,IF(A59&lt;'Données projet'!$A$166,$DL$205^A59,IF(A59='Données projet'!$A$166,'Données projet'!$B$166,DO58+DN59-DW58)))</f>
        <v>341.39999999999986</v>
      </c>
      <c r="DP59" s="17">
        <f>DO59*VLOOKUP('Données projet'!$B$14,Paramètres!$A$1:$I$89,3,0)*VLOOKUP('Données projet'!$B$14,Paramètres!$A$1:$I$89,5,0)</f>
        <v>204.15719999999996</v>
      </c>
      <c r="DQ59" s="13">
        <f t="shared" si="43"/>
        <v>50.656697660408256</v>
      </c>
      <c r="DR59" s="20">
        <f t="shared" si="16"/>
        <v>443.80087175854425</v>
      </c>
      <c r="DS59" s="59">
        <f t="shared" si="17"/>
        <v>702.73068769716599</v>
      </c>
      <c r="DT59" s="59">
        <f ca="1">AVERAGE(OFFSET($DS$3,0,0,'Données projet'!$E$14+1,1))-AVERAGE(OFFSET($H$3,0,0,'Données projet'!$E$14+1,1))</f>
        <v>350.88566459278962</v>
      </c>
      <c r="DU59" s="59">
        <f t="shared" si="44"/>
        <v>342.18151800581552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6.2489498821557508</v>
      </c>
      <c r="EC59" s="21">
        <f>EXP(-LN(2)/2)*EC58+(1-EXP(-LN(2)/2))/(LN(2)/2)*DW59*DZ59*VLOOKUP('Données projet'!$B$14,Paramètres!$A$1:$I$89,3,0)*0.475*44/12</f>
        <v>2.8966503752220424E-3</v>
      </c>
      <c r="ED59" s="22">
        <f t="shared" si="18"/>
        <v>6.2518465325309727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7.8</v>
      </c>
      <c r="N60" s="13">
        <f>IF('Données projet'!$A$36&gt;35,N59+M60-V59,IF(A60&lt;'Données projet'!$A$36,$K$205^A60,IF(A60='Données projet'!$A$36,'Données projet'!$B$36,N59+M60-V59)))</f>
        <v>211.60000000000014</v>
      </c>
      <c r="O60" s="13">
        <f>N60*VLOOKUP('Données projet'!$B$9,Paramètres!$A$1:$I$89,3,0)*VLOOKUP('Données projet'!$B$9,Paramètres!$A$1:$I$89,5,0)</f>
        <v>214.56240000000017</v>
      </c>
      <c r="P60" s="13">
        <f t="shared" si="33"/>
        <v>52.931334320900255</v>
      </c>
      <c r="Q60" s="20">
        <f t="shared" si="53"/>
        <v>465.88492060890161</v>
      </c>
      <c r="R60" s="59">
        <f t="shared" si="0"/>
        <v>725.41156065957932</v>
      </c>
      <c r="S60" s="59">
        <f ca="1">AVERAGE(OFFSET($R$3,0,0,'Données projet'!$E$9+1,1))-AVERAGE(OFFSET($H$3,0,0,'Données projet'!$E$9+1,1))</f>
        <v>465.40148250851843</v>
      </c>
      <c r="T60" s="59">
        <f t="shared" si="34"/>
        <v>290.8428650572356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1.6465153128634926</v>
      </c>
      <c r="AB60" s="21">
        <f>EXP(-LN(2)/2)*AB59+(1-EXP(-LN(2)/2))/(LN(2)/2)*V60*Y60*VLOOKUP('Données projet'!$B$9,Paramètres!$A$1:$I$89,3,0)*0.475*44/12</f>
        <v>5.9872213331397465E-4</v>
      </c>
      <c r="AC60" s="22">
        <f t="shared" si="3"/>
        <v>1.6471140349968065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227.76624000000012</v>
      </c>
      <c r="AK60" s="13">
        <f t="shared" si="35"/>
        <v>55.799416396900632</v>
      </c>
      <c r="AL60" s="20">
        <f t="shared" si="4"/>
        <v>493.87685155793548</v>
      </c>
      <c r="AM60" s="59">
        <f t="shared" si="5"/>
        <v>753.40349160861319</v>
      </c>
      <c r="AN60" s="59">
        <f ca="1">AVERAGE(OFFSET($AM$3,0,0,'Données projet'!$E$10+1,1))-AVERAGE(OFFSET($H$3,0,0,'Données projet'!$E$10+1,1))</f>
        <v>489.34829722967373</v>
      </c>
      <c r="AO60" s="59">
        <f t="shared" si="36"/>
        <v>304.94365539329362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1.7478393321166303</v>
      </c>
      <c r="AW60" s="21">
        <f>EXP(-LN(2)/2)*AW59+(1-EXP(-LN(2)/2))/(LN(2)/2)*AQ60*AT60*VLOOKUP('Données projet'!$B$10,Paramètres!$A$1:$I$89,3,0)*0.475*44/12</f>
        <v>6.3556657228714352E-4</v>
      </c>
      <c r="AX60" s="21">
        <f t="shared" si="6"/>
        <v>1.7484748986889176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5.6</v>
      </c>
      <c r="BD60" s="12">
        <f>IF('Données projet'!$A$88&gt;35,BD59+BC60-BL59,IF(A60&lt;'Données projet'!$A$88,$BA$205^A60,IF(A60='Données projet'!$A$88,'Données projet'!$B$88,BD59+BC60-BL59)))</f>
        <v>241.1999999999997</v>
      </c>
      <c r="BE60" s="13">
        <f>BD60*VLOOKUP('Données projet'!$B$11,Paramètres!$A$1:$I$89,3,0)*VLOOKUP('Données projet'!$B$11,Paramètres!$A$1:$I$89,5,0)</f>
        <v>210.71231999999978</v>
      </c>
      <c r="BF60" s="13">
        <f t="shared" si="37"/>
        <v>52.09121484923638</v>
      </c>
      <c r="BG60" s="20">
        <f t="shared" si="7"/>
        <v>457.71615652908628</v>
      </c>
      <c r="BH60" s="59">
        <f t="shared" si="8"/>
        <v>717.24279657976399</v>
      </c>
      <c r="BI60" s="59">
        <f ca="1">AVERAGE(OFFSET($BH$3,0,0,'Données projet'!$E$11+1,1))-AVERAGE(OFFSET($H$3,0,0,'Données projet'!$E$11+1,1))</f>
        <v>360.3011551173708</v>
      </c>
      <c r="BJ60" s="59">
        <f t="shared" si="38"/>
        <v>388.50312617855309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5.3410211482278438</v>
      </c>
      <c r="BR60" s="21">
        <f>EXP(-LN(2)/2)*BR59+(1-EXP(-LN(2)/2))/(LN(2)/2)*BL60*BO60*VLOOKUP('Données projet'!$B$11,Paramètres!$A$1:$I$89,3,0)*0.475*44/12</f>
        <v>1.0199715918326269E-3</v>
      </c>
      <c r="BS60" s="22">
        <f t="shared" si="9"/>
        <v>5.342041119819676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11.4</v>
      </c>
      <c r="DO60" s="12">
        <f>IF('Données projet'!$A$166&gt;35,DO59+DN60-DW59,IF(A60&lt;'Données projet'!$A$166,$DL$205^A60,IF(A60='Données projet'!$A$166,'Données projet'!$B$166,DO59+DN60-DW59)))</f>
        <v>352.79999999999984</v>
      </c>
      <c r="DP60" s="17">
        <f>DO60*VLOOKUP('Données projet'!$B$14,Paramètres!$A$1:$I$89,3,0)*VLOOKUP('Données projet'!$B$14,Paramètres!$A$1:$I$89,5,0)</f>
        <v>210.97439999999992</v>
      </c>
      <c r="DQ60" s="13">
        <f t="shared" si="43"/>
        <v>52.148459211324706</v>
      </c>
      <c r="DR60" s="20">
        <f t="shared" si="16"/>
        <v>458.27231312639037</v>
      </c>
      <c r="DS60" s="59">
        <f t="shared" si="17"/>
        <v>717.79895317706814</v>
      </c>
      <c r="DT60" s="59">
        <f ca="1">AVERAGE(OFFSET($DS$3,0,0,'Données projet'!$E$14+1,1))-AVERAGE(OFFSET($H$3,0,0,'Données projet'!$E$14+1,1))</f>
        <v>350.88566459278962</v>
      </c>
      <c r="DU60" s="59">
        <f t="shared" si="44"/>
        <v>342.18151800581552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6.07807201901021</v>
      </c>
      <c r="EC60" s="21">
        <f>EXP(-LN(2)/2)*EC59+(1-EXP(-LN(2)/2))/(LN(2)/2)*DW60*DZ60*VLOOKUP('Données projet'!$B$14,Paramètres!$A$1:$I$89,3,0)*0.475*44/12</f>
        <v>2.0482411230460635E-3</v>
      </c>
      <c r="ED60" s="22">
        <f t="shared" si="18"/>
        <v>6.0801202601332562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7.8</v>
      </c>
      <c r="N61" s="13">
        <f>IF('Données projet'!$A$36&gt;35,N60+M61-V60,IF(A61&lt;'Données projet'!$A$36,$K$205^A61,IF(A61='Données projet'!$A$36,'Données projet'!$B$36,N60+M61-V60)))</f>
        <v>219.40000000000015</v>
      </c>
      <c r="O61" s="13">
        <f>N61*VLOOKUP('Données projet'!$B$9,Paramètres!$A$1:$I$89,3,0)*VLOOKUP('Données projet'!$B$9,Paramètres!$A$1:$I$89,5,0)</f>
        <v>222.47160000000017</v>
      </c>
      <c r="P61" s="13">
        <f t="shared" si="33"/>
        <v>54.651725986680781</v>
      </c>
      <c r="Q61" s="20">
        <f t="shared" si="53"/>
        <v>482.65645942680254</v>
      </c>
      <c r="R61" s="59">
        <f t="shared" si="0"/>
        <v>742.76957002549102</v>
      </c>
      <c r="S61" s="59">
        <f ca="1">AVERAGE(OFFSET($R$3,0,0,'Données projet'!$E$9+1,1))-AVERAGE(OFFSET($H$3,0,0,'Données projet'!$E$9+1,1))</f>
        <v>465.40148250851843</v>
      </c>
      <c r="T61" s="59">
        <f t="shared" si="34"/>
        <v>290.8428650572356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1.6014912650467632</v>
      </c>
      <c r="AB61" s="21">
        <f>EXP(-LN(2)/2)*AB60+(1-EXP(-LN(2)/2))/(LN(2)/2)*V61*Y61*VLOOKUP('Données projet'!$B$9,Paramètres!$A$1:$I$89,3,0)*0.475*44/12</f>
        <v>4.2336048051278761E-4</v>
      </c>
      <c r="AC61" s="22">
        <f t="shared" si="3"/>
        <v>1.601914625527276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236.16216000000014</v>
      </c>
      <c r="AK61" s="13">
        <f t="shared" si="35"/>
        <v>57.613027411175402</v>
      </c>
      <c r="AL61" s="20">
        <f t="shared" si="4"/>
        <v>511.65845140779737</v>
      </c>
      <c r="AM61" s="59">
        <f t="shared" si="5"/>
        <v>771.77156200648574</v>
      </c>
      <c r="AN61" s="59">
        <f ca="1">AVERAGE(OFFSET($AM$3,0,0,'Données projet'!$E$10+1,1))-AVERAGE(OFFSET($H$3,0,0,'Données projet'!$E$10+1,1))</f>
        <v>489.34829722967373</v>
      </c>
      <c r="AO61" s="59">
        <f t="shared" si="36"/>
        <v>304.94365539329362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1.7000445736650254</v>
      </c>
      <c r="AW61" s="21">
        <f>EXP(-LN(2)/2)*AW60+(1-EXP(-LN(2)/2))/(LN(2)/2)*AQ61*AT61*VLOOKUP('Données projet'!$B$10,Paramètres!$A$1:$I$89,3,0)*0.475*44/12</f>
        <v>4.4941343315972924E-4</v>
      </c>
      <c r="AX61" s="21">
        <f t="shared" si="6"/>
        <v>1.700493987098185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5.6</v>
      </c>
      <c r="BD61" s="12">
        <f>IF('Données projet'!$A$88&gt;35,BD60+BC61-BL60,IF(A61&lt;'Données projet'!$A$88,$BA$205^A61,IF(A61='Données projet'!$A$88,'Données projet'!$B$88,BD60+BC61-BL60)))</f>
        <v>246.7999999999997</v>
      </c>
      <c r="BE61" s="13">
        <f>BD61*VLOOKUP('Données projet'!$B$11,Paramètres!$A$1:$I$89,3,0)*VLOOKUP('Données projet'!$B$11,Paramètres!$A$1:$I$89,5,0)</f>
        <v>215.6044799999998</v>
      </c>
      <c r="BF61" s="13">
        <f t="shared" si="37"/>
        <v>53.158421929211848</v>
      </c>
      <c r="BG61" s="20">
        <f t="shared" si="7"/>
        <v>468.09538752671023</v>
      </c>
      <c r="BH61" s="59">
        <f t="shared" si="8"/>
        <v>728.20849812539859</v>
      </c>
      <c r="BI61" s="59">
        <f ca="1">AVERAGE(OFFSET($BH$3,0,0,'Données projet'!$E$11+1,1))-AVERAGE(OFFSET($H$3,0,0,'Données projet'!$E$11+1,1))</f>
        <v>360.3011551173708</v>
      </c>
      <c r="BJ61" s="59">
        <f t="shared" si="38"/>
        <v>388.50312617855309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5.1949706440574586</v>
      </c>
      <c r="BR61" s="21">
        <f>EXP(-LN(2)/2)*BR60+(1-EXP(-LN(2)/2))/(LN(2)/2)*BL61*BO61*VLOOKUP('Données projet'!$B$11,Paramètres!$A$1:$I$89,3,0)*0.475*44/12</f>
        <v>7.212288292024879E-4</v>
      </c>
      <c r="BS61" s="22">
        <f t="shared" si="9"/>
        <v>5.1956918728866608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11.4</v>
      </c>
      <c r="DO61" s="12">
        <f>IF('Données projet'!$A$166&gt;35,DO60+DN61-DW60,IF(A61&lt;'Données projet'!$A$166,$DL$205^A61,IF(A61='Données projet'!$A$166,'Données projet'!$B$166,DO60+DN61-DW60)))</f>
        <v>364.19999999999982</v>
      </c>
      <c r="DP61" s="17">
        <f>DO61*VLOOKUP('Données projet'!$B$14,Paramètres!$A$1:$I$89,3,0)*VLOOKUP('Données projet'!$B$14,Paramètres!$A$1:$I$89,5,0)</f>
        <v>217.7915999999999</v>
      </c>
      <c r="DQ61" s="13">
        <f t="shared" si="43"/>
        <v>53.634619420976641</v>
      </c>
      <c r="DR61" s="20">
        <f t="shared" si="16"/>
        <v>472.73399882486751</v>
      </c>
      <c r="DS61" s="59">
        <f t="shared" si="17"/>
        <v>732.84710942355593</v>
      </c>
      <c r="DT61" s="59">
        <f ca="1">AVERAGE(OFFSET($DS$3,0,0,'Données projet'!$E$14+1,1))-AVERAGE(OFFSET($H$3,0,0,'Données projet'!$E$14+1,1))</f>
        <v>350.88566459278962</v>
      </c>
      <c r="DU61" s="59">
        <f t="shared" si="44"/>
        <v>342.18151800581552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5.9118668200184601</v>
      </c>
      <c r="EC61" s="21">
        <f>EXP(-LN(2)/2)*EC60+(1-EXP(-LN(2)/2))/(LN(2)/2)*DW61*DZ61*VLOOKUP('Données projet'!$B$14,Paramètres!$A$1:$I$89,3,0)*0.475*44/12</f>
        <v>1.4483251876110212E-3</v>
      </c>
      <c r="ED61" s="22">
        <f t="shared" si="18"/>
        <v>5.913315145206071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7.8</v>
      </c>
      <c r="N62" s="13">
        <f>IF('Données projet'!$A$36&gt;35,N61+M62-V61,IF(A62&lt;'Données projet'!$A$36,$K$205^A62,IF(A62='Données projet'!$A$36,'Données projet'!$B$36,N61+M62-V61)))</f>
        <v>227.20000000000016</v>
      </c>
      <c r="O62" s="13">
        <f>N62*VLOOKUP('Données projet'!$B$9,Paramètres!$A$1:$I$89,3,0)*VLOOKUP('Données projet'!$B$9,Paramètres!$A$1:$I$89,5,0)</f>
        <v>230.38080000000019</v>
      </c>
      <c r="P62" s="13">
        <f t="shared" si="33"/>
        <v>56.365011465140029</v>
      </c>
      <c r="Q62" s="20">
        <f t="shared" si="53"/>
        <v>499.41562163511918</v>
      </c>
      <c r="R62" s="59">
        <f t="shared" si="0"/>
        <v>760.10502882896196</v>
      </c>
      <c r="S62" s="59">
        <f ca="1">AVERAGE(OFFSET($R$3,0,0,'Données projet'!$E$9+1,1))-AVERAGE(OFFSET($H$3,0,0,'Données projet'!$E$9+1,1))</f>
        <v>465.40148250851843</v>
      </c>
      <c r="T62" s="59">
        <f t="shared" si="34"/>
        <v>290.8428650572356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1.557698402185294</v>
      </c>
      <c r="AB62" s="21">
        <f>EXP(-LN(2)/2)*AB61+(1-EXP(-LN(2)/2))/(LN(2)/2)*V62*Y62*VLOOKUP('Données projet'!$B$9,Paramètres!$A$1:$I$89,3,0)*0.475*44/12</f>
        <v>2.9936106665698733E-4</v>
      </c>
      <c r="AC62" s="22">
        <f t="shared" si="3"/>
        <v>1.5579977632519511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244.55808000000013</v>
      </c>
      <c r="AK62" s="13">
        <f t="shared" si="35"/>
        <v>59.419147189674213</v>
      </c>
      <c r="AL62" s="20">
        <f t="shared" si="4"/>
        <v>529.42700402201615</v>
      </c>
      <c r="AM62" s="59">
        <f t="shared" si="5"/>
        <v>790.11641121585899</v>
      </c>
      <c r="AN62" s="59">
        <f ca="1">AVERAGE(OFFSET($AM$3,0,0,'Données projet'!$E$10+1,1))-AVERAGE(OFFSET($H$3,0,0,'Données projet'!$E$10+1,1))</f>
        <v>489.34829722967373</v>
      </c>
      <c r="AO62" s="59">
        <f t="shared" si="36"/>
        <v>304.94365539329362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1.6535567653966967</v>
      </c>
      <c r="AW62" s="21">
        <f>EXP(-LN(2)/2)*AW61+(1-EXP(-LN(2)/2))/(LN(2)/2)*AQ62*AT62*VLOOKUP('Données projet'!$B$10,Paramètres!$A$1:$I$89,3,0)*0.475*44/12</f>
        <v>3.1778328614357176E-4</v>
      </c>
      <c r="AX62" s="21">
        <f t="shared" si="6"/>
        <v>1.6538745486828403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5.6</v>
      </c>
      <c r="BD62" s="12">
        <f>IF('Données projet'!$A$88&gt;35,BD61+BC62-BL61,IF(A62&lt;'Données projet'!$A$88,$BA$205^A62,IF(A62='Données projet'!$A$88,'Données projet'!$B$88,BD61+BC62-BL61)))</f>
        <v>252.39999999999969</v>
      </c>
      <c r="BE62" s="13">
        <f>BD62*VLOOKUP('Données projet'!$B$11,Paramètres!$A$1:$I$89,3,0)*VLOOKUP('Données projet'!$B$11,Paramètres!$A$1:$I$89,5,0)</f>
        <v>220.49663999999979</v>
      </c>
      <c r="BF62" s="13">
        <f t="shared" si="37"/>
        <v>54.222813800824866</v>
      </c>
      <c r="BG62" s="20">
        <f t="shared" si="7"/>
        <v>478.46971536976963</v>
      </c>
      <c r="BH62" s="59">
        <f t="shared" si="8"/>
        <v>739.15912256361241</v>
      </c>
      <c r="BI62" s="59">
        <f ca="1">AVERAGE(OFFSET($BH$3,0,0,'Données projet'!$E$11+1,1))-AVERAGE(OFFSET($H$3,0,0,'Données projet'!$E$11+1,1))</f>
        <v>360.3011551173708</v>
      </c>
      <c r="BJ62" s="59">
        <f t="shared" si="38"/>
        <v>388.50312617855309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5.052913898604074</v>
      </c>
      <c r="BR62" s="21">
        <f>EXP(-LN(2)/2)*BR61+(1-EXP(-LN(2)/2))/(LN(2)/2)*BL62*BO62*VLOOKUP('Données projet'!$B$11,Paramètres!$A$1:$I$89,3,0)*0.475*44/12</f>
        <v>5.0998579591631345E-4</v>
      </c>
      <c r="BS62" s="22">
        <f t="shared" si="9"/>
        <v>5.0534238843999901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11.4</v>
      </c>
      <c r="DO62" s="12">
        <f>IF('Données projet'!$A$166&gt;35,DO61+DN62-DW61,IF(A62&lt;'Données projet'!$A$166,$DL$205^A62,IF(A62='Données projet'!$A$166,'Données projet'!$B$166,DO61+DN62-DW61)))</f>
        <v>375.5999999999998</v>
      </c>
      <c r="DP62" s="17">
        <f>DO62*VLOOKUP('Données projet'!$B$14,Paramètres!$A$1:$I$89,3,0)*VLOOKUP('Données projet'!$B$14,Paramètres!$A$1:$I$89,5,0)</f>
        <v>224.60879999999992</v>
      </c>
      <c r="DQ62" s="13">
        <f t="shared" si="43"/>
        <v>55.11537373670501</v>
      </c>
      <c r="DR62" s="20">
        <f t="shared" si="16"/>
        <v>487.1862692580944</v>
      </c>
      <c r="DS62" s="59">
        <f t="shared" si="17"/>
        <v>747.87567645193712</v>
      </c>
      <c r="DT62" s="59">
        <f ca="1">AVERAGE(OFFSET($DS$3,0,0,'Données projet'!$E$14+1,1))-AVERAGE(OFFSET($H$3,0,0,'Données projet'!$E$14+1,1))</f>
        <v>350.88566459278962</v>
      </c>
      <c r="DU62" s="59">
        <f t="shared" si="44"/>
        <v>342.18151800581552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5.7502065109334906</v>
      </c>
      <c r="EC62" s="21">
        <f>EXP(-LN(2)/2)*EC61+(1-EXP(-LN(2)/2))/(LN(2)/2)*DW62*DZ62*VLOOKUP('Données projet'!$B$14,Paramètres!$A$1:$I$89,3,0)*0.475*44/12</f>
        <v>1.0241205615230317E-3</v>
      </c>
      <c r="ED62" s="22">
        <f t="shared" si="18"/>
        <v>5.7512306314950132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235</v>
      </c>
      <c r="L63" s="12">
        <f>VLOOKUP(A63,'Données projet'!$A$35:$I$55,9,0)</f>
        <v>7.8</v>
      </c>
      <c r="M63" s="12">
        <f t="array" ref="M63">INDEX(L:L,MIN(IF(ISNUMBER(L63:L259),ROW(L63:L259),"")))</f>
        <v>7.8</v>
      </c>
      <c r="N63" s="13">
        <f>IF('Données projet'!$A$36&gt;35,N62+M63-V62,IF(A63&lt;'Données projet'!$A$36,$K$205^A63,IF(A63='Données projet'!$A$36,'Données projet'!$B$36,N62+M63-V62)))</f>
        <v>235.00000000000017</v>
      </c>
      <c r="O63" s="13">
        <f>N63*VLOOKUP('Données projet'!$B$9,Paramètres!$A$1:$I$89,3,0)*VLOOKUP('Données projet'!$B$9,Paramètres!$A$1:$I$89,5,0)</f>
        <v>238.29000000000019</v>
      </c>
      <c r="P63" s="13">
        <f t="shared" si="33"/>
        <v>58.071462681001563</v>
      </c>
      <c r="Q63" s="20">
        <f t="shared" si="53"/>
        <v>516.16288083607799</v>
      </c>
      <c r="R63" s="59">
        <f t="shared" si="0"/>
        <v>777.41858716755542</v>
      </c>
      <c r="S63" s="59">
        <f ca="1">AVERAGE(OFFSET($R$3,0,0,'Données projet'!$E$9+1,1))-AVERAGE(OFFSET($H$3,0,0,'Données projet'!$E$9+1,1))</f>
        <v>465.40148250851843</v>
      </c>
      <c r="T63" s="59">
        <f t="shared" si="34"/>
        <v>290.8428650572356</v>
      </c>
      <c r="U63" s="15">
        <f>IF(ISNA(VLOOKUP(A63,'Données projet'!$A$35:$I$55,3,0)),0,VLOOKUP(A63,'Données projet'!$A$35:$I$55,3,0))</f>
        <v>4</v>
      </c>
      <c r="V63" s="15">
        <f>IF(ISNA(VLOOKUP(A63,'Données projet'!$A$35:$I$55,4,0)),0,VLOOKUP(A63,'Données projet'!$A$35:$I$55,4,0))</f>
        <v>42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1.5151030574617383</v>
      </c>
      <c r="AB63" s="21">
        <f>EXP(-LN(2)/2)*AB62+(1-EXP(-LN(2)/2))/(LN(2)/2)*V63*Y63*VLOOKUP('Données projet'!$B$9,Paramètres!$A$1:$I$89,3,0)*0.475*44/12</f>
        <v>2.1168024025639381E-4</v>
      </c>
      <c r="AC63" s="22">
        <f t="shared" si="3"/>
        <v>1.5153147377019947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252.95400000000015</v>
      </c>
      <c r="AK63" s="13">
        <f t="shared" si="35"/>
        <v>61.218062391350081</v>
      </c>
      <c r="AL63" s="20">
        <f t="shared" si="4"/>
        <v>547.18300866493496</v>
      </c>
      <c r="AM63" s="59">
        <f t="shared" si="5"/>
        <v>808.4387149964125</v>
      </c>
      <c r="AN63" s="59">
        <f ca="1">AVERAGE(OFFSET($AM$3,0,0,'Données projet'!$E$10+1,1))-AVERAGE(OFFSET($H$3,0,0,'Données projet'!$E$10+1,1))</f>
        <v>489.34829722967373</v>
      </c>
      <c r="AO63" s="59">
        <f t="shared" si="36"/>
        <v>304.94365539329362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1.6083401686901531</v>
      </c>
      <c r="AW63" s="21">
        <f>EXP(-LN(2)/2)*AW62+(1-EXP(-LN(2)/2))/(LN(2)/2)*AQ63*AT63*VLOOKUP('Données projet'!$B$10,Paramètres!$A$1:$I$89,3,0)*0.475*44/12</f>
        <v>2.2470671657986462E-4</v>
      </c>
      <c r="AX63" s="21">
        <f t="shared" si="6"/>
        <v>1.608564875406733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258</v>
      </c>
      <c r="BB63" s="12">
        <f>VLOOKUP(A63,'Données projet'!$A$87:$I$107,9,0)</f>
        <v>5.6</v>
      </c>
      <c r="BC63" s="12">
        <f t="array" ref="BC63">INDEX(BB:BB,MIN(IF(ISNUMBER(BB63:BB259),ROW(BB63:BB259),"")))</f>
        <v>5.6</v>
      </c>
      <c r="BD63" s="12">
        <f>IF('Données projet'!$A$88&gt;35,BD62+BC63-BL62,IF(A63&lt;'Données projet'!$A$88,$BA$205^A63,IF(A63='Données projet'!$A$88,'Données projet'!$B$88,BD62+BC63-BL62)))</f>
        <v>257.99999999999972</v>
      </c>
      <c r="BE63" s="13">
        <f>BD63*VLOOKUP('Données projet'!$B$11,Paramètres!$A$1:$I$89,3,0)*VLOOKUP('Données projet'!$B$11,Paramètres!$A$1:$I$89,5,0)</f>
        <v>225.38879999999978</v>
      </c>
      <c r="BF63" s="13">
        <f t="shared" si="37"/>
        <v>55.284460117161501</v>
      </c>
      <c r="BG63" s="20">
        <f t="shared" si="7"/>
        <v>488.8392613707224</v>
      </c>
      <c r="BH63" s="59">
        <f t="shared" si="8"/>
        <v>750.09496770219994</v>
      </c>
      <c r="BI63" s="59">
        <f ca="1">AVERAGE(OFFSET($BH$3,0,0,'Données projet'!$E$11+1,1))-AVERAGE(OFFSET($H$3,0,0,'Données projet'!$E$11+1,1))</f>
        <v>360.3011551173708</v>
      </c>
      <c r="BJ63" s="59">
        <f t="shared" si="38"/>
        <v>388.50312617855309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25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4.9147417023255526</v>
      </c>
      <c r="BR63" s="21">
        <f>EXP(-LN(2)/2)*BR62+(1-EXP(-LN(2)/2))/(LN(2)/2)*BL63*BO63*VLOOKUP('Données projet'!$B$11,Paramètres!$A$1:$I$89,3,0)*0.475*44/12</f>
        <v>3.6061441460124395E-4</v>
      </c>
      <c r="BS63" s="22">
        <f t="shared" si="9"/>
        <v>4.9151023167401542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387</v>
      </c>
      <c r="DM63" s="12">
        <f>VLOOKUP(A63,'Données projet'!$A$165:$I$185,9,0)</f>
        <v>11.4</v>
      </c>
      <c r="DN63" s="12">
        <f t="array" ref="DN63">INDEX(DM:DM,MIN(IF(ISNUMBER(DM63:DM259),ROW(DM63:DM259),"")))</f>
        <v>11.4</v>
      </c>
      <c r="DO63" s="12">
        <f>IF('Données projet'!$A$166&gt;35,DO62+DN63-DW62,IF(A63&lt;'Données projet'!$A$166,$DL$205^A63,IF(A63='Données projet'!$A$166,'Données projet'!$B$166,DO62+DN63-DW62)))</f>
        <v>386.99999999999977</v>
      </c>
      <c r="DP63" s="17">
        <f>DO63*VLOOKUP('Données projet'!$B$14,Paramètres!$A$1:$I$89,3,0)*VLOOKUP('Données projet'!$B$14,Paramètres!$A$1:$I$89,5,0)</f>
        <v>231.42599999999987</v>
      </c>
      <c r="DQ63" s="13">
        <f t="shared" si="43"/>
        <v>56.590905067453171</v>
      </c>
      <c r="DR63" s="20">
        <f t="shared" si="16"/>
        <v>501.62944299248062</v>
      </c>
      <c r="DS63" s="59">
        <f t="shared" si="17"/>
        <v>762.8851493239581</v>
      </c>
      <c r="DT63" s="59">
        <f ca="1">AVERAGE(OFFSET($DS$3,0,0,'Données projet'!$E$14+1,1))-AVERAGE(OFFSET($H$3,0,0,'Données projet'!$E$14+1,1))</f>
        <v>350.88566459278962</v>
      </c>
      <c r="DU63" s="59">
        <f t="shared" si="44"/>
        <v>342.18151800581552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57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5.5929668115017961</v>
      </c>
      <c r="EC63" s="21">
        <f>EXP(-LN(2)/2)*EC62+(1-EXP(-LN(2)/2))/(LN(2)/2)*DW63*DZ63*VLOOKUP('Données projet'!$B$14,Paramètres!$A$1:$I$89,3,0)*0.475*44/12</f>
        <v>7.241625938055106E-4</v>
      </c>
      <c r="ED63" s="22">
        <f t="shared" si="18"/>
        <v>5.593690974095602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200.00000000000017</v>
      </c>
      <c r="O64" s="13">
        <f>N64*VLOOKUP('Données projet'!$B$9,Paramètres!$A$1:$I$89,3,0)*VLOOKUP('Données projet'!$B$9,Paramètres!$A$1:$I$89,5,0)</f>
        <v>202.80000000000018</v>
      </c>
      <c r="P64" s="13">
        <f t="shared" si="33"/>
        <v>50.359024179354016</v>
      </c>
      <c r="Q64" s="20">
        <f t="shared" si="53"/>
        <v>440.91863377904184</v>
      </c>
      <c r="R64" s="59">
        <f t="shared" si="0"/>
        <v>702.73081522417124</v>
      </c>
      <c r="S64" s="59">
        <f ca="1">AVERAGE(OFFSET($R$3,0,0,'Données projet'!$E$9+1,1))-AVERAGE(OFFSET($H$3,0,0,'Données projet'!$E$9+1,1))</f>
        <v>465.40148250851843</v>
      </c>
      <c r="T64" s="59">
        <f t="shared" si="34"/>
        <v>290.8428650572356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1.4736724846796401</v>
      </c>
      <c r="AB64" s="21">
        <f>EXP(-LN(2)/2)*AB63+(1-EXP(-LN(2)/2))/(LN(2)/2)*V64*Y64*VLOOKUP('Données projet'!$B$9,Paramètres!$A$1:$I$89,3,0)*0.475*44/12</f>
        <v>1.4968053332849366E-4</v>
      </c>
      <c r="AC64" s="22">
        <f t="shared" si="3"/>
        <v>1.4738221652129686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215.28000000000017</v>
      </c>
      <c r="AK64" s="13">
        <f t="shared" si="35"/>
        <v>53.08772574085318</v>
      </c>
      <c r="AL64" s="20">
        <f t="shared" si="4"/>
        <v>467.40712233198627</v>
      </c>
      <c r="AM64" s="59">
        <f t="shared" si="5"/>
        <v>729.21930377711556</v>
      </c>
      <c r="AN64" s="59">
        <f ca="1">AVERAGE(OFFSET($AM$3,0,0,'Données projet'!$E$10+1,1))-AVERAGE(OFFSET($H$3,0,0,'Données projet'!$E$10+1,1))</f>
        <v>489.34829722967373</v>
      </c>
      <c r="AO64" s="59">
        <f t="shared" si="36"/>
        <v>304.94365539329362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1.5643600221983873</v>
      </c>
      <c r="AW64" s="21">
        <f>EXP(-LN(2)/2)*AW63+(1-EXP(-LN(2)/2))/(LN(2)/2)*AQ64*AT64*VLOOKUP('Données projet'!$B$10,Paramètres!$A$1:$I$89,3,0)*0.475*44/12</f>
        <v>1.5889164307178588E-4</v>
      </c>
      <c r="AX64" s="21">
        <f t="shared" si="6"/>
        <v>1.564518913841459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4.0999999999999996</v>
      </c>
      <c r="BD64" s="12">
        <f>IF('Données projet'!$A$88&gt;35,BD63+BC64-BL63,IF(A64&lt;'Données projet'!$A$88,$BA$205^A64,IF(A64='Données projet'!$A$88,'Données projet'!$B$88,BD63+BC64-BL63)))</f>
        <v>237.09999999999974</v>
      </c>
      <c r="BE64" s="13">
        <f>BD64*VLOOKUP('Données projet'!$B$11,Paramètres!$A$1:$I$89,3,0)*VLOOKUP('Données projet'!$B$11,Paramètres!$A$1:$I$89,5,0)</f>
        <v>207.1305599999998</v>
      </c>
      <c r="BF64" s="13">
        <f t="shared" si="37"/>
        <v>51.308039656038417</v>
      </c>
      <c r="BG64" s="20">
        <f t="shared" si="7"/>
        <v>450.11389440093325</v>
      </c>
      <c r="BH64" s="59">
        <f t="shared" si="8"/>
        <v>711.92607584606253</v>
      </c>
      <c r="BI64" s="59">
        <f ca="1">AVERAGE(OFFSET($BH$3,0,0,'Données projet'!$E$11+1,1))-AVERAGE(OFFSET($H$3,0,0,'Données projet'!$E$11+1,1))</f>
        <v>360.3011551173708</v>
      </c>
      <c r="BJ64" s="59">
        <f t="shared" si="38"/>
        <v>388.50312617855309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4.7803478320204267</v>
      </c>
      <c r="BR64" s="21">
        <f>EXP(-LN(2)/2)*BR63+(1-EXP(-LN(2)/2))/(LN(2)/2)*BL64*BO64*VLOOKUP('Données projet'!$B$11,Paramètres!$A$1:$I$89,3,0)*0.475*44/12</f>
        <v>2.5499289795815673E-4</v>
      </c>
      <c r="BS64" s="22">
        <f t="shared" si="9"/>
        <v>4.7806028249183852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9.1999999999999993</v>
      </c>
      <c r="DO64" s="12">
        <f>IF('Données projet'!$A$166&gt;35,DO63+DN64-DW63,IF(A64&lt;'Données projet'!$A$166,$DL$205^A64,IF(A64='Données projet'!$A$166,'Données projet'!$B$166,DO63+DN64-DW63)))</f>
        <v>339.19999999999976</v>
      </c>
      <c r="DP64" s="17">
        <f>DO64*VLOOKUP('Données projet'!$B$14,Paramètres!$A$1:$I$89,3,0)*VLOOKUP('Données projet'!$B$14,Paramètres!$A$1:$I$89,5,0)</f>
        <v>202.84159999999989</v>
      </c>
      <c r="DQ64" s="13">
        <f t="shared" si="43"/>
        <v>50.368151708087709</v>
      </c>
      <c r="DR64" s="20">
        <f t="shared" si="16"/>
        <v>441.00698422491922</v>
      </c>
      <c r="DS64" s="59">
        <f t="shared" si="17"/>
        <v>702.81916567004851</v>
      </c>
      <c r="DT64" s="59">
        <f ca="1">AVERAGE(OFFSET($DS$3,0,0,'Données projet'!$E$14+1,1))-AVERAGE(OFFSET($H$3,0,0,'Données projet'!$E$14+1,1))</f>
        <v>350.88566459278962</v>
      </c>
      <c r="DU64" s="59">
        <f t="shared" si="44"/>
        <v>342.18151800581552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5.4400268399199376</v>
      </c>
      <c r="EC64" s="21">
        <f>EXP(-LN(2)/2)*EC63+(1-EXP(-LN(2)/2))/(LN(2)/2)*DW64*DZ64*VLOOKUP('Données projet'!$B$14,Paramètres!$A$1:$I$89,3,0)*0.475*44/12</f>
        <v>5.1206028076151587E-4</v>
      </c>
      <c r="ED64" s="22">
        <f t="shared" si="18"/>
        <v>5.440538900200699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207.00000000000017</v>
      </c>
      <c r="O65" s="13">
        <f>N65*VLOOKUP('Données projet'!$B$9,Paramètres!$A$1:$I$89,3,0)*VLOOKUP('Données projet'!$B$9,Paramètres!$A$1:$I$89,5,0)</f>
        <v>209.8980000000002</v>
      </c>
      <c r="P65" s="13">
        <f t="shared" si="33"/>
        <v>51.913295501810261</v>
      </c>
      <c r="Q65" s="20">
        <f t="shared" si="53"/>
        <v>455.9880063323198</v>
      </c>
      <c r="R65" s="59">
        <f t="shared" si="0"/>
        <v>718.34700929197106</v>
      </c>
      <c r="S65" s="59">
        <f ca="1">AVERAGE(OFFSET($R$3,0,0,'Données projet'!$E$9+1,1))-AVERAGE(OFFSET($H$3,0,0,'Données projet'!$E$9+1,1))</f>
        <v>465.40148250851843</v>
      </c>
      <c r="T65" s="59">
        <f t="shared" si="34"/>
        <v>290.8428650572356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1.4333748330890075</v>
      </c>
      <c r="AB65" s="21">
        <f>EXP(-LN(2)/2)*AB64+(1-EXP(-LN(2)/2))/(LN(2)/2)*V65*Y65*VLOOKUP('Données projet'!$B$9,Paramètres!$A$1:$I$89,3,0)*0.475*44/12</f>
        <v>1.058401201281969E-4</v>
      </c>
      <c r="AC65" s="22">
        <f t="shared" si="3"/>
        <v>1.4334806732091356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222.81480000000016</v>
      </c>
      <c r="AK65" s="13">
        <f t="shared" si="35"/>
        <v>54.726215188137957</v>
      </c>
      <c r="AL65" s="20">
        <f t="shared" si="4"/>
        <v>483.3839347860071</v>
      </c>
      <c r="AM65" s="59">
        <f t="shared" si="5"/>
        <v>745.74293774565842</v>
      </c>
      <c r="AN65" s="59">
        <f ca="1">AVERAGE(OFFSET($AM$3,0,0,'Données projet'!$E$10+1,1))-AVERAGE(OFFSET($H$3,0,0,'Données projet'!$E$10+1,1))</f>
        <v>489.34829722967373</v>
      </c>
      <c r="AO65" s="59">
        <f t="shared" si="36"/>
        <v>304.94365539329362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1.5215825151252542</v>
      </c>
      <c r="AW65" s="21">
        <f>EXP(-LN(2)/2)*AW64+(1-EXP(-LN(2)/2))/(LN(2)/2)*AQ65*AT65*VLOOKUP('Données projet'!$B$10,Paramètres!$A$1:$I$89,3,0)*0.475*44/12</f>
        <v>1.1235335828993231E-4</v>
      </c>
      <c r="AX65" s="21">
        <f t="shared" si="6"/>
        <v>1.5216948684835441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4.0999999999999996</v>
      </c>
      <c r="BD65" s="12">
        <f>IF('Données projet'!$A$88&gt;35,BD64+BC65-BL64,IF(A65&lt;'Données projet'!$A$88,$BA$205^A65,IF(A65='Données projet'!$A$88,'Données projet'!$B$88,BD64+BC65-BL64)))</f>
        <v>241.19999999999973</v>
      </c>
      <c r="BE65" s="13">
        <f>BD65*VLOOKUP('Données projet'!$B$11,Paramètres!$A$1:$I$89,3,0)*VLOOKUP('Données projet'!$B$11,Paramètres!$A$1:$I$89,5,0)</f>
        <v>210.71231999999978</v>
      </c>
      <c r="BF65" s="13">
        <f t="shared" si="37"/>
        <v>52.09121484923638</v>
      </c>
      <c r="BG65" s="20">
        <f t="shared" si="7"/>
        <v>457.71615652908628</v>
      </c>
      <c r="BH65" s="59">
        <f t="shared" si="8"/>
        <v>720.07515948873765</v>
      </c>
      <c r="BI65" s="59">
        <f ca="1">AVERAGE(OFFSET($BH$3,0,0,'Données projet'!$E$11+1,1))-AVERAGE(OFFSET($H$3,0,0,'Données projet'!$E$11+1,1))</f>
        <v>360.3011551173708</v>
      </c>
      <c r="BJ65" s="59">
        <f t="shared" si="38"/>
        <v>388.50312617855309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4.6496289691662609</v>
      </c>
      <c r="BR65" s="21">
        <f>EXP(-LN(2)/2)*BR64+(1-EXP(-LN(2)/2))/(LN(2)/2)*BL65*BO65*VLOOKUP('Données projet'!$B$11,Paramètres!$A$1:$I$89,3,0)*0.475*44/12</f>
        <v>1.8030720730062197E-4</v>
      </c>
      <c r="BS65" s="22">
        <f t="shared" si="9"/>
        <v>4.6498092763735617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9.1999999999999993</v>
      </c>
      <c r="DO65" s="12">
        <f>IF('Données projet'!$A$166&gt;35,DO64+DN65-DW64,IF(A65&lt;'Données projet'!$A$166,$DL$205^A65,IF(A65='Données projet'!$A$166,'Données projet'!$B$166,DO64+DN65-DW64)))</f>
        <v>348.39999999999975</v>
      </c>
      <c r="DP65" s="17">
        <f>DO65*VLOOKUP('Données projet'!$B$14,Paramètres!$A$1:$I$89,3,0)*VLOOKUP('Données projet'!$B$14,Paramètres!$A$1:$I$89,5,0)</f>
        <v>208.34319999999988</v>
      </c>
      <c r="DQ65" s="13">
        <f t="shared" si="43"/>
        <v>51.573366479945882</v>
      </c>
      <c r="DR65" s="20">
        <f t="shared" si="16"/>
        <v>452.68801995257218</v>
      </c>
      <c r="DS65" s="59">
        <f t="shared" si="17"/>
        <v>715.0470229122235</v>
      </c>
      <c r="DT65" s="59">
        <f ca="1">AVERAGE(OFFSET($DS$3,0,0,'Données projet'!$E$14+1,1))-AVERAGE(OFFSET($H$3,0,0,'Données projet'!$E$14+1,1))</f>
        <v>350.88566459278962</v>
      </c>
      <c r="DU65" s="59">
        <f t="shared" si="44"/>
        <v>342.18151800581552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5.2912690199037486</v>
      </c>
      <c r="EC65" s="21">
        <f>EXP(-LN(2)/2)*EC64+(1-EXP(-LN(2)/2))/(LN(2)/2)*DW65*DZ65*VLOOKUP('Données projet'!$B$14,Paramètres!$A$1:$I$89,3,0)*0.475*44/12</f>
        <v>3.620812969027553E-4</v>
      </c>
      <c r="ED65" s="22">
        <f t="shared" si="18"/>
        <v>5.2916311012006512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214.00000000000017</v>
      </c>
      <c r="O66" s="13">
        <f>N66*VLOOKUP('Données projet'!$B$9,Paramètres!$A$1:$I$89,3,0)*VLOOKUP('Données projet'!$B$9,Paramètres!$A$1:$I$89,5,0)</f>
        <v>216.99600000000018</v>
      </c>
      <c r="P66" s="13">
        <f t="shared" si="33"/>
        <v>53.461459647386967</v>
      </c>
      <c r="Q66" s="20">
        <f t="shared" si="53"/>
        <v>471.0467422191993</v>
      </c>
      <c r="R66" s="59">
        <f t="shared" si="0"/>
        <v>733.94308056260547</v>
      </c>
      <c r="S66" s="59">
        <f ca="1">AVERAGE(OFFSET($R$3,0,0,'Données projet'!$E$9+1,1))-AVERAGE(OFFSET($H$3,0,0,'Données projet'!$E$9+1,1))</f>
        <v>465.40148250851843</v>
      </c>
      <c r="T66" s="59">
        <f t="shared" si="34"/>
        <v>290.8428650572356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1.3941791229002822</v>
      </c>
      <c r="AB66" s="21">
        <f>EXP(-LN(2)/2)*AB65+(1-EXP(-LN(2)/2))/(LN(2)/2)*V66*Y66*VLOOKUP('Données projet'!$B$9,Paramètres!$A$1:$I$89,3,0)*0.475*44/12</f>
        <v>7.4840266664246831E-5</v>
      </c>
      <c r="AC66" s="22">
        <f t="shared" si="3"/>
        <v>1.3942539631669464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230.34960000000018</v>
      </c>
      <c r="AK66" s="13">
        <f t="shared" si="35"/>
        <v>56.35826654142636</v>
      </c>
      <c r="AL66" s="20">
        <f t="shared" si="4"/>
        <v>499.34953422631787</v>
      </c>
      <c r="AM66" s="59">
        <f t="shared" si="5"/>
        <v>762.24587256972404</v>
      </c>
      <c r="AN66" s="59">
        <f ca="1">AVERAGE(OFFSET($AM$3,0,0,'Données projet'!$E$10+1,1))-AVERAGE(OFFSET($H$3,0,0,'Données projet'!$E$10+1,1))</f>
        <v>489.34829722967373</v>
      </c>
      <c r="AO66" s="59">
        <f t="shared" si="36"/>
        <v>304.94365539329362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1.4799747612326073</v>
      </c>
      <c r="AW66" s="21">
        <f>EXP(-LN(2)/2)*AW65+(1-EXP(-LN(2)/2))/(LN(2)/2)*AQ66*AT66*VLOOKUP('Données projet'!$B$10,Paramètres!$A$1:$I$89,3,0)*0.475*44/12</f>
        <v>7.944582153589294E-5</v>
      </c>
      <c r="AX66" s="21">
        <f t="shared" si="6"/>
        <v>1.4800542070541431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4.0999999999999996</v>
      </c>
      <c r="BD66" s="12">
        <f>IF('Données projet'!$A$88&gt;35,BD65+BC66-BL65,IF(A66&lt;'Données projet'!$A$88,$BA$205^A66,IF(A66='Données projet'!$A$88,'Données projet'!$B$88,BD65+BC66-BL65)))</f>
        <v>245.29999999999973</v>
      </c>
      <c r="BE66" s="13">
        <f>BD66*VLOOKUP('Données projet'!$B$11,Paramètres!$A$1:$I$89,3,0)*VLOOKUP('Données projet'!$B$11,Paramètres!$A$1:$I$89,5,0)</f>
        <v>214.29407999999978</v>
      </c>
      <c r="BF66" s="13">
        <f t="shared" si="37"/>
        <v>52.872841899731213</v>
      </c>
      <c r="BG66" s="20">
        <f t="shared" si="7"/>
        <v>465.31572230869818</v>
      </c>
      <c r="BH66" s="59">
        <f t="shared" si="8"/>
        <v>728.21206065210436</v>
      </c>
      <c r="BI66" s="59">
        <f ca="1">AVERAGE(OFFSET($BH$3,0,0,'Données projet'!$E$11+1,1))-AVERAGE(OFFSET($H$3,0,0,'Données projet'!$E$11+1,1))</f>
        <v>360.3011551173708</v>
      </c>
      <c r="BJ66" s="59">
        <f t="shared" si="38"/>
        <v>388.50312617855309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4.5224846204910492</v>
      </c>
      <c r="BR66" s="21">
        <f>EXP(-LN(2)/2)*BR65+(1-EXP(-LN(2)/2))/(LN(2)/2)*BL66*BO66*VLOOKUP('Données projet'!$B$11,Paramètres!$A$1:$I$89,3,0)*0.475*44/12</f>
        <v>1.2749644897907836E-4</v>
      </c>
      <c r="BS66" s="22">
        <f t="shared" si="9"/>
        <v>4.522612116940028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9.1999999999999993</v>
      </c>
      <c r="DO66" s="12">
        <f>IF('Données projet'!$A$166&gt;35,DO65+DN66-DW65,IF(A66&lt;'Données projet'!$A$166,$DL$205^A66,IF(A66='Données projet'!$A$166,'Données projet'!$B$166,DO65+DN66-DW65)))</f>
        <v>357.59999999999974</v>
      </c>
      <c r="DP66" s="17">
        <f>DO66*VLOOKUP('Données projet'!$B$14,Paramètres!$A$1:$I$89,3,0)*VLOOKUP('Données projet'!$B$14,Paramètres!$A$1:$I$89,5,0)</f>
        <v>213.84479999999988</v>
      </c>
      <c r="DQ66" s="13">
        <f t="shared" si="43"/>
        <v>52.774882006161135</v>
      </c>
      <c r="DR66" s="20">
        <f t="shared" si="16"/>
        <v>464.36261282739719</v>
      </c>
      <c r="DS66" s="59">
        <f t="shared" si="17"/>
        <v>727.25895117080336</v>
      </c>
      <c r="DT66" s="59">
        <f ca="1">AVERAGE(OFFSET($DS$3,0,0,'Données projet'!$E$14+1,1))-AVERAGE(OFFSET($H$3,0,0,'Données projet'!$E$14+1,1))</f>
        <v>350.88566459278962</v>
      </c>
      <c r="DU66" s="59">
        <f t="shared" si="44"/>
        <v>342.18151800581552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5.1465789902987362</v>
      </c>
      <c r="EC66" s="21">
        <f>EXP(-LN(2)/2)*EC65+(1-EXP(-LN(2)/2))/(LN(2)/2)*DW66*DZ66*VLOOKUP('Données projet'!$B$14,Paramètres!$A$1:$I$89,3,0)*0.475*44/12</f>
        <v>2.5603014038075793E-4</v>
      </c>
      <c r="ED66" s="22">
        <f t="shared" si="18"/>
        <v>5.1468350204391173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221.00000000000017</v>
      </c>
      <c r="O67" s="13">
        <f>N67*VLOOKUP('Données projet'!$B$9,Paramètres!$A$1:$I$89,3,0)*VLOOKUP('Données projet'!$B$9,Paramètres!$A$1:$I$89,5,0)</f>
        <v>224.09400000000019</v>
      </c>
      <c r="P67" s="13">
        <f t="shared" si="33"/>
        <v>55.003739293082717</v>
      </c>
      <c r="Q67" s="20">
        <f t="shared" ref="Q67:Q98" si="54">(O67+P67)*0.475*44/12</f>
        <v>486.095229268786</v>
      </c>
      <c r="R67" s="59">
        <f t="shared" ref="R67:R130" si="55">Q67+(I67+J67)*44/12</f>
        <v>749.51958142834076</v>
      </c>
      <c r="S67" s="59">
        <f ca="1">AVERAGE(OFFSET($R$3,0,0,'Données projet'!$E$9+1,1))-AVERAGE(OFFSET($H$3,0,0,'Données projet'!$E$9+1,1))</f>
        <v>465.40148250851843</v>
      </c>
      <c r="T67" s="59">
        <f t="shared" si="34"/>
        <v>290.8428650572356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1.3560552214678805</v>
      </c>
      <c r="AB67" s="21">
        <f>EXP(-LN(2)/2)*AB66+(1-EXP(-LN(2)/2))/(LN(2)/2)*V67*Y67*VLOOKUP('Données projet'!$B$9,Paramètres!$A$1:$I$89,3,0)*0.475*44/12</f>
        <v>5.2920060064098452E-5</v>
      </c>
      <c r="AC67" s="22">
        <f t="shared" si="3"/>
        <v>1.3561081415279446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237.88440000000014</v>
      </c>
      <c r="AK67" s="13">
        <f t="shared" si="35"/>
        <v>57.984114543460585</v>
      </c>
      <c r="AL67" s="20">
        <f t="shared" si="4"/>
        <v>515.30432949652743</v>
      </c>
      <c r="AM67" s="59">
        <f t="shared" si="5"/>
        <v>778.72868165608224</v>
      </c>
      <c r="AN67" s="59">
        <f ca="1">AVERAGE(OFFSET($AM$3,0,0,'Données projet'!$E$10+1,1))-AVERAGE(OFFSET($H$3,0,0,'Données projet'!$E$10+1,1))</f>
        <v>489.34829722967373</v>
      </c>
      <c r="AO67" s="59">
        <f t="shared" si="36"/>
        <v>304.94365539329362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1.4395047735582114</v>
      </c>
      <c r="AW67" s="21">
        <f>EXP(-LN(2)/2)*AW66+(1-EXP(-LN(2)/2))/(LN(2)/2)*AQ67*AT67*VLOOKUP('Données projet'!$B$10,Paramètres!$A$1:$I$89,3,0)*0.475*44/12</f>
        <v>5.6176679144966155E-5</v>
      </c>
      <c r="AX67" s="21">
        <f t="shared" si="6"/>
        <v>1.4395609502373563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4.0999999999999996</v>
      </c>
      <c r="BD67" s="12">
        <f>IF('Données projet'!$A$88&gt;35,BD66+BC67-BL66,IF(A67&lt;'Données projet'!$A$88,$BA$205^A67,IF(A67='Données projet'!$A$88,'Données projet'!$B$88,BD66+BC67-BL66)))</f>
        <v>249.39999999999972</v>
      </c>
      <c r="BE67" s="13">
        <f>BD67*VLOOKUP('Données projet'!$B$11,Paramètres!$A$1:$I$89,3,0)*VLOOKUP('Données projet'!$B$11,Paramètres!$A$1:$I$89,5,0)</f>
        <v>217.87583999999976</v>
      </c>
      <c r="BF67" s="13">
        <f t="shared" si="37"/>
        <v>53.652949670124876</v>
      </c>
      <c r="BG67" s="20">
        <f t="shared" si="7"/>
        <v>472.91264200880033</v>
      </c>
      <c r="BH67" s="59">
        <f t="shared" si="8"/>
        <v>736.33699416835509</v>
      </c>
      <c r="BI67" s="59">
        <f ca="1">AVERAGE(OFFSET($BH$3,0,0,'Données projet'!$E$11+1,1))-AVERAGE(OFFSET($H$3,0,0,'Données projet'!$E$11+1,1))</f>
        <v>360.3011551173708</v>
      </c>
      <c r="BJ67" s="59">
        <f t="shared" si="38"/>
        <v>388.50312617855309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4.3988170407165912</v>
      </c>
      <c r="BR67" s="21">
        <f>EXP(-LN(2)/2)*BR66+(1-EXP(-LN(2)/2))/(LN(2)/2)*BL67*BO67*VLOOKUP('Données projet'!$B$11,Paramètres!$A$1:$I$89,3,0)*0.475*44/12</f>
        <v>9.0153603650310987E-5</v>
      </c>
      <c r="BS67" s="22">
        <f t="shared" si="9"/>
        <v>4.3989071943202411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9.1999999999999993</v>
      </c>
      <c r="DO67" s="12">
        <f>IF('Données projet'!$A$166&gt;35,DO66+DN67-DW66,IF(A67&lt;'Données projet'!$A$166,$DL$205^A67,IF(A67='Données projet'!$A$166,'Données projet'!$B$166,DO66+DN67-DW66)))</f>
        <v>366.79999999999973</v>
      </c>
      <c r="DP67" s="17">
        <f>DO67*VLOOKUP('Données projet'!$B$14,Paramètres!$A$1:$I$89,3,0)*VLOOKUP('Données projet'!$B$14,Paramètres!$A$1:$I$89,5,0)</f>
        <v>219.34639999999987</v>
      </c>
      <c r="DQ67" s="13">
        <f t="shared" si="43"/>
        <v>53.972804400117923</v>
      </c>
      <c r="DR67" s="20">
        <f t="shared" si="16"/>
        <v>476.03094766353843</v>
      </c>
      <c r="DS67" s="59">
        <f t="shared" si="17"/>
        <v>739.45529982309313</v>
      </c>
      <c r="DT67" s="59">
        <f ca="1">AVERAGE(OFFSET($DS$3,0,0,'Données projet'!$E$14+1,1))-AVERAGE(OFFSET($H$3,0,0,'Données projet'!$E$14+1,1))</f>
        <v>350.88566459278962</v>
      </c>
      <c r="DU67" s="59">
        <f t="shared" si="44"/>
        <v>342.18151800581552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5.0058455171621912</v>
      </c>
      <c r="EC67" s="21">
        <f>EXP(-LN(2)/2)*EC66+(1-EXP(-LN(2)/2))/(LN(2)/2)*DW67*DZ67*VLOOKUP('Données projet'!$B$14,Paramètres!$A$1:$I$89,3,0)*0.475*44/12</f>
        <v>1.8104064845137765E-4</v>
      </c>
      <c r="ED67" s="22">
        <f t="shared" si="18"/>
        <v>5.0060265578106424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228.00000000000017</v>
      </c>
      <c r="O68" s="13">
        <f>N68*VLOOKUP('Données projet'!$B$9,Paramètres!$A$1:$I$89,3,0)*VLOOKUP('Données projet'!$B$9,Paramètres!$A$1:$I$89,5,0)</f>
        <v>231.19200000000018</v>
      </c>
      <c r="P68" s="13">
        <f t="shared" si="33"/>
        <v>56.540342208595277</v>
      </c>
      <c r="Q68" s="20">
        <f t="shared" si="54"/>
        <v>501.13382934663713</v>
      </c>
      <c r="R68" s="59">
        <f t="shared" si="55"/>
        <v>765.07703546309233</v>
      </c>
      <c r="S68" s="59">
        <f ca="1">AVERAGE(OFFSET($R$3,0,0,'Données projet'!$E$9+1,1))-AVERAGE(OFFSET($H$3,0,0,'Données projet'!$E$9+1,1))</f>
        <v>465.40148250851843</v>
      </c>
      <c r="T68" s="59">
        <f t="shared" si="34"/>
        <v>290.8428650572356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1.3189738201249965</v>
      </c>
      <c r="AB68" s="21">
        <f>EXP(-LN(2)/2)*AB67+(1-EXP(-LN(2)/2))/(LN(2)/2)*V68*Y68*VLOOKUP('Données projet'!$B$9,Paramètres!$A$1:$I$89,3,0)*0.475*44/12</f>
        <v>3.7420133332123416E-5</v>
      </c>
      <c r="AC68" s="22">
        <f t="shared" ref="AC68:AC131" si="57">SUM(Z68:AB68)</f>
        <v>1.3190112402583287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245.41920000000019</v>
      </c>
      <c r="AK68" s="13">
        <f t="shared" si="35"/>
        <v>59.603978221930504</v>
      </c>
      <c r="AL68" s="20">
        <f t="shared" ref="AL68:AL131" si="58">(AJ68+AK68)*0.475*44/12</f>
        <v>531.2487020698627</v>
      </c>
      <c r="AM68" s="59">
        <f t="shared" ref="AM68:AM131" si="59">AL68+(AD68+AE68)*44/12</f>
        <v>795.19190818631796</v>
      </c>
      <c r="AN68" s="59">
        <f ca="1">AVERAGE(OFFSET($AM$3,0,0,'Données projet'!$E$10+1,1))-AVERAGE(OFFSET($H$3,0,0,'Données projet'!$E$10+1,1))</f>
        <v>489.34829722967373</v>
      </c>
      <c r="AO68" s="59">
        <f t="shared" si="36"/>
        <v>304.94365539329362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1.4001414398249961</v>
      </c>
      <c r="AW68" s="21">
        <f>EXP(-LN(2)/2)*AW67+(1-EXP(-LN(2)/2))/(LN(2)/2)*AQ68*AT68*VLOOKUP('Données projet'!$B$10,Paramètres!$A$1:$I$89,3,0)*0.475*44/12</f>
        <v>3.972291076794647E-5</v>
      </c>
      <c r="AX68" s="21">
        <f t="shared" ref="AX68:AX131" si="60">SUM(AU68:AW68)</f>
        <v>1.4001811627357641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4.0999999999999996</v>
      </c>
      <c r="BD68" s="12">
        <f>IF('Données projet'!$A$88&gt;35,BD67+BC68-BL67,IF(A68&lt;'Données projet'!$A$88,$BA$205^A68,IF(A68='Données projet'!$A$88,'Données projet'!$B$88,BD67+BC68-BL67)))</f>
        <v>253.49999999999972</v>
      </c>
      <c r="BE68" s="13">
        <f>BD68*VLOOKUP('Données projet'!$B$11,Paramètres!$A$1:$I$89,3,0)*VLOOKUP('Données projet'!$B$11,Paramètres!$A$1:$I$89,5,0)</f>
        <v>221.45759999999979</v>
      </c>
      <c r="BF68" s="13">
        <f t="shared" si="37"/>
        <v>54.431566019643213</v>
      </c>
      <c r="BG68" s="20">
        <f t="shared" ref="BG68:BG131" si="61">(BE68+BF68)*0.475*44/12</f>
        <v>480.5069641508781</v>
      </c>
      <c r="BH68" s="59">
        <f t="shared" ref="BH68:BH131" si="62">BG68+(AY68+AZ68)*44/12</f>
        <v>744.45017026733331</v>
      </c>
      <c r="BI68" s="59">
        <f ca="1">AVERAGE(OFFSET($BH$3,0,0,'Données projet'!$E$11+1,1))-AVERAGE(OFFSET($H$3,0,0,'Données projet'!$E$11+1,1))</f>
        <v>360.3011551173708</v>
      </c>
      <c r="BJ68" s="59">
        <f t="shared" si="38"/>
        <v>388.50312617855309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4.2785311574144611</v>
      </c>
      <c r="BR68" s="21">
        <f>EXP(-LN(2)/2)*BR67+(1-EXP(-LN(2)/2))/(LN(2)/2)*BL68*BO68*VLOOKUP('Données projet'!$B$11,Paramètres!$A$1:$I$89,3,0)*0.475*44/12</f>
        <v>6.3748224489539181E-5</v>
      </c>
      <c r="BS68" s="22">
        <f t="shared" ref="BS68:BS131" si="63">SUM(BP68:BR68)</f>
        <v>4.2785949056389505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9.1999999999999993</v>
      </c>
      <c r="DO68" s="12">
        <f>IF('Données projet'!$A$166&gt;35,DO67+DN68-DW67,IF(A68&lt;'Données projet'!$A$166,$DL$205^A68,IF(A68='Données projet'!$A$166,'Données projet'!$B$166,DO67+DN68-DW67)))</f>
        <v>375.99999999999972</v>
      </c>
      <c r="DP68" s="17">
        <f>DO68*VLOOKUP('Données projet'!$B$14,Paramètres!$A$1:$I$89,3,0)*VLOOKUP('Données projet'!$B$14,Paramètres!$A$1:$I$89,5,0)</f>
        <v>224.84799999999984</v>
      </c>
      <c r="DQ68" s="13">
        <f t="shared" si="43"/>
        <v>55.167234148809698</v>
      </c>
      <c r="DR68" s="20">
        <f t="shared" ref="DR68:DR131" si="70">(DP68+DQ68)*0.475*44/12</f>
        <v>487.69319947584319</v>
      </c>
      <c r="DS68" s="59">
        <f t="shared" ref="DS68:DS131" si="71">DR68+(DJ68+DK68)*44/12</f>
        <v>751.63640559229839</v>
      </c>
      <c r="DT68" s="59">
        <f ca="1">AVERAGE(OFFSET($DS$3,0,0,'Données projet'!$E$14+1,1))-AVERAGE(OFFSET($H$3,0,0,'Données projet'!$E$14+1,1))</f>
        <v>350.88566459278962</v>
      </c>
      <c r="DU68" s="59">
        <f t="shared" si="44"/>
        <v>342.18151800581552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4.868960408249416</v>
      </c>
      <c r="EC68" s="21">
        <f>EXP(-LN(2)/2)*EC67+(1-EXP(-LN(2)/2))/(LN(2)/2)*DW68*DZ68*VLOOKUP('Données projet'!$B$14,Paramètres!$A$1:$I$89,3,0)*0.475*44/12</f>
        <v>1.2801507019037897E-4</v>
      </c>
      <c r="ED68" s="22">
        <f t="shared" ref="ED68:ED131" si="72">SUM(EA68:EC68)</f>
        <v>4.8690884233196066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235.00000000000017</v>
      </c>
      <c r="O69" s="13">
        <f>N69*VLOOKUP('Données projet'!$B$9,Paramètres!$A$1:$I$89,3,0)*VLOOKUP('Données projet'!$B$9,Paramètres!$A$1:$I$89,5,0)</f>
        <v>238.29000000000019</v>
      </c>
      <c r="P69" s="13">
        <f t="shared" ref="P69:P132" si="87">EXP(-1.0587+0.8836*LN(O69)+0.284)</f>
        <v>58.071462681001563</v>
      </c>
      <c r="Q69" s="20">
        <f t="shared" si="54"/>
        <v>516.16288083607799</v>
      </c>
      <c r="R69" s="59">
        <f t="shared" si="55"/>
        <v>780.61593995326507</v>
      </c>
      <c r="S69" s="59">
        <f ca="1">AVERAGE(OFFSET($R$3,0,0,'Données projet'!$E$9+1,1))-AVERAGE(OFFSET($H$3,0,0,'Données projet'!$E$9+1,1))</f>
        <v>465.40148250851843</v>
      </c>
      <c r="T69" s="59">
        <f t="shared" ref="T69:T132" si="88">$T$3</f>
        <v>290.8428650572356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1.2829064116518598</v>
      </c>
      <c r="AB69" s="21">
        <f>EXP(-LN(2)/2)*AB68+(1-EXP(-LN(2)/2))/(LN(2)/2)*V69*Y69*VLOOKUP('Données projet'!$B$9,Paramètres!$A$1:$I$89,3,0)*0.475*44/12</f>
        <v>2.6460030032049226E-5</v>
      </c>
      <c r="AC69" s="22">
        <f t="shared" si="57"/>
        <v>1.282932871681892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252.95400000000015</v>
      </c>
      <c r="AK69" s="13">
        <f t="shared" ref="AK69:AK132" si="89">EXP(-1.0587+0.8836*LN(AJ69)+0.284)</f>
        <v>61.218062391350081</v>
      </c>
      <c r="AL69" s="20">
        <f t="shared" si="58"/>
        <v>547.18300866493496</v>
      </c>
      <c r="AM69" s="59">
        <f t="shared" si="59"/>
        <v>811.63606778212204</v>
      </c>
      <c r="AN69" s="59">
        <f ca="1">AVERAGE(OFFSET($AM$3,0,0,'Données projet'!$E$10+1,1))-AVERAGE(OFFSET($H$3,0,0,'Données projet'!$E$10+1,1))</f>
        <v>489.34829722967373</v>
      </c>
      <c r="AO69" s="59">
        <f t="shared" ref="AO69:AO132" si="90">$AO$3</f>
        <v>304.94365539329362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1.3618544985227432</v>
      </c>
      <c r="AW69" s="21">
        <f>EXP(-LN(2)/2)*AW68+(1-EXP(-LN(2)/2))/(LN(2)/2)*AQ69*AT69*VLOOKUP('Données projet'!$B$10,Paramètres!$A$1:$I$89,3,0)*0.475*44/12</f>
        <v>2.8088339572483077E-5</v>
      </c>
      <c r="AX69" s="21">
        <f t="shared" si="60"/>
        <v>1.3618825868623157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4.0999999999999996</v>
      </c>
      <c r="BD69" s="12">
        <f>IF('Données projet'!$A$88&gt;35,BD68+BC69-BL68,IF(A69&lt;'Données projet'!$A$88,$BA$205^A69,IF(A69='Données projet'!$A$88,'Données projet'!$B$88,BD68+BC69-BL68)))</f>
        <v>257.59999999999974</v>
      </c>
      <c r="BE69" s="13">
        <f>BD69*VLOOKUP('Données projet'!$B$11,Paramètres!$A$1:$I$89,3,0)*VLOOKUP('Données projet'!$B$11,Paramètres!$A$1:$I$89,5,0)</f>
        <v>225.03935999999979</v>
      </c>
      <c r="BF69" s="13">
        <f t="shared" ref="BF69:BF132" si="91">EXP(-1.0587+0.8836*LN(BE69)+0.284)</f>
        <v>55.20871785467093</v>
      </c>
      <c r="BG69" s="20">
        <f t="shared" si="61"/>
        <v>488.09873559688481</v>
      </c>
      <c r="BH69" s="59">
        <f t="shared" si="62"/>
        <v>752.55179471407189</v>
      </c>
      <c r="BI69" s="59">
        <f ca="1">AVERAGE(OFFSET($BH$3,0,0,'Données projet'!$E$11+1,1))-AVERAGE(OFFSET($H$3,0,0,'Données projet'!$E$11+1,1))</f>
        <v>360.3011551173708</v>
      </c>
      <c r="BJ69" s="59">
        <f t="shared" ref="BJ69:BJ132" si="92">$BJ$3</f>
        <v>388.50312617855309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4.1615344979167874</v>
      </c>
      <c r="BR69" s="21">
        <f>EXP(-LN(2)/2)*BR68+(1-EXP(-LN(2)/2))/(LN(2)/2)*BL69*BO69*VLOOKUP('Données projet'!$B$11,Paramètres!$A$1:$I$89,3,0)*0.475*44/12</f>
        <v>4.5076801825155494E-5</v>
      </c>
      <c r="BS69" s="22">
        <f t="shared" si="63"/>
        <v>4.1615795747186128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9.1999999999999993</v>
      </c>
      <c r="DO69" s="12">
        <f>IF('Données projet'!$A$166&gt;35,DO68+DN69-DW68,IF(A69&lt;'Données projet'!$A$166,$DL$205^A69,IF(A69='Données projet'!$A$166,'Données projet'!$B$166,DO68+DN69-DW68)))</f>
        <v>385.1999999999997</v>
      </c>
      <c r="DP69" s="17">
        <f>DO69*VLOOKUP('Données projet'!$B$14,Paramètres!$A$1:$I$89,3,0)*VLOOKUP('Données projet'!$B$14,Paramètres!$A$1:$I$89,5,0)</f>
        <v>230.34959999999984</v>
      </c>
      <c r="DQ69" s="13">
        <f t="shared" ref="DQ69:DQ132" si="97">EXP(-1.0587+0.8836*LN(DP69)+0.284)</f>
        <v>56.358266541426261</v>
      </c>
      <c r="DR69" s="20">
        <f t="shared" si="70"/>
        <v>499.34953422631708</v>
      </c>
      <c r="DS69" s="59">
        <f t="shared" si="71"/>
        <v>763.80259334350421</v>
      </c>
      <c r="DT69" s="59">
        <f ca="1">AVERAGE(OFFSET($DS$3,0,0,'Données projet'!$E$14+1,1))-AVERAGE(OFFSET($H$3,0,0,'Données projet'!$E$14+1,1))</f>
        <v>350.88566459278962</v>
      </c>
      <c r="DU69" s="59">
        <f t="shared" ref="DU69:DU132" si="98">$DU$3</f>
        <v>342.18151800581552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4.7358184298383357</v>
      </c>
      <c r="EC69" s="21">
        <f>EXP(-LN(2)/2)*EC68+(1-EXP(-LN(2)/2))/(LN(2)/2)*DW69*DZ69*VLOOKUP('Données projet'!$B$14,Paramètres!$A$1:$I$89,3,0)*0.475*44/12</f>
        <v>9.0520324225688826E-5</v>
      </c>
      <c r="ED69" s="22">
        <f t="shared" si="72"/>
        <v>4.7359089501625613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242.00000000000017</v>
      </c>
      <c r="O70" s="13">
        <f>N70*VLOOKUP('Données projet'!$B$9,Paramètres!$A$1:$I$89,3,0)*VLOOKUP('Données projet'!$B$9,Paramètres!$A$1:$I$89,5,0)</f>
        <v>245.3880000000002</v>
      </c>
      <c r="P70" s="13">
        <f t="shared" si="87"/>
        <v>59.597282764919626</v>
      </c>
      <c r="Q70" s="20">
        <f t="shared" si="54"/>
        <v>531.18270081556864</v>
      </c>
      <c r="R70" s="59">
        <f t="shared" si="55"/>
        <v>796.13676812378549</v>
      </c>
      <c r="S70" s="59">
        <f ca="1">AVERAGE(OFFSET($R$3,0,0,'Données projet'!$E$9+1,1))-AVERAGE(OFFSET($H$3,0,0,'Données projet'!$E$9+1,1))</f>
        <v>465.40148250851843</v>
      </c>
      <c r="T70" s="59">
        <f t="shared" si="88"/>
        <v>290.8428650572356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1.2478252683601236</v>
      </c>
      <c r="AB70" s="21">
        <f>EXP(-LN(2)/2)*AB69+(1-EXP(-LN(2)/2))/(LN(2)/2)*V70*Y70*VLOOKUP('Données projet'!$B$9,Paramètres!$A$1:$I$89,3,0)*0.475*44/12</f>
        <v>1.8710066666061708E-5</v>
      </c>
      <c r="AC70" s="22">
        <f t="shared" si="57"/>
        <v>1.2478439784267896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260.4888000000002</v>
      </c>
      <c r="AK70" s="13">
        <f t="shared" si="89"/>
        <v>62.826558970958821</v>
      </c>
      <c r="AL70" s="20">
        <f t="shared" si="58"/>
        <v>563.10758354108691</v>
      </c>
      <c r="AM70" s="59">
        <f t="shared" si="59"/>
        <v>828.06165084930376</v>
      </c>
      <c r="AN70" s="59">
        <f ca="1">AVERAGE(OFFSET($AM$3,0,0,'Données projet'!$E$10+1,1))-AVERAGE(OFFSET($H$3,0,0,'Données projet'!$E$10+1,1))</f>
        <v>489.34829722967373</v>
      </c>
      <c r="AO70" s="59">
        <f t="shared" si="90"/>
        <v>304.94365539329362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1.3246145156438234</v>
      </c>
      <c r="AW70" s="21">
        <f>EXP(-LN(2)/2)*AW69+(1-EXP(-LN(2)/2))/(LN(2)/2)*AQ70*AT70*VLOOKUP('Données projet'!$B$10,Paramètres!$A$1:$I$89,3,0)*0.475*44/12</f>
        <v>1.9861455383973235E-5</v>
      </c>
      <c r="AX70" s="21">
        <f t="shared" si="60"/>
        <v>1.3246343770992073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4.0999999999999996</v>
      </c>
      <c r="BD70" s="12">
        <f>IF('Données projet'!$A$88&gt;35,BD69+BC70-BL69,IF(A70&lt;'Données projet'!$A$88,$BA$205^A70,IF(A70='Données projet'!$A$88,'Données projet'!$B$88,BD69+BC70-BL69)))</f>
        <v>261.69999999999976</v>
      </c>
      <c r="BE70" s="13">
        <f>BD70*VLOOKUP('Données projet'!$B$11,Paramètres!$A$1:$I$89,3,0)*VLOOKUP('Données projet'!$B$11,Paramètres!$A$1:$I$89,5,0)</f>
        <v>228.62111999999982</v>
      </c>
      <c r="BF70" s="13">
        <f t="shared" si="91"/>
        <v>55.984431175977761</v>
      </c>
      <c r="BG70" s="20">
        <f t="shared" si="61"/>
        <v>495.68800163149422</v>
      </c>
      <c r="BH70" s="59">
        <f t="shared" si="62"/>
        <v>760.64206893971118</v>
      </c>
      <c r="BI70" s="59">
        <f ca="1">AVERAGE(OFFSET($BH$3,0,0,'Données projet'!$E$11+1,1))-AVERAGE(OFFSET($H$3,0,0,'Données projet'!$E$11+1,1))</f>
        <v>360.3011551173708</v>
      </c>
      <c r="BJ70" s="59">
        <f t="shared" si="92"/>
        <v>388.50312617855309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4.0477371182256645</v>
      </c>
      <c r="BR70" s="21">
        <f>EXP(-LN(2)/2)*BR69+(1-EXP(-LN(2)/2))/(LN(2)/2)*BL70*BO70*VLOOKUP('Données projet'!$B$11,Paramètres!$A$1:$I$89,3,0)*0.475*44/12</f>
        <v>3.1874112244769591E-5</v>
      </c>
      <c r="BS70" s="22">
        <f t="shared" si="63"/>
        <v>4.0477689923379092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9.1999999999999993</v>
      </c>
      <c r="DO70" s="12">
        <f>IF('Données projet'!$A$166&gt;35,DO69+DN70-DW69,IF(A70&lt;'Données projet'!$A$166,$DL$205^A70,IF(A70='Données projet'!$A$166,'Données projet'!$B$166,DO69+DN70-DW69)))</f>
        <v>394.39999999999969</v>
      </c>
      <c r="DP70" s="17">
        <f>DO70*VLOOKUP('Données projet'!$B$14,Paramètres!$A$1:$I$89,3,0)*VLOOKUP('Données projet'!$B$14,Paramètres!$A$1:$I$89,5,0)</f>
        <v>235.85119999999984</v>
      </c>
      <c r="DQ70" s="13">
        <f t="shared" si="97"/>
        <v>57.545992055843016</v>
      </c>
      <c r="DR70" s="20">
        <f t="shared" si="70"/>
        <v>511.0001094972597</v>
      </c>
      <c r="DS70" s="59">
        <f t="shared" si="71"/>
        <v>775.95417680547666</v>
      </c>
      <c r="DT70" s="59">
        <f ca="1">AVERAGE(OFFSET($DS$3,0,0,'Données projet'!$E$14+1,1))-AVERAGE(OFFSET($H$3,0,0,'Données projet'!$E$14+1,1))</f>
        <v>350.88566459278962</v>
      </c>
      <c r="DU70" s="59">
        <f t="shared" si="98"/>
        <v>342.18151800581552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4.6063172258285388</v>
      </c>
      <c r="EC70" s="21">
        <f>EXP(-LN(2)/2)*EC69+(1-EXP(-LN(2)/2))/(LN(2)/2)*DW70*DZ70*VLOOKUP('Données projet'!$B$14,Paramètres!$A$1:$I$89,3,0)*0.475*44/12</f>
        <v>6.4007535095189484E-5</v>
      </c>
      <c r="ED70" s="22">
        <f t="shared" si="72"/>
        <v>4.606381233363634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249.00000000000017</v>
      </c>
      <c r="O71" s="13">
        <f>N71*VLOOKUP('Données projet'!$B$9,Paramètres!$A$1:$I$89,3,0)*VLOOKUP('Données projet'!$B$9,Paramètres!$A$1:$I$89,5,0)</f>
        <v>252.48600000000019</v>
      </c>
      <c r="P71" s="13">
        <f t="shared" si="87"/>
        <v>61.117973383957434</v>
      </c>
      <c r="Q71" s="20">
        <f t="shared" si="54"/>
        <v>546.19358697705945</v>
      </c>
      <c r="R71" s="59">
        <f t="shared" si="55"/>
        <v>811.63997110427829</v>
      </c>
      <c r="S71" s="59">
        <f ca="1">AVERAGE(OFFSET($R$3,0,0,'Données projet'!$E$9+1,1))-AVERAGE(OFFSET($H$3,0,0,'Données projet'!$E$9+1,1))</f>
        <v>465.40148250851843</v>
      </c>
      <c r="T71" s="59">
        <f t="shared" si="88"/>
        <v>290.8428650572356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1.2137034207765371</v>
      </c>
      <c r="AB71" s="21">
        <f>EXP(-LN(2)/2)*AB70+(1-EXP(-LN(2)/2))/(LN(2)/2)*V71*Y71*VLOOKUP('Données projet'!$B$9,Paramètres!$A$1:$I$89,3,0)*0.475*44/12</f>
        <v>1.3230015016024613E-5</v>
      </c>
      <c r="AC71" s="22">
        <f t="shared" si="57"/>
        <v>1.2137166507915531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268.02360000000022</v>
      </c>
      <c r="AK71" s="13">
        <f t="shared" si="89"/>
        <v>64.429648145853278</v>
      </c>
      <c r="AL71" s="20">
        <f t="shared" si="58"/>
        <v>579.02274052069481</v>
      </c>
      <c r="AM71" s="59">
        <f t="shared" si="59"/>
        <v>844.46912464791365</v>
      </c>
      <c r="AN71" s="59">
        <f ca="1">AVERAGE(OFFSET($AM$3,0,0,'Données projet'!$E$10+1,1))-AVERAGE(OFFSET($H$3,0,0,'Données projet'!$E$10+1,1))</f>
        <v>489.34829722967373</v>
      </c>
      <c r="AO71" s="59">
        <f t="shared" si="90"/>
        <v>304.94365539329362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1.2883928620550931</v>
      </c>
      <c r="AW71" s="21">
        <f>EXP(-LN(2)/2)*AW70+(1-EXP(-LN(2)/2))/(LN(2)/2)*AQ71*AT71*VLOOKUP('Données projet'!$B$10,Paramètres!$A$1:$I$89,3,0)*0.475*44/12</f>
        <v>1.4044169786241539E-5</v>
      </c>
      <c r="AX71" s="21">
        <f t="shared" si="60"/>
        <v>1.2884069062248793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4.0999999999999996</v>
      </c>
      <c r="BD71" s="12">
        <f>IF('Données projet'!$A$88&gt;35,BD70+BC71-BL70,IF(A71&lt;'Données projet'!$A$88,$BA$205^A71,IF(A71='Données projet'!$A$88,'Données projet'!$B$88,BD70+BC71-BL70)))</f>
        <v>265.79999999999978</v>
      </c>
      <c r="BE71" s="13">
        <f>BD71*VLOOKUP('Données projet'!$B$11,Paramètres!$A$1:$I$89,3,0)*VLOOKUP('Données projet'!$B$11,Paramètres!$A$1:$I$89,5,0)</f>
        <v>232.20287999999985</v>
      </c>
      <c r="BF71" s="13">
        <f t="shared" si="91"/>
        <v>56.758731122900826</v>
      </c>
      <c r="BG71" s="20">
        <f t="shared" si="61"/>
        <v>503.27480603905195</v>
      </c>
      <c r="BH71" s="59">
        <f t="shared" si="62"/>
        <v>768.72119016627084</v>
      </c>
      <c r="BI71" s="59">
        <f ca="1">AVERAGE(OFFSET($BH$3,0,0,'Données projet'!$E$11+1,1))-AVERAGE(OFFSET($H$3,0,0,'Données projet'!$E$11+1,1))</f>
        <v>360.3011551173708</v>
      </c>
      <c r="BJ71" s="59">
        <f t="shared" si="92"/>
        <v>388.50312617855309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3.9370515338665397</v>
      </c>
      <c r="BR71" s="21">
        <f>EXP(-LN(2)/2)*BR70+(1-EXP(-LN(2)/2))/(LN(2)/2)*BL71*BO71*VLOOKUP('Données projet'!$B$11,Paramètres!$A$1:$I$89,3,0)*0.475*44/12</f>
        <v>2.2538400912577747E-5</v>
      </c>
      <c r="BS71" s="22">
        <f t="shared" si="63"/>
        <v>3.9370740722674524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9.1999999999999993</v>
      </c>
      <c r="DO71" s="12">
        <f>IF('Données projet'!$A$166&gt;35,DO70+DN71-DW70,IF(A71&lt;'Données projet'!$A$166,$DL$205^A71,IF(A71='Données projet'!$A$166,'Données projet'!$B$166,DO70+DN71-DW70)))</f>
        <v>403.59999999999968</v>
      </c>
      <c r="DP71" s="17">
        <f>DO71*VLOOKUP('Données projet'!$B$14,Paramètres!$A$1:$I$89,3,0)*VLOOKUP('Données projet'!$B$14,Paramètres!$A$1:$I$89,5,0)</f>
        <v>241.35279999999983</v>
      </c>
      <c r="DQ71" s="13">
        <f t="shared" si="97"/>
        <v>58.730496708031964</v>
      </c>
      <c r="DR71" s="20">
        <f t="shared" si="70"/>
        <v>522.64507509982207</v>
      </c>
      <c r="DS71" s="59">
        <f t="shared" si="71"/>
        <v>788.0914592270409</v>
      </c>
      <c r="DT71" s="59">
        <f ca="1">AVERAGE(OFFSET($DS$3,0,0,'Données projet'!$E$14+1,1))-AVERAGE(OFFSET($H$3,0,0,'Données projet'!$E$14+1,1))</f>
        <v>350.88566459278962</v>
      </c>
      <c r="DU71" s="59">
        <f t="shared" si="98"/>
        <v>342.18151800581552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4.4803572390525623</v>
      </c>
      <c r="EC71" s="21">
        <f>EXP(-LN(2)/2)*EC70+(1-EXP(-LN(2)/2))/(LN(2)/2)*DW71*DZ71*VLOOKUP('Données projet'!$B$14,Paramètres!$A$1:$I$89,3,0)*0.475*44/12</f>
        <v>4.5260162112844413E-5</v>
      </c>
      <c r="ED71" s="22">
        <f t="shared" si="72"/>
        <v>4.4804024992146756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256.00000000000017</v>
      </c>
      <c r="O72" s="13">
        <f>N72*VLOOKUP('Données projet'!$B$9,Paramètres!$A$1:$I$89,3,0)*VLOOKUP('Données projet'!$B$9,Paramètres!$A$1:$I$89,5,0)</f>
        <v>259.58400000000017</v>
      </c>
      <c r="P72" s="13">
        <f t="shared" si="87"/>
        <v>62.63369530482359</v>
      </c>
      <c r="Q72" s="20">
        <f t="shared" si="54"/>
        <v>561.19581932256801</v>
      </c>
      <c r="R72" s="59">
        <f t="shared" si="55"/>
        <v>827.12597967263457</v>
      </c>
      <c r="S72" s="59">
        <f ca="1">AVERAGE(OFFSET($R$3,0,0,'Données projet'!$E$9+1,1))-AVERAGE(OFFSET($H$3,0,0,'Données projet'!$E$9+1,1))</f>
        <v>465.40148250851843</v>
      </c>
      <c r="T72" s="59">
        <f t="shared" si="88"/>
        <v>290.8428650572356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1.1805146369095139</v>
      </c>
      <c r="AB72" s="21">
        <f>EXP(-LN(2)/2)*AB71+(1-EXP(-LN(2)/2))/(LN(2)/2)*V72*Y72*VLOOKUP('Données projet'!$B$9,Paramètres!$A$1:$I$89,3,0)*0.475*44/12</f>
        <v>9.3550333330308539E-6</v>
      </c>
      <c r="AC72" s="22">
        <f t="shared" si="57"/>
        <v>1.180523991942847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275.55840000000018</v>
      </c>
      <c r="AK72" s="13">
        <f t="shared" si="89"/>
        <v>66.027499393879125</v>
      </c>
      <c r="AL72" s="20">
        <f t="shared" si="58"/>
        <v>594.92877477767308</v>
      </c>
      <c r="AM72" s="59">
        <f t="shared" si="59"/>
        <v>860.85893512773964</v>
      </c>
      <c r="AN72" s="59">
        <f ca="1">AVERAGE(OFFSET($AM$3,0,0,'Données projet'!$E$10+1,1))-AVERAGE(OFFSET($H$3,0,0,'Données projet'!$E$10+1,1))</f>
        <v>489.34829722967373</v>
      </c>
      <c r="AO72" s="59">
        <f t="shared" si="90"/>
        <v>304.94365539329362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1.2531616914885606</v>
      </c>
      <c r="AW72" s="21">
        <f>EXP(-LN(2)/2)*AW71+(1-EXP(-LN(2)/2))/(LN(2)/2)*AQ72*AT72*VLOOKUP('Données projet'!$B$10,Paramètres!$A$1:$I$89,3,0)*0.475*44/12</f>
        <v>9.9307276919866174E-6</v>
      </c>
      <c r="AX72" s="21">
        <f t="shared" si="60"/>
        <v>1.2531716222162526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4.0999999999999996</v>
      </c>
      <c r="BD72" s="12">
        <f>IF('Données projet'!$A$88&gt;35,BD71+BC72-BL71,IF(A72&lt;'Données projet'!$A$88,$BA$205^A72,IF(A72='Données projet'!$A$88,'Données projet'!$B$88,BD71+BC72-BL71)))</f>
        <v>269.89999999999981</v>
      </c>
      <c r="BE72" s="13">
        <f>BD72*VLOOKUP('Données projet'!$B$11,Paramètres!$A$1:$I$89,3,0)*VLOOKUP('Données projet'!$B$11,Paramètres!$A$1:$I$89,5,0)</f>
        <v>235.78463999999988</v>
      </c>
      <c r="BF72" s="13">
        <f t="shared" si="91"/>
        <v>57.531642014724213</v>
      </c>
      <c r="BG72" s="20">
        <f t="shared" si="61"/>
        <v>510.85919117564441</v>
      </c>
      <c r="BH72" s="59">
        <f t="shared" si="62"/>
        <v>776.78935152571103</v>
      </c>
      <c r="BI72" s="59">
        <f ca="1">AVERAGE(OFFSET($BH$3,0,0,'Données projet'!$E$11+1,1))-AVERAGE(OFFSET($H$3,0,0,'Données projet'!$E$11+1,1))</f>
        <v>360.3011551173708</v>
      </c>
      <c r="BJ72" s="59">
        <f t="shared" si="92"/>
        <v>388.50312617855309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3.8293926526324173</v>
      </c>
      <c r="BR72" s="21">
        <f>EXP(-LN(2)/2)*BR71+(1-EXP(-LN(2)/2))/(LN(2)/2)*BL72*BO72*VLOOKUP('Données projet'!$B$11,Paramètres!$A$1:$I$89,3,0)*0.475*44/12</f>
        <v>1.5937056122384795E-5</v>
      </c>
      <c r="BS72" s="22">
        <f t="shared" si="63"/>
        <v>3.8294085896885397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9.1999999999999993</v>
      </c>
      <c r="DO72" s="12">
        <f>IF('Données projet'!$A$166&gt;35,DO71+DN72-DW71,IF(A72&lt;'Données projet'!$A$166,$DL$205^A72,IF(A72='Données projet'!$A$166,'Données projet'!$B$166,DO71+DN72-DW71)))</f>
        <v>412.79999999999967</v>
      </c>
      <c r="DP72" s="17">
        <f>DO72*VLOOKUP('Données projet'!$B$14,Paramètres!$A$1:$I$89,3,0)*VLOOKUP('Données projet'!$B$14,Paramètres!$A$1:$I$89,5,0)</f>
        <v>246.85439999999983</v>
      </c>
      <c r="DQ72" s="13">
        <f t="shared" si="97"/>
        <v>59.911862368716115</v>
      </c>
      <c r="DR72" s="20">
        <f t="shared" si="70"/>
        <v>534.28457362551364</v>
      </c>
      <c r="DS72" s="59">
        <f t="shared" si="71"/>
        <v>800.2147339755802</v>
      </c>
      <c r="DT72" s="59">
        <f ca="1">AVERAGE(OFFSET($DS$3,0,0,'Données projet'!$E$14+1,1))-AVERAGE(OFFSET($H$3,0,0,'Données projet'!$E$14+1,1))</f>
        <v>350.88566459278962</v>
      </c>
      <c r="DU72" s="59">
        <f t="shared" si="98"/>
        <v>342.18151800581552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4.3578416347389224</v>
      </c>
      <c r="EC72" s="21">
        <f>EXP(-LN(2)/2)*EC71+(1-EXP(-LN(2)/2))/(LN(2)/2)*DW72*DZ72*VLOOKUP('Données projet'!$B$14,Paramètres!$A$1:$I$89,3,0)*0.475*44/12</f>
        <v>3.2003767547594742E-5</v>
      </c>
      <c r="ED72" s="22">
        <f t="shared" si="72"/>
        <v>4.3578736385064696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263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263.00000000000017</v>
      </c>
      <c r="O73" s="13">
        <f>N73*VLOOKUP('Données projet'!$B$9,Paramètres!$A$1:$I$89,3,0)*VLOOKUP('Données projet'!$B$9,Paramètres!$A$1:$I$89,5,0)</f>
        <v>266.68200000000019</v>
      </c>
      <c r="P73" s="13">
        <f t="shared" si="87"/>
        <v>64.144600001897828</v>
      </c>
      <c r="Q73" s="20">
        <f t="shared" si="54"/>
        <v>576.18966166997234</v>
      </c>
      <c r="R73" s="59">
        <f t="shared" si="55"/>
        <v>842.59520580698177</v>
      </c>
      <c r="S73" s="59">
        <f ca="1">AVERAGE(OFFSET($R$3,0,0,'Données projet'!$E$9+1,1))-AVERAGE(OFFSET($H$3,0,0,'Données projet'!$E$9+1,1))</f>
        <v>465.40148250851843</v>
      </c>
      <c r="T73" s="59">
        <f t="shared" si="88"/>
        <v>290.8428650572356</v>
      </c>
      <c r="U73" s="15">
        <f>IF(ISNA(VLOOKUP(A73,'Données projet'!$A$35:$I$55,3,0)),0,VLOOKUP(A73,'Données projet'!$A$35:$I$55,3,0))</f>
        <v>5</v>
      </c>
      <c r="V73" s="15">
        <f>IF(ISNA(VLOOKUP(A73,'Données projet'!$A$35:$I$55,4,0)),0,VLOOKUP(A73,'Données projet'!$A$35:$I$55,4,0))</f>
        <v>42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1.1482334020826566</v>
      </c>
      <c r="AB73" s="21">
        <f>EXP(-LN(2)/2)*AB72+(1-EXP(-LN(2)/2))/(LN(2)/2)*V73*Y73*VLOOKUP('Données projet'!$B$9,Paramètres!$A$1:$I$89,3,0)*0.475*44/12</f>
        <v>6.6150075080123064E-6</v>
      </c>
      <c r="AC73" s="22">
        <f t="shared" si="57"/>
        <v>1.1482400170901645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283.09320000000019</v>
      </c>
      <c r="AK73" s="13">
        <f t="shared" si="89"/>
        <v>67.620272397048737</v>
      </c>
      <c r="AL73" s="20">
        <f t="shared" si="58"/>
        <v>610.82596442486022</v>
      </c>
      <c r="AM73" s="59">
        <f t="shared" si="59"/>
        <v>877.23150856186976</v>
      </c>
      <c r="AN73" s="59">
        <f ca="1">AVERAGE(OFFSET($AM$3,0,0,'Données projet'!$E$10+1,1))-AVERAGE(OFFSET($H$3,0,0,'Données projet'!$E$10+1,1))</f>
        <v>489.34829722967373</v>
      </c>
      <c r="AO73" s="59">
        <f t="shared" si="90"/>
        <v>304.94365539329362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1.2188939191338968</v>
      </c>
      <c r="AW73" s="21">
        <f>EXP(-LN(2)/2)*AW72+(1-EXP(-LN(2)/2))/(LN(2)/2)*AQ73*AT73*VLOOKUP('Données projet'!$B$10,Paramètres!$A$1:$I$89,3,0)*0.475*44/12</f>
        <v>7.0220848931207693E-6</v>
      </c>
      <c r="AX73" s="21">
        <f t="shared" si="60"/>
        <v>1.2189009412187899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274</v>
      </c>
      <c r="BB73" s="12">
        <f>VLOOKUP(A73,'Données projet'!$A$87:$I$107,9,0)</f>
        <v>4.0999999999999996</v>
      </c>
      <c r="BC73" s="12">
        <f t="array" ref="BC73">INDEX(BB:BB,MIN(IF(ISNUMBER(BB73:BB269),ROW(BB73:BB269),"")))</f>
        <v>4.0999999999999996</v>
      </c>
      <c r="BD73" s="12">
        <f>IF('Données projet'!$A$88&gt;35,BD72+BC73-BL72,IF(A73&lt;'Données projet'!$A$88,$BA$205^A73,IF(A73='Données projet'!$A$88,'Données projet'!$B$88,BD72+BC73-BL72)))</f>
        <v>273.99999999999983</v>
      </c>
      <c r="BE73" s="13">
        <f>BD73*VLOOKUP('Données projet'!$B$11,Paramètres!$A$1:$I$89,3,0)*VLOOKUP('Données projet'!$B$11,Paramètres!$A$1:$I$89,5,0)</f>
        <v>239.36639999999989</v>
      </c>
      <c r="BF73" s="13">
        <f t="shared" si="91"/>
        <v>58.303187389471979</v>
      </c>
      <c r="BG73" s="20">
        <f t="shared" si="61"/>
        <v>518.44119803666342</v>
      </c>
      <c r="BH73" s="59">
        <f t="shared" si="62"/>
        <v>784.84674217367296</v>
      </c>
      <c r="BI73" s="59">
        <f ca="1">AVERAGE(OFFSET($BH$3,0,0,'Données projet'!$E$11+1,1))-AVERAGE(OFFSET($H$3,0,0,'Données projet'!$E$11+1,1))</f>
        <v>360.3011551173708</v>
      </c>
      <c r="BJ73" s="59">
        <f t="shared" si="92"/>
        <v>388.50312617855309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21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3.7246777091671763</v>
      </c>
      <c r="BR73" s="21">
        <f>EXP(-LN(2)/2)*BR72+(1-EXP(-LN(2)/2))/(LN(2)/2)*BL73*BO73*VLOOKUP('Données projet'!$B$11,Paramètres!$A$1:$I$89,3,0)*0.475*44/12</f>
        <v>1.1269200456288873E-5</v>
      </c>
      <c r="BS73" s="22">
        <f t="shared" si="63"/>
        <v>3.7246889783676327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422</v>
      </c>
      <c r="DM73" s="12">
        <f>VLOOKUP(A73,'Données projet'!$A$165:$I$185,9,0)</f>
        <v>9.1999999999999993</v>
      </c>
      <c r="DN73" s="12">
        <f t="array" ref="DN73">INDEX(DM:DM,MIN(IF(ISNUMBER(DM73:DM269),ROW(DM73:DM269),"")))</f>
        <v>9.1999999999999993</v>
      </c>
      <c r="DO73" s="12">
        <f>IF('Données projet'!$A$166&gt;35,DO72+DN73-DW72,IF(A73&lt;'Données projet'!$A$166,$DL$205^A73,IF(A73='Données projet'!$A$166,'Données projet'!$B$166,DO72+DN73-DW72)))</f>
        <v>421.99999999999966</v>
      </c>
      <c r="DP73" s="17">
        <f>DO73*VLOOKUP('Données projet'!$B$14,Paramètres!$A$1:$I$89,3,0)*VLOOKUP('Données projet'!$B$14,Paramètres!$A$1:$I$89,5,0)</f>
        <v>252.35599999999982</v>
      </c>
      <c r="DQ73" s="13">
        <f t="shared" si="97"/>
        <v>61.090167050998701</v>
      </c>
      <c r="DR73" s="20">
        <f t="shared" si="70"/>
        <v>545.9187409471557</v>
      </c>
      <c r="DS73" s="59">
        <f t="shared" si="71"/>
        <v>812.32428508416524</v>
      </c>
      <c r="DT73" s="59">
        <f ca="1">AVERAGE(OFFSET($DS$3,0,0,'Données projet'!$E$14+1,1))-AVERAGE(OFFSET($H$3,0,0,'Données projet'!$E$14+1,1))</f>
        <v>350.88566459278962</v>
      </c>
      <c r="DU73" s="59">
        <f t="shared" si="98"/>
        <v>342.18151800581552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44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4.2386762260680548</v>
      </c>
      <c r="EC73" s="21">
        <f>EXP(-LN(2)/2)*EC72+(1-EXP(-LN(2)/2))/(LN(2)/2)*DW73*DZ73*VLOOKUP('Données projet'!$B$14,Paramètres!$A$1:$I$89,3,0)*0.475*44/12</f>
        <v>2.2630081056422206E-5</v>
      </c>
      <c r="ED73" s="22">
        <f t="shared" si="72"/>
        <v>4.238698856149111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6.1</v>
      </c>
      <c r="N74" s="13">
        <f>IF('Données projet'!$A$36&gt;35,N73+M74-V73,IF(A74&lt;'Données projet'!$A$36,$K$205^A74,IF(A74='Données projet'!$A$36,'Données projet'!$B$36,N73+M74-V73)))</f>
        <v>227.10000000000019</v>
      </c>
      <c r="O74" s="13">
        <f>N74*VLOOKUP('Données projet'!$B$9,Paramètres!$A$1:$I$89,3,0)*VLOOKUP('Données projet'!$B$9,Paramètres!$A$1:$I$89,5,0)</f>
        <v>230.27940000000021</v>
      </c>
      <c r="P74" s="13">
        <f t="shared" si="87"/>
        <v>56.34309007423694</v>
      </c>
      <c r="Q74" s="20">
        <f t="shared" si="54"/>
        <v>499.20083687929633</v>
      </c>
      <c r="R74" s="59">
        <f t="shared" si="55"/>
        <v>766.07351795734428</v>
      </c>
      <c r="S74" s="59">
        <f ca="1">AVERAGE(OFFSET($R$3,0,0,'Données projet'!$E$9+1,1))-AVERAGE(OFFSET($H$3,0,0,'Données projet'!$E$9+1,1))</f>
        <v>465.40148250851843</v>
      </c>
      <c r="T74" s="59">
        <f t="shared" si="88"/>
        <v>290.8428650572356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1.1168348993197361</v>
      </c>
      <c r="AB74" s="21">
        <f>EXP(-LN(2)/2)*AB73+(1-EXP(-LN(2)/2))/(LN(2)/2)*V74*Y74*VLOOKUP('Données projet'!$B$9,Paramètres!$A$1:$I$89,3,0)*0.475*44/12</f>
        <v>4.677516666515427E-6</v>
      </c>
      <c r="AC74" s="22">
        <f t="shared" si="57"/>
        <v>1.1168395768364026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244.45044000000021</v>
      </c>
      <c r="AK74" s="13">
        <f t="shared" si="89"/>
        <v>59.396037989146883</v>
      </c>
      <c r="AL74" s="20">
        <f t="shared" si="58"/>
        <v>529.19928249776444</v>
      </c>
      <c r="AM74" s="59">
        <f t="shared" si="59"/>
        <v>796.07196357581233</v>
      </c>
      <c r="AN74" s="59">
        <f ca="1">AVERAGE(OFFSET($AM$3,0,0,'Données projet'!$E$10+1,1))-AVERAGE(OFFSET($H$3,0,0,'Données projet'!$E$10+1,1))</f>
        <v>489.34829722967373</v>
      </c>
      <c r="AO74" s="59">
        <f t="shared" si="90"/>
        <v>304.94365539329362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1.185563200816335</v>
      </c>
      <c r="AW74" s="21">
        <f>EXP(-LN(2)/2)*AW73+(1-EXP(-LN(2)/2))/(LN(2)/2)*AQ74*AT74*VLOOKUP('Données projet'!$B$10,Paramètres!$A$1:$I$89,3,0)*0.475*44/12</f>
        <v>4.9653638459933087E-6</v>
      </c>
      <c r="AX74" s="21">
        <f t="shared" si="60"/>
        <v>1.1855681661801811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3.1</v>
      </c>
      <c r="BD74" s="12">
        <f>IF('Données projet'!$A$88&gt;35,BD73+BC74-BL73,IF(A74&lt;'Données projet'!$A$88,$BA$205^A74,IF(A74='Données projet'!$A$88,'Données projet'!$B$88,BD73+BC74-BL73)))</f>
        <v>256.09999999999985</v>
      </c>
      <c r="BE74" s="13">
        <f>BD74*VLOOKUP('Données projet'!$B$11,Paramètres!$A$1:$I$89,3,0)*VLOOKUP('Données projet'!$B$11,Paramètres!$A$1:$I$89,5,0)</f>
        <v>223.72895999999992</v>
      </c>
      <c r="BF74" s="13">
        <f t="shared" si="91"/>
        <v>54.924562237784592</v>
      </c>
      <c r="BG74" s="20">
        <f t="shared" si="61"/>
        <v>485.32155123080798</v>
      </c>
      <c r="BH74" s="59">
        <f t="shared" si="62"/>
        <v>752.19423230885593</v>
      </c>
      <c r="BI74" s="59">
        <f ca="1">AVERAGE(OFFSET($BH$3,0,0,'Données projet'!$E$11+1,1))-AVERAGE(OFFSET($H$3,0,0,'Données projet'!$E$11+1,1))</f>
        <v>360.3011551173708</v>
      </c>
      <c r="BJ74" s="59">
        <f t="shared" si="92"/>
        <v>388.50312617855309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3.6228262013377122</v>
      </c>
      <c r="BR74" s="21">
        <f>EXP(-LN(2)/2)*BR73+(1-EXP(-LN(2)/2))/(LN(2)/2)*BL74*BO74*VLOOKUP('Données projet'!$B$11,Paramètres!$A$1:$I$89,3,0)*0.475*44/12</f>
        <v>7.9685280611923977E-6</v>
      </c>
      <c r="BS74" s="22">
        <f t="shared" si="63"/>
        <v>3.6228341698657736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7.2</v>
      </c>
      <c r="DO74" s="12">
        <f>IF('Données projet'!$A$166&gt;35,DO73+DN74-DW73,IF(A74&lt;'Données projet'!$A$166,$DL$205^A74,IF(A74='Données projet'!$A$166,'Données projet'!$B$166,DO73+DN74-DW73)))</f>
        <v>385.19999999999965</v>
      </c>
      <c r="DP74" s="17">
        <f>DO74*VLOOKUP('Données projet'!$B$14,Paramètres!$A$1:$I$89,3,0)*VLOOKUP('Données projet'!$B$14,Paramètres!$A$1:$I$89,5,0)</f>
        <v>230.34959999999978</v>
      </c>
      <c r="DQ74" s="13">
        <f t="shared" si="97"/>
        <v>56.358266541426261</v>
      </c>
      <c r="DR74" s="20">
        <f t="shared" si="70"/>
        <v>499.34953422631702</v>
      </c>
      <c r="DS74" s="59">
        <f t="shared" si="71"/>
        <v>766.22221530436491</v>
      </c>
      <c r="DT74" s="59">
        <f ca="1">AVERAGE(OFFSET($DS$3,0,0,'Données projet'!$E$14+1,1))-AVERAGE(OFFSET($H$3,0,0,'Données projet'!$E$14+1,1))</f>
        <v>350.88566459278962</v>
      </c>
      <c r="DU74" s="59">
        <f t="shared" si="98"/>
        <v>342.18151800581552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4.1227694017639287</v>
      </c>
      <c r="EC74" s="21">
        <f>EXP(-LN(2)/2)*EC73+(1-EXP(-LN(2)/2))/(LN(2)/2)*DW74*DZ74*VLOOKUP('Données projet'!$B$14,Paramètres!$A$1:$I$89,3,0)*0.475*44/12</f>
        <v>1.6001883773797371E-5</v>
      </c>
      <c r="ED74" s="22">
        <f t="shared" si="72"/>
        <v>4.1227854036477023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6.1</v>
      </c>
      <c r="N75" s="13">
        <f>IF('Données projet'!$A$36&gt;35,N74+M75-V74,IF(A75&lt;'Données projet'!$A$36,$K$205^A75,IF(A75='Données projet'!$A$36,'Données projet'!$B$36,N74+M75-V74)))</f>
        <v>233.20000000000019</v>
      </c>
      <c r="O75" s="13">
        <f>N75*VLOOKUP('Données projet'!$B$9,Paramètres!$A$1:$I$89,3,0)*VLOOKUP('Données projet'!$B$9,Paramètres!$A$1:$I$89,5,0)</f>
        <v>236.4648000000002</v>
      </c>
      <c r="P75" s="13">
        <f t="shared" si="87"/>
        <v>57.678259313423474</v>
      </c>
      <c r="Q75" s="20">
        <f t="shared" si="54"/>
        <v>512.29916163754626</v>
      </c>
      <c r="R75" s="59">
        <f t="shared" si="55"/>
        <v>779.63087587506743</v>
      </c>
      <c r="S75" s="59">
        <f ca="1">AVERAGE(OFFSET($R$3,0,0,'Données projet'!$E$9+1,1))-AVERAGE(OFFSET($H$3,0,0,'Données projet'!$E$9+1,1))</f>
        <v>465.40148250851843</v>
      </c>
      <c r="T75" s="59">
        <f t="shared" si="88"/>
        <v>290.8428650572356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1.086294990266043</v>
      </c>
      <c r="AB75" s="21">
        <f>EXP(-LN(2)/2)*AB74+(1-EXP(-LN(2)/2))/(LN(2)/2)*V75*Y75*VLOOKUP('Données projet'!$B$9,Paramètres!$A$1:$I$89,3,0)*0.475*44/12</f>
        <v>3.3075037540061532E-6</v>
      </c>
      <c r="AC75" s="22">
        <f t="shared" si="57"/>
        <v>1.086298297769797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251.0164800000002</v>
      </c>
      <c r="AK75" s="13">
        <f t="shared" si="89"/>
        <v>60.803553316193685</v>
      </c>
      <c r="AL75" s="20">
        <f t="shared" si="58"/>
        <v>543.08655802570433</v>
      </c>
      <c r="AM75" s="59">
        <f t="shared" si="59"/>
        <v>810.41827226322539</v>
      </c>
      <c r="AN75" s="59">
        <f ca="1">AVERAGE(OFFSET($AM$3,0,0,'Données projet'!$E$10+1,1))-AVERAGE(OFFSET($H$3,0,0,'Données projet'!$E$10+1,1))</f>
        <v>489.34829722967373</v>
      </c>
      <c r="AO75" s="59">
        <f t="shared" si="90"/>
        <v>304.94365539329362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1.1531439127439533</v>
      </c>
      <c r="AW75" s="21">
        <f>EXP(-LN(2)/2)*AW74+(1-EXP(-LN(2)/2))/(LN(2)/2)*AQ75*AT75*VLOOKUP('Données projet'!$B$10,Paramètres!$A$1:$I$89,3,0)*0.475*44/12</f>
        <v>3.5110424465603847E-6</v>
      </c>
      <c r="AX75" s="21">
        <f t="shared" si="60"/>
        <v>1.1531474237863999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3.1</v>
      </c>
      <c r="BD75" s="12">
        <f>IF('Données projet'!$A$88&gt;35,BD74+BC75-BL74,IF(A75&lt;'Données projet'!$A$88,$BA$205^A75,IF(A75='Données projet'!$A$88,'Données projet'!$B$88,BD74+BC75-BL74)))</f>
        <v>259.19999999999987</v>
      </c>
      <c r="BE75" s="13">
        <f>BD75*VLOOKUP('Données projet'!$B$11,Paramètres!$A$1:$I$89,3,0)*VLOOKUP('Données projet'!$B$11,Paramètres!$A$1:$I$89,5,0)</f>
        <v>226.43711999999991</v>
      </c>
      <c r="BF75" s="13">
        <f t="shared" si="91"/>
        <v>55.5116049933753</v>
      </c>
      <c r="BG75" s="20">
        <f t="shared" si="61"/>
        <v>491.06069603012844</v>
      </c>
      <c r="BH75" s="59">
        <f t="shared" si="62"/>
        <v>758.39241026764955</v>
      </c>
      <c r="BI75" s="59">
        <f ca="1">AVERAGE(OFFSET($BH$3,0,0,'Données projet'!$E$11+1,1))-AVERAGE(OFFSET($H$3,0,0,'Données projet'!$E$11+1,1))</f>
        <v>360.3011551173708</v>
      </c>
      <c r="BJ75" s="59">
        <f t="shared" si="92"/>
        <v>388.50312617855309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3.5237598283459826</v>
      </c>
      <c r="BR75" s="21">
        <f>EXP(-LN(2)/2)*BR74+(1-EXP(-LN(2)/2))/(LN(2)/2)*BL75*BO75*VLOOKUP('Données projet'!$B$11,Paramètres!$A$1:$I$89,3,0)*0.475*44/12</f>
        <v>5.6346002281444367E-6</v>
      </c>
      <c r="BS75" s="22">
        <f t="shared" si="63"/>
        <v>3.5237654629462107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7.2</v>
      </c>
      <c r="DO75" s="12">
        <f>IF('Données projet'!$A$166&gt;35,DO74+DN75-DW74,IF(A75&lt;'Données projet'!$A$166,$DL$205^A75,IF(A75='Données projet'!$A$166,'Données projet'!$B$166,DO74+DN75-DW74)))</f>
        <v>392.39999999999964</v>
      </c>
      <c r="DP75" s="17">
        <f>DO75*VLOOKUP('Données projet'!$B$14,Paramètres!$A$1:$I$89,3,0)*VLOOKUP('Données projet'!$B$14,Paramètres!$A$1:$I$89,5,0)</f>
        <v>234.65519999999981</v>
      </c>
      <c r="DQ75" s="13">
        <f t="shared" si="97"/>
        <v>57.288067746850942</v>
      </c>
      <c r="DR75" s="20">
        <f t="shared" si="70"/>
        <v>508.46785799243179</v>
      </c>
      <c r="DS75" s="59">
        <f t="shared" si="71"/>
        <v>775.7995722299529</v>
      </c>
      <c r="DT75" s="59">
        <f ca="1">AVERAGE(OFFSET($DS$3,0,0,'Données projet'!$E$14+1,1))-AVERAGE(OFFSET($H$3,0,0,'Données projet'!$E$14+1,1))</f>
        <v>350.88566459278962</v>
      </c>
      <c r="DU75" s="59">
        <f t="shared" si="98"/>
        <v>342.18151800581552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4.0100320556656737</v>
      </c>
      <c r="EC75" s="21">
        <f>EXP(-LN(2)/2)*EC74+(1-EXP(-LN(2)/2))/(LN(2)/2)*DW75*DZ75*VLOOKUP('Données projet'!$B$14,Paramètres!$A$1:$I$89,3,0)*0.475*44/12</f>
        <v>1.1315040528211103E-5</v>
      </c>
      <c r="ED75" s="22">
        <f t="shared" si="72"/>
        <v>4.0100433707062022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6.1</v>
      </c>
      <c r="N76" s="13">
        <f>IF('Données projet'!$A$36&gt;35,N75+M76-V75,IF(A76&lt;'Données projet'!$A$36,$K$205^A76,IF(A76='Données projet'!$A$36,'Données projet'!$B$36,N75+M76-V75)))</f>
        <v>239.30000000000018</v>
      </c>
      <c r="O76" s="13">
        <f>N76*VLOOKUP('Données projet'!$B$9,Paramètres!$A$1:$I$89,3,0)*VLOOKUP('Données projet'!$B$9,Paramètres!$A$1:$I$89,5,0)</f>
        <v>242.65020000000021</v>
      </c>
      <c r="P76" s="13">
        <f t="shared" si="87"/>
        <v>59.009368964864635</v>
      </c>
      <c r="Q76" s="20">
        <f t="shared" si="54"/>
        <v>525.39041594713956</v>
      </c>
      <c r="R76" s="59">
        <f t="shared" si="55"/>
        <v>793.1732001450614</v>
      </c>
      <c r="S76" s="59">
        <f ca="1">AVERAGE(OFFSET($R$3,0,0,'Données projet'!$E$9+1,1))-AVERAGE(OFFSET($H$3,0,0,'Données projet'!$E$9+1,1))</f>
        <v>465.40148250851843</v>
      </c>
      <c r="T76" s="59">
        <f t="shared" si="88"/>
        <v>290.8428650572356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1.0565901966314473</v>
      </c>
      <c r="AB76" s="21">
        <f>EXP(-LN(2)/2)*AB75+(1-EXP(-LN(2)/2))/(LN(2)/2)*V76*Y76*VLOOKUP('Données projet'!$B$9,Paramètres!$A$1:$I$89,3,0)*0.475*44/12</f>
        <v>2.3387583332577135E-6</v>
      </c>
      <c r="AC76" s="22">
        <f t="shared" si="57"/>
        <v>1.0565925353897805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257.58252000000016</v>
      </c>
      <c r="AK76" s="13">
        <f t="shared" si="89"/>
        <v>62.206789086907435</v>
      </c>
      <c r="AL76" s="20">
        <f t="shared" si="58"/>
        <v>556.96637999303061</v>
      </c>
      <c r="AM76" s="59">
        <f t="shared" si="59"/>
        <v>824.74916419095234</v>
      </c>
      <c r="AN76" s="59">
        <f ca="1">AVERAGE(OFFSET($AM$3,0,0,'Données projet'!$E$10+1,1))-AVERAGE(OFFSET($H$3,0,0,'Données projet'!$E$10+1,1))</f>
        <v>489.34829722967373</v>
      </c>
      <c r="AO76" s="59">
        <f t="shared" si="90"/>
        <v>304.94365539329362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1.1216111318087671</v>
      </c>
      <c r="AW76" s="21">
        <f>EXP(-LN(2)/2)*AW75+(1-EXP(-LN(2)/2))/(LN(2)/2)*AQ76*AT76*VLOOKUP('Données projet'!$B$10,Paramètres!$A$1:$I$89,3,0)*0.475*44/12</f>
        <v>2.4826819229966544E-6</v>
      </c>
      <c r="AX76" s="21">
        <f t="shared" si="60"/>
        <v>1.1216136144906901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3.1</v>
      </c>
      <c r="BD76" s="12">
        <f>IF('Données projet'!$A$88&gt;35,BD75+BC76-BL75,IF(A76&lt;'Données projet'!$A$88,$BA$205^A76,IF(A76='Données projet'!$A$88,'Données projet'!$B$88,BD75+BC76-BL75)))</f>
        <v>262.2999999999999</v>
      </c>
      <c r="BE76" s="13">
        <f>BD76*VLOOKUP('Données projet'!$B$11,Paramètres!$A$1:$I$89,3,0)*VLOOKUP('Données projet'!$B$11,Paramètres!$A$1:$I$89,5,0)</f>
        <v>229.14527999999993</v>
      </c>
      <c r="BF76" s="13">
        <f t="shared" si="91"/>
        <v>56.097831057350788</v>
      </c>
      <c r="BG76" s="20">
        <f t="shared" si="61"/>
        <v>496.79841842488571</v>
      </c>
      <c r="BH76" s="59">
        <f t="shared" si="62"/>
        <v>764.5812026228075</v>
      </c>
      <c r="BI76" s="59">
        <f ca="1">AVERAGE(OFFSET($BH$3,0,0,'Données projet'!$E$11+1,1))-AVERAGE(OFFSET($H$3,0,0,'Données projet'!$E$11+1,1))</f>
        <v>360.3011551173708</v>
      </c>
      <c r="BJ76" s="59">
        <f t="shared" si="92"/>
        <v>388.50312617855309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3.4274024305333861</v>
      </c>
      <c r="BR76" s="21">
        <f>EXP(-LN(2)/2)*BR75+(1-EXP(-LN(2)/2))/(LN(2)/2)*BL76*BO76*VLOOKUP('Données projet'!$B$11,Paramètres!$A$1:$I$89,3,0)*0.475*44/12</f>
        <v>3.9842640305961988E-6</v>
      </c>
      <c r="BS76" s="22">
        <f t="shared" si="63"/>
        <v>3.4274064147974168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7.2</v>
      </c>
      <c r="DO76" s="12">
        <f>IF('Données projet'!$A$166&gt;35,DO75+DN76-DW75,IF(A76&lt;'Données projet'!$A$166,$DL$205^A76,IF(A76='Données projet'!$A$166,'Données projet'!$B$166,DO75+DN76-DW75)))</f>
        <v>399.59999999999962</v>
      </c>
      <c r="DP76" s="17">
        <f>DO76*VLOOKUP('Données projet'!$B$14,Paramètres!$A$1:$I$89,3,0)*VLOOKUP('Données projet'!$B$14,Paramètres!$A$1:$I$89,5,0)</f>
        <v>238.96079999999978</v>
      </c>
      <c r="DQ76" s="13">
        <f t="shared" si="97"/>
        <v>58.215885103108292</v>
      </c>
      <c r="DR76" s="20">
        <f t="shared" si="70"/>
        <v>517.58272655457984</v>
      </c>
      <c r="DS76" s="59">
        <f t="shared" si="71"/>
        <v>785.36551075250168</v>
      </c>
      <c r="DT76" s="59">
        <f ca="1">AVERAGE(OFFSET($DS$3,0,0,'Données projet'!$E$14+1,1))-AVERAGE(OFFSET($H$3,0,0,'Données projet'!$E$14+1,1))</f>
        <v>350.88566459278962</v>
      </c>
      <c r="DU76" s="59">
        <f t="shared" si="98"/>
        <v>342.18151800581552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3.9003775182250751</v>
      </c>
      <c r="EC76" s="21">
        <f>EXP(-LN(2)/2)*EC75+(1-EXP(-LN(2)/2))/(LN(2)/2)*DW76*DZ76*VLOOKUP('Données projet'!$B$14,Paramètres!$A$1:$I$89,3,0)*0.475*44/12</f>
        <v>8.0009418868986855E-6</v>
      </c>
      <c r="ED76" s="22">
        <f t="shared" si="72"/>
        <v>3.9003855191669619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6.1</v>
      </c>
      <c r="N77" s="13">
        <f>IF('Données projet'!$A$36&gt;35,N76+M77-V76,IF(A77&lt;'Données projet'!$A$36,$K$205^A77,IF(A77='Données projet'!$A$36,'Données projet'!$B$36,N76+M77-V76)))</f>
        <v>245.40000000000018</v>
      </c>
      <c r="O77" s="13">
        <f>N77*VLOOKUP('Données projet'!$B$9,Paramètres!$A$1:$I$89,3,0)*VLOOKUP('Données projet'!$B$9,Paramètres!$A$1:$I$89,5,0)</f>
        <v>248.83560000000023</v>
      </c>
      <c r="P77" s="13">
        <f t="shared" si="87"/>
        <v>60.336534411056299</v>
      </c>
      <c r="Q77" s="20">
        <f t="shared" si="54"/>
        <v>538.47480076592342</v>
      </c>
      <c r="R77" s="59">
        <f t="shared" si="55"/>
        <v>806.70082986887428</v>
      </c>
      <c r="S77" s="59">
        <f ca="1">AVERAGE(OFFSET($R$3,0,0,'Données projet'!$E$9+1,1))-AVERAGE(OFFSET($H$3,0,0,'Données projet'!$E$9+1,1))</f>
        <v>465.40148250851843</v>
      </c>
      <c r="T77" s="59">
        <f t="shared" si="88"/>
        <v>290.8428650572356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1.0276976821408967</v>
      </c>
      <c r="AB77" s="21">
        <f>EXP(-LN(2)/2)*AB76+(1-EXP(-LN(2)/2))/(LN(2)/2)*V77*Y77*VLOOKUP('Données projet'!$B$9,Paramètres!$A$1:$I$89,3,0)*0.475*44/12</f>
        <v>1.6537518770030766E-6</v>
      </c>
      <c r="AC77" s="22">
        <f t="shared" si="57"/>
        <v>1.0276993358927737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264.1485600000002</v>
      </c>
      <c r="AK77" s="13">
        <f t="shared" si="89"/>
        <v>63.605866935779758</v>
      </c>
      <c r="AL77" s="20">
        <f t="shared" si="58"/>
        <v>570.83896024648345</v>
      </c>
      <c r="AM77" s="59">
        <f t="shared" si="59"/>
        <v>839.06498934943431</v>
      </c>
      <c r="AN77" s="59">
        <f ca="1">AVERAGE(OFFSET($AM$3,0,0,'Données projet'!$E$10+1,1))-AVERAGE(OFFSET($H$3,0,0,'Données projet'!$E$10+1,1))</f>
        <v>489.34829722967373</v>
      </c>
      <c r="AO77" s="59">
        <f t="shared" si="90"/>
        <v>304.94365539329362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1.0909406164264905</v>
      </c>
      <c r="AW77" s="21">
        <f>EXP(-LN(2)/2)*AW76+(1-EXP(-LN(2)/2))/(LN(2)/2)*AQ77*AT77*VLOOKUP('Données projet'!$B$10,Paramètres!$A$1:$I$89,3,0)*0.475*44/12</f>
        <v>1.7555212232801923E-6</v>
      </c>
      <c r="AX77" s="21">
        <f t="shared" si="60"/>
        <v>1.0909423719477138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3.1</v>
      </c>
      <c r="BD77" s="12">
        <f>IF('Données projet'!$A$88&gt;35,BD76+BC77-BL76,IF(A77&lt;'Données projet'!$A$88,$BA$205^A77,IF(A77='Données projet'!$A$88,'Données projet'!$B$88,BD76+BC77-BL76)))</f>
        <v>265.39999999999992</v>
      </c>
      <c r="BE77" s="13">
        <f>BD77*VLOOKUP('Données projet'!$B$11,Paramètres!$A$1:$I$89,3,0)*VLOOKUP('Données projet'!$B$11,Paramètres!$A$1:$I$89,5,0)</f>
        <v>231.85343999999995</v>
      </c>
      <c r="BF77" s="13">
        <f t="shared" si="91"/>
        <v>56.683251198403141</v>
      </c>
      <c r="BG77" s="20">
        <f t="shared" si="61"/>
        <v>502.53473717055203</v>
      </c>
      <c r="BH77" s="59">
        <f t="shared" si="62"/>
        <v>770.7607662735029</v>
      </c>
      <c r="BI77" s="59">
        <f ca="1">AVERAGE(OFFSET($BH$3,0,0,'Données projet'!$E$11+1,1))-AVERAGE(OFFSET($H$3,0,0,'Données projet'!$E$11+1,1))</f>
        <v>360.3011551173708</v>
      </c>
      <c r="BJ77" s="59">
        <f t="shared" si="92"/>
        <v>388.50312617855309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3.3336799308311904</v>
      </c>
      <c r="BR77" s="21">
        <f>EXP(-LN(2)/2)*BR76+(1-EXP(-LN(2)/2))/(LN(2)/2)*BL77*BO77*VLOOKUP('Données projet'!$B$11,Paramètres!$A$1:$I$89,3,0)*0.475*44/12</f>
        <v>2.8173001140722183E-6</v>
      </c>
      <c r="BS77" s="22">
        <f t="shared" si="63"/>
        <v>3.3336827481313045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7.2</v>
      </c>
      <c r="DO77" s="12">
        <f>IF('Données projet'!$A$166&gt;35,DO76+DN77-DW76,IF(A77&lt;'Données projet'!$A$166,$DL$205^A77,IF(A77='Données projet'!$A$166,'Données projet'!$B$166,DO76+DN77-DW76)))</f>
        <v>406.79999999999961</v>
      </c>
      <c r="DP77" s="17">
        <f>DO77*VLOOKUP('Données projet'!$B$14,Paramètres!$A$1:$I$89,3,0)*VLOOKUP('Données projet'!$B$14,Paramètres!$A$1:$I$89,5,0)</f>
        <v>243.26639999999981</v>
      </c>
      <c r="DQ77" s="13">
        <f t="shared" si="97"/>
        <v>59.141758478481755</v>
      </c>
      <c r="DR77" s="20">
        <f t="shared" si="70"/>
        <v>526.69420935002211</v>
      </c>
      <c r="DS77" s="59">
        <f t="shared" si="71"/>
        <v>794.92023845297297</v>
      </c>
      <c r="DT77" s="59">
        <f ca="1">AVERAGE(OFFSET($DS$3,0,0,'Données projet'!$E$14+1,1))-AVERAGE(OFFSET($H$3,0,0,'Données projet'!$E$14+1,1))</f>
        <v>350.88566459278962</v>
      </c>
      <c r="DU77" s="59">
        <f t="shared" si="98"/>
        <v>342.18151800581552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3.7937214898772713</v>
      </c>
      <c r="EC77" s="21">
        <f>EXP(-LN(2)/2)*EC76+(1-EXP(-LN(2)/2))/(LN(2)/2)*DW77*DZ77*VLOOKUP('Données projet'!$B$14,Paramètres!$A$1:$I$89,3,0)*0.475*44/12</f>
        <v>5.6575202641055516E-6</v>
      </c>
      <c r="ED77" s="22">
        <f t="shared" si="72"/>
        <v>3.7937271473975356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6.1</v>
      </c>
      <c r="N78" s="13">
        <f>IF('Données projet'!$A$36&gt;35,N77+M78-V77,IF(A78&lt;'Données projet'!$A$36,$K$205^A78,IF(A78='Données projet'!$A$36,'Données projet'!$B$36,N77+M78-V77)))</f>
        <v>251.50000000000017</v>
      </c>
      <c r="O78" s="13">
        <f>N78*VLOOKUP('Données projet'!$B$9,Paramètres!$A$1:$I$89,3,0)*VLOOKUP('Données projet'!$B$9,Paramètres!$A$1:$I$89,5,0)</f>
        <v>255.02100000000019</v>
      </c>
      <c r="P78" s="13">
        <f t="shared" si="87"/>
        <v>61.659864971325668</v>
      </c>
      <c r="Q78" s="20">
        <f t="shared" si="54"/>
        <v>551.55250649172569</v>
      </c>
      <c r="R78" s="59">
        <f t="shared" si="55"/>
        <v>820.21409119155055</v>
      </c>
      <c r="S78" s="59">
        <f ca="1">AVERAGE(OFFSET($R$3,0,0,'Données projet'!$E$9+1,1))-AVERAGE(OFFSET($H$3,0,0,'Données projet'!$E$9+1,1))</f>
        <v>465.40148250851843</v>
      </c>
      <c r="T78" s="59">
        <f t="shared" si="88"/>
        <v>290.8428650572356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0.99959523497848168</v>
      </c>
      <c r="AB78" s="21">
        <f>EXP(-LN(2)/2)*AB77+(1-EXP(-LN(2)/2))/(LN(2)/2)*V78*Y78*VLOOKUP('Données projet'!$B$9,Paramètres!$A$1:$I$89,3,0)*0.475*44/12</f>
        <v>1.1693791666288567E-6</v>
      </c>
      <c r="AC78" s="22">
        <f t="shared" si="57"/>
        <v>0.99959640435764829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270.71460000000019</v>
      </c>
      <c r="AK78" s="13">
        <f t="shared" si="89"/>
        <v>65.000902105600858</v>
      </c>
      <c r="AL78" s="20">
        <f t="shared" si="58"/>
        <v>584.70449950058844</v>
      </c>
      <c r="AM78" s="59">
        <f t="shared" si="59"/>
        <v>853.3660842004133</v>
      </c>
      <c r="AN78" s="59">
        <f ca="1">AVERAGE(OFFSET($AM$3,0,0,'Données projet'!$E$10+1,1))-AVERAGE(OFFSET($H$3,0,0,'Données projet'!$E$10+1,1))</f>
        <v>489.34829722967373</v>
      </c>
      <c r="AO78" s="59">
        <f t="shared" si="90"/>
        <v>304.94365539329362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1.0611087879002346</v>
      </c>
      <c r="AW78" s="21">
        <f>EXP(-LN(2)/2)*AW77+(1-EXP(-LN(2)/2))/(LN(2)/2)*AQ78*AT78*VLOOKUP('Données projet'!$B$10,Paramètres!$A$1:$I$89,3,0)*0.475*44/12</f>
        <v>1.2413409614983272E-6</v>
      </c>
      <c r="AX78" s="21">
        <f t="shared" si="60"/>
        <v>1.0611100292411961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3.1</v>
      </c>
      <c r="BD78" s="12">
        <f>IF('Données projet'!$A$88&gt;35,BD77+BC78-BL77,IF(A78&lt;'Données projet'!$A$88,$BA$205^A78,IF(A78='Données projet'!$A$88,'Données projet'!$B$88,BD77+BC78-BL77)))</f>
        <v>268.49999999999994</v>
      </c>
      <c r="BE78" s="13">
        <f>BD78*VLOOKUP('Données projet'!$B$11,Paramètres!$A$1:$I$89,3,0)*VLOOKUP('Données projet'!$B$11,Paramètres!$A$1:$I$89,5,0)</f>
        <v>234.5616</v>
      </c>
      <c r="BF78" s="13">
        <f t="shared" si="91"/>
        <v>57.267875919179374</v>
      </c>
      <c r="BG78" s="20">
        <f t="shared" si="61"/>
        <v>508.26967055923734</v>
      </c>
      <c r="BH78" s="59">
        <f t="shared" si="62"/>
        <v>776.93125525906214</v>
      </c>
      <c r="BI78" s="59">
        <f ca="1">AVERAGE(OFFSET($BH$3,0,0,'Données projet'!$E$11+1,1))-AVERAGE(OFFSET($H$3,0,0,'Données projet'!$E$11+1,1))</f>
        <v>360.3011551173708</v>
      </c>
      <c r="BJ78" s="59">
        <f t="shared" si="92"/>
        <v>388.50312617855309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3.242520277812003</v>
      </c>
      <c r="BR78" s="21">
        <f>EXP(-LN(2)/2)*BR77+(1-EXP(-LN(2)/2))/(LN(2)/2)*BL78*BO78*VLOOKUP('Données projet'!$B$11,Paramètres!$A$1:$I$89,3,0)*0.475*44/12</f>
        <v>1.9921320152980994E-6</v>
      </c>
      <c r="BS78" s="22">
        <f t="shared" si="63"/>
        <v>3.2425222699440184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7.2</v>
      </c>
      <c r="DO78" s="12">
        <f>IF('Données projet'!$A$166&gt;35,DO77+DN78-DW77,IF(A78&lt;'Données projet'!$A$166,$DL$205^A78,IF(A78='Données projet'!$A$166,'Données projet'!$B$166,DO77+DN78-DW77)))</f>
        <v>413.9999999999996</v>
      </c>
      <c r="DP78" s="17">
        <f>DO78*VLOOKUP('Données projet'!$B$14,Paramètres!$A$1:$I$89,3,0)*VLOOKUP('Données projet'!$B$14,Paramètres!$A$1:$I$89,5,0)</f>
        <v>247.57199999999978</v>
      </c>
      <c r="DQ78" s="13">
        <f t="shared" si="97"/>
        <v>60.065726249156526</v>
      </c>
      <c r="DR78" s="20">
        <f t="shared" si="70"/>
        <v>535.80237321728055</v>
      </c>
      <c r="DS78" s="59">
        <f t="shared" si="71"/>
        <v>804.46395791710529</v>
      </c>
      <c r="DT78" s="59">
        <f ca="1">AVERAGE(OFFSET($DS$3,0,0,'Données projet'!$E$14+1,1))-AVERAGE(OFFSET($H$3,0,0,'Données projet'!$E$14+1,1))</f>
        <v>350.88566459278962</v>
      </c>
      <c r="DU78" s="59">
        <f t="shared" si="98"/>
        <v>342.18151800581552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3.6899819762334349</v>
      </c>
      <c r="EC78" s="21">
        <f>EXP(-LN(2)/2)*EC77+(1-EXP(-LN(2)/2))/(LN(2)/2)*DW78*DZ78*VLOOKUP('Données projet'!$B$14,Paramètres!$A$1:$I$89,3,0)*0.475*44/12</f>
        <v>4.0004709434493427E-6</v>
      </c>
      <c r="ED78" s="22">
        <f t="shared" si="72"/>
        <v>3.6899859767043783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6.1</v>
      </c>
      <c r="N79" s="13">
        <f>IF('Données projet'!$A$36&gt;35,N78+M79-V78,IF(A79&lt;'Données projet'!$A$36,$K$205^A79,IF(A79='Données projet'!$A$36,'Données projet'!$B$36,N78+M79-V78)))</f>
        <v>257.60000000000019</v>
      </c>
      <c r="O79" s="13">
        <f>N79*VLOOKUP('Données projet'!$B$9,Paramètres!$A$1:$I$89,3,0)*VLOOKUP('Données projet'!$B$9,Paramètres!$A$1:$I$89,5,0)</f>
        <v>261.2064000000002</v>
      </c>
      <c r="P79" s="13">
        <f t="shared" si="87"/>
        <v>62.979464359660597</v>
      </c>
      <c r="Q79" s="20">
        <f t="shared" si="54"/>
        <v>564.6237137597426</v>
      </c>
      <c r="R79" s="59">
        <f t="shared" si="55"/>
        <v>833.71329814059209</v>
      </c>
      <c r="S79" s="59">
        <f ca="1">AVERAGE(OFFSET($R$3,0,0,'Données projet'!$E$9+1,1))-AVERAGE(OFFSET($H$3,0,0,'Données projet'!$E$9+1,1))</f>
        <v>465.40148250851843</v>
      </c>
      <c r="T79" s="59">
        <f t="shared" si="88"/>
        <v>290.8428650572356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0.97226125071156633</v>
      </c>
      <c r="AB79" s="21">
        <f>EXP(-LN(2)/2)*AB78+(1-EXP(-LN(2)/2))/(LN(2)/2)*V79*Y79*VLOOKUP('Données projet'!$B$9,Paramètres!$A$1:$I$89,3,0)*0.475*44/12</f>
        <v>8.2687593850153831E-7</v>
      </c>
      <c r="AC79" s="22">
        <f t="shared" si="57"/>
        <v>0.97226207758750482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277.28064000000018</v>
      </c>
      <c r="AK79" s="13">
        <f t="shared" si="89"/>
        <v>66.39200393009655</v>
      </c>
      <c r="AL79" s="20">
        <f t="shared" si="58"/>
        <v>598.56318817825183</v>
      </c>
      <c r="AM79" s="59">
        <f t="shared" si="59"/>
        <v>867.65277255910132</v>
      </c>
      <c r="AN79" s="59">
        <f ca="1">AVERAGE(OFFSET($AM$3,0,0,'Données projet'!$E$10+1,1))-AVERAGE(OFFSET($H$3,0,0,'Données projet'!$E$10+1,1))</f>
        <v>489.34829722967373</v>
      </c>
      <c r="AO79" s="59">
        <f t="shared" si="90"/>
        <v>304.94365539329362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1.0320927122938166</v>
      </c>
      <c r="AW79" s="21">
        <f>EXP(-LN(2)/2)*AW78+(1-EXP(-LN(2)/2))/(LN(2)/2)*AQ79*AT79*VLOOKUP('Données projet'!$B$10,Paramètres!$A$1:$I$89,3,0)*0.475*44/12</f>
        <v>8.7776061164009617E-7</v>
      </c>
      <c r="AX79" s="21">
        <f t="shared" si="60"/>
        <v>1.0320935900544284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3.1</v>
      </c>
      <c r="BD79" s="12">
        <f>IF('Données projet'!$A$88&gt;35,BD78+BC79-BL78,IF(A79&lt;'Données projet'!$A$88,$BA$205^A79,IF(A79='Données projet'!$A$88,'Données projet'!$B$88,BD78+BC79-BL78)))</f>
        <v>271.59999999999997</v>
      </c>
      <c r="BE79" s="13">
        <f>BD79*VLOOKUP('Données projet'!$B$11,Paramètres!$A$1:$I$89,3,0)*VLOOKUP('Données projet'!$B$11,Paramètres!$A$1:$I$89,5,0)</f>
        <v>237.26976000000002</v>
      </c>
      <c r="BF79" s="13">
        <f t="shared" si="91"/>
        <v>57.851715465847946</v>
      </c>
      <c r="BG79" s="20">
        <f t="shared" si="61"/>
        <v>514.00323643635181</v>
      </c>
      <c r="BH79" s="59">
        <f t="shared" si="62"/>
        <v>783.0928208172013</v>
      </c>
      <c r="BI79" s="59">
        <f ca="1">AVERAGE(OFFSET($BH$3,0,0,'Données projet'!$E$11+1,1))-AVERAGE(OFFSET($H$3,0,0,'Données projet'!$E$11+1,1))</f>
        <v>360.3011551173708</v>
      </c>
      <c r="BJ79" s="59">
        <f t="shared" si="92"/>
        <v>388.50312617855309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3.1538533902985031</v>
      </c>
      <c r="BR79" s="21">
        <f>EXP(-LN(2)/2)*BR78+(1-EXP(-LN(2)/2))/(LN(2)/2)*BL79*BO79*VLOOKUP('Données projet'!$B$11,Paramètres!$A$1:$I$89,3,0)*0.475*44/12</f>
        <v>1.4086500570361092E-6</v>
      </c>
      <c r="BS79" s="22">
        <f t="shared" si="63"/>
        <v>3.1538547989485601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7.2</v>
      </c>
      <c r="DO79" s="12">
        <f>IF('Données projet'!$A$166&gt;35,DO78+DN79-DW78,IF(A79&lt;'Données projet'!$A$166,$DL$205^A79,IF(A79='Données projet'!$A$166,'Données projet'!$B$166,DO78+DN79-DW78)))</f>
        <v>421.19999999999959</v>
      </c>
      <c r="DP79" s="17">
        <f>DO79*VLOOKUP('Données projet'!$B$14,Paramètres!$A$1:$I$89,3,0)*VLOOKUP('Données projet'!$B$14,Paramètres!$A$1:$I$89,5,0)</f>
        <v>251.87759999999977</v>
      </c>
      <c r="DQ79" s="13">
        <f t="shared" si="97"/>
        <v>60.987825380023018</v>
      </c>
      <c r="DR79" s="20">
        <f t="shared" si="70"/>
        <v>544.90728253687291</v>
      </c>
      <c r="DS79" s="59">
        <f t="shared" si="71"/>
        <v>813.9968669177224</v>
      </c>
      <c r="DT79" s="59">
        <f ca="1">AVERAGE(OFFSET($DS$3,0,0,'Données projet'!$E$14+1,1))-AVERAGE(OFFSET($H$3,0,0,'Données projet'!$E$14+1,1))</f>
        <v>350.88566459278962</v>
      </c>
      <c r="DU79" s="59">
        <f t="shared" si="98"/>
        <v>342.18151800581552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3.5890792250456132</v>
      </c>
      <c r="EC79" s="21">
        <f>EXP(-LN(2)/2)*EC78+(1-EXP(-LN(2)/2))/(LN(2)/2)*DW79*DZ79*VLOOKUP('Données projet'!$B$14,Paramètres!$A$1:$I$89,3,0)*0.475*44/12</f>
        <v>2.8287601320527758E-6</v>
      </c>
      <c r="ED79" s="22">
        <f t="shared" si="72"/>
        <v>3.5890820538057451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6.1</v>
      </c>
      <c r="N80" s="13">
        <f>IF('Données projet'!$A$36&gt;35,N79+M80-V79,IF(A80&lt;'Données projet'!$A$36,$K$205^A80,IF(A80='Données projet'!$A$36,'Données projet'!$B$36,N79+M80-V79)))</f>
        <v>263.70000000000022</v>
      </c>
      <c r="O80" s="13">
        <f>N80*VLOOKUP('Données projet'!$B$9,Paramètres!$A$1:$I$89,3,0)*VLOOKUP('Données projet'!$B$9,Paramètres!$A$1:$I$89,5,0)</f>
        <v>267.39180000000022</v>
      </c>
      <c r="P80" s="13">
        <f t="shared" si="87"/>
        <v>64.29543109795074</v>
      </c>
      <c r="Q80" s="20">
        <f t="shared" si="54"/>
        <v>577.68859416226462</v>
      </c>
      <c r="R80" s="59">
        <f t="shared" si="55"/>
        <v>847.19875338653696</v>
      </c>
      <c r="S80" s="59">
        <f ca="1">AVERAGE(OFFSET($R$3,0,0,'Données projet'!$E$9+1,1))-AVERAGE(OFFSET($H$3,0,0,'Données projet'!$E$9+1,1))</f>
        <v>465.40148250851843</v>
      </c>
      <c r="T80" s="59">
        <f t="shared" si="88"/>
        <v>290.8428650572356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0.94567471568186146</v>
      </c>
      <c r="AB80" s="21">
        <f>EXP(-LN(2)/2)*AB79+(1-EXP(-LN(2)/2))/(LN(2)/2)*V80*Y80*VLOOKUP('Données projet'!$B$9,Paramètres!$A$1:$I$89,3,0)*0.475*44/12</f>
        <v>5.8468958331442837E-7</v>
      </c>
      <c r="AC80" s="22">
        <f t="shared" si="57"/>
        <v>0.94567530037144476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283.84668000000022</v>
      </c>
      <c r="AK80" s="13">
        <f t="shared" si="89"/>
        <v>67.779276269560924</v>
      </c>
      <c r="AL80" s="20">
        <f t="shared" si="58"/>
        <v>612.4152071694856</v>
      </c>
      <c r="AM80" s="59">
        <f t="shared" si="59"/>
        <v>881.92536639375794</v>
      </c>
      <c r="AN80" s="59">
        <f ca="1">AVERAGE(OFFSET($AM$3,0,0,'Données projet'!$E$10+1,1))-AVERAGE(OFFSET($H$3,0,0,'Données projet'!$E$10+1,1))</f>
        <v>489.34829722967373</v>
      </c>
      <c r="AO80" s="59">
        <f t="shared" si="90"/>
        <v>304.94365539329362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1.0038700828007454</v>
      </c>
      <c r="AW80" s="21">
        <f>EXP(-LN(2)/2)*AW79+(1-EXP(-LN(2)/2))/(LN(2)/2)*AQ80*AT80*VLOOKUP('Données projet'!$B$10,Paramètres!$A$1:$I$89,3,0)*0.475*44/12</f>
        <v>6.2067048074916359E-7</v>
      </c>
      <c r="AX80" s="21">
        <f t="shared" si="60"/>
        <v>1.0038707034712262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3.1</v>
      </c>
      <c r="BD80" s="12">
        <f>IF('Données projet'!$A$88&gt;35,BD79+BC80-BL79,IF(A80&lt;'Données projet'!$A$88,$BA$205^A80,IF(A80='Données projet'!$A$88,'Données projet'!$B$88,BD79+BC80-BL79)))</f>
        <v>274.7</v>
      </c>
      <c r="BE80" s="13">
        <f>BD80*VLOOKUP('Données projet'!$B$11,Paramètres!$A$1:$I$89,3,0)*VLOOKUP('Données projet'!$B$11,Paramètres!$A$1:$I$89,5,0)</f>
        <v>239.97792000000004</v>
      </c>
      <c r="BF80" s="13">
        <f t="shared" si="91"/>
        <v>58.434779837216588</v>
      </c>
      <c r="BG80" s="20">
        <f t="shared" si="61"/>
        <v>519.73545221648567</v>
      </c>
      <c r="BH80" s="59">
        <f t="shared" si="62"/>
        <v>789.24561144075801</v>
      </c>
      <c r="BI80" s="59">
        <f ca="1">AVERAGE(OFFSET($BH$3,0,0,'Données projet'!$E$11+1,1))-AVERAGE(OFFSET($H$3,0,0,'Données projet'!$E$11+1,1))</f>
        <v>360.3011551173708</v>
      </c>
      <c r="BJ80" s="59">
        <f t="shared" si="92"/>
        <v>388.50312617855309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3.0676111034868492</v>
      </c>
      <c r="BR80" s="21">
        <f>EXP(-LN(2)/2)*BR79+(1-EXP(-LN(2)/2))/(LN(2)/2)*BL80*BO80*VLOOKUP('Données projet'!$B$11,Paramètres!$A$1:$I$89,3,0)*0.475*44/12</f>
        <v>9.9606600764904971E-7</v>
      </c>
      <c r="BS80" s="22">
        <f t="shared" si="63"/>
        <v>3.0676120995528566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7.2</v>
      </c>
      <c r="DO80" s="12">
        <f>IF('Données projet'!$A$166&gt;35,DO79+DN80-DW79,IF(A80&lt;'Données projet'!$A$166,$DL$205^A80,IF(A80='Données projet'!$A$166,'Données projet'!$B$166,DO79+DN80-DW79)))</f>
        <v>428.39999999999958</v>
      </c>
      <c r="DP80" s="17">
        <f>DO80*VLOOKUP('Données projet'!$B$14,Paramètres!$A$1:$I$89,3,0)*VLOOKUP('Données projet'!$B$14,Paramètres!$A$1:$I$89,5,0)</f>
        <v>256.18319999999977</v>
      </c>
      <c r="DQ80" s="13">
        <f t="shared" si="97"/>
        <v>61.90809149979912</v>
      </c>
      <c r="DR80" s="20">
        <f t="shared" si="70"/>
        <v>554.00899936214978</v>
      </c>
      <c r="DS80" s="59">
        <f t="shared" si="71"/>
        <v>823.51915858642201</v>
      </c>
      <c r="DT80" s="59">
        <f ca="1">AVERAGE(OFFSET($DS$3,0,0,'Données projet'!$E$14+1,1))-AVERAGE(OFFSET($H$3,0,0,'Données projet'!$E$14+1,1))</f>
        <v>350.88566459278962</v>
      </c>
      <c r="DU80" s="59">
        <f t="shared" si="98"/>
        <v>342.18151800581552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3.4909356648952672</v>
      </c>
      <c r="EC80" s="21">
        <f>EXP(-LN(2)/2)*EC79+(1-EXP(-LN(2)/2))/(LN(2)/2)*DW80*DZ80*VLOOKUP('Données projet'!$B$14,Paramètres!$A$1:$I$89,3,0)*0.475*44/12</f>
        <v>2.0002354717246714E-6</v>
      </c>
      <c r="ED80" s="22">
        <f t="shared" si="72"/>
        <v>3.4909376651307391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6.1</v>
      </c>
      <c r="N81" s="13">
        <f>IF('Données projet'!$A$36&gt;35,N80+M81-V80,IF(A81&lt;'Données projet'!$A$36,$K$205^A81,IF(A81='Données projet'!$A$36,'Données projet'!$B$36,N80+M81-V80)))</f>
        <v>269.80000000000024</v>
      </c>
      <c r="O81" s="13">
        <f>N81*VLOOKUP('Données projet'!$B$9,Paramètres!$A$1:$I$89,3,0)*VLOOKUP('Données projet'!$B$9,Paramètres!$A$1:$I$89,5,0)</f>
        <v>273.57720000000029</v>
      </c>
      <c r="P81" s="13">
        <f t="shared" si="87"/>
        <v>65.607858889915164</v>
      </c>
      <c r="Q81" s="20">
        <f t="shared" si="54"/>
        <v>590.747310899936</v>
      </c>
      <c r="R81" s="59">
        <f t="shared" si="55"/>
        <v>860.67074893436222</v>
      </c>
      <c r="S81" s="59">
        <f ca="1">AVERAGE(OFFSET($R$3,0,0,'Données projet'!$E$9+1,1))-AVERAGE(OFFSET($H$3,0,0,'Données projet'!$E$9+1,1))</f>
        <v>465.40148250851843</v>
      </c>
      <c r="T81" s="59">
        <f t="shared" si="88"/>
        <v>290.8428650572356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0.91981519085066898</v>
      </c>
      <c r="AB81" s="21">
        <f>EXP(-LN(2)/2)*AB80+(1-EXP(-LN(2)/2))/(LN(2)/2)*V81*Y81*VLOOKUP('Données projet'!$B$9,Paramètres!$A$1:$I$89,3,0)*0.475*44/12</f>
        <v>4.1343796925076915E-7</v>
      </c>
      <c r="AC81" s="22">
        <f t="shared" si="57"/>
        <v>0.91981560428863829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290.41272000000026</v>
      </c>
      <c r="AK81" s="13">
        <f t="shared" si="89"/>
        <v>69.162817905044847</v>
      </c>
      <c r="AL81" s="20">
        <f t="shared" si="58"/>
        <v>626.26072851795345</v>
      </c>
      <c r="AM81" s="59">
        <f t="shared" si="59"/>
        <v>896.18416655237968</v>
      </c>
      <c r="AN81" s="59">
        <f ca="1">AVERAGE(OFFSET($AM$3,0,0,'Données projet'!$E$10+1,1))-AVERAGE(OFFSET($H$3,0,0,'Données projet'!$E$10+1,1))</f>
        <v>489.34829722967373</v>
      </c>
      <c r="AO81" s="59">
        <f t="shared" si="90"/>
        <v>304.94365539329362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0.97641920259532577</v>
      </c>
      <c r="AW81" s="21">
        <f>EXP(-LN(2)/2)*AW80+(1-EXP(-LN(2)/2))/(LN(2)/2)*AQ81*AT81*VLOOKUP('Données projet'!$B$10,Paramètres!$A$1:$I$89,3,0)*0.475*44/12</f>
        <v>4.3888030582004808E-7</v>
      </c>
      <c r="AX81" s="21">
        <f t="shared" si="60"/>
        <v>0.97641964147563165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3.1</v>
      </c>
      <c r="BD81" s="12">
        <f>IF('Données projet'!$A$88&gt;35,BD80+BC81-BL80,IF(A81&lt;'Données projet'!$A$88,$BA$205^A81,IF(A81='Données projet'!$A$88,'Données projet'!$B$88,BD80+BC81-BL80)))</f>
        <v>277.8</v>
      </c>
      <c r="BE81" s="13">
        <f>BD81*VLOOKUP('Données projet'!$B$11,Paramètres!$A$1:$I$89,3,0)*VLOOKUP('Données projet'!$B$11,Paramètres!$A$1:$I$89,5,0)</f>
        <v>242.68608000000003</v>
      </c>
      <c r="BF81" s="13">
        <f t="shared" si="91"/>
        <v>59.017078793426712</v>
      </c>
      <c r="BG81" s="20">
        <f t="shared" si="61"/>
        <v>525.46633489855151</v>
      </c>
      <c r="BH81" s="59">
        <f t="shared" si="62"/>
        <v>795.38977293297773</v>
      </c>
      <c r="BI81" s="59">
        <f ca="1">AVERAGE(OFFSET($BH$3,0,0,'Données projet'!$E$11+1,1))-AVERAGE(OFFSET($H$3,0,0,'Données projet'!$E$11+1,1))</f>
        <v>360.3011551173708</v>
      </c>
      <c r="BJ81" s="59">
        <f t="shared" si="92"/>
        <v>388.50312617855309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2.9837271165433443</v>
      </c>
      <c r="BR81" s="21">
        <f>EXP(-LN(2)/2)*BR80+(1-EXP(-LN(2)/2))/(LN(2)/2)*BL81*BO81*VLOOKUP('Données projet'!$B$11,Paramètres!$A$1:$I$89,3,0)*0.475*44/12</f>
        <v>7.0432502851805459E-7</v>
      </c>
      <c r="BS81" s="22">
        <f t="shared" si="63"/>
        <v>2.9837278208683728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7.2</v>
      </c>
      <c r="DO81" s="12">
        <f>IF('Données projet'!$A$166&gt;35,DO80+DN81-DW80,IF(A81&lt;'Données projet'!$A$166,$DL$205^A81,IF(A81='Données projet'!$A$166,'Données projet'!$B$166,DO80+DN81-DW80)))</f>
        <v>435.59999999999957</v>
      </c>
      <c r="DP81" s="17">
        <f>DO81*VLOOKUP('Données projet'!$B$14,Paramètres!$A$1:$I$89,3,0)*VLOOKUP('Données projet'!$B$14,Paramètres!$A$1:$I$89,5,0)</f>
        <v>260.48879999999974</v>
      </c>
      <c r="DQ81" s="13">
        <f t="shared" si="97"/>
        <v>62.826558970958764</v>
      </c>
      <c r="DR81" s="20">
        <f t="shared" si="70"/>
        <v>563.107583541086</v>
      </c>
      <c r="DS81" s="59">
        <f t="shared" si="71"/>
        <v>833.03102157551223</v>
      </c>
      <c r="DT81" s="59">
        <f ca="1">AVERAGE(OFFSET($DS$3,0,0,'Données projet'!$E$14+1,1))-AVERAGE(OFFSET($H$3,0,0,'Données projet'!$E$14+1,1))</f>
        <v>350.88566459278962</v>
      </c>
      <c r="DU81" s="59">
        <f t="shared" si="98"/>
        <v>342.18151800581552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3.3954758455583782</v>
      </c>
      <c r="EC81" s="21">
        <f>EXP(-LN(2)/2)*EC80+(1-EXP(-LN(2)/2))/(LN(2)/2)*DW81*DZ81*VLOOKUP('Données projet'!$B$14,Paramètres!$A$1:$I$89,3,0)*0.475*44/12</f>
        <v>1.4143800660263879E-6</v>
      </c>
      <c r="ED81" s="22">
        <f t="shared" si="72"/>
        <v>3.3954772599384442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6.1</v>
      </c>
      <c r="N82" s="13">
        <f>IF('Données projet'!$A$36&gt;35,N81+M82-V81,IF(A82&lt;'Données projet'!$A$36,$K$205^A82,IF(A82='Données projet'!$A$36,'Données projet'!$B$36,N81+M82-V81)))</f>
        <v>275.90000000000026</v>
      </c>
      <c r="O82" s="13">
        <f>N82*VLOOKUP('Données projet'!$B$9,Paramètres!$A$1:$I$89,3,0)*VLOOKUP('Données projet'!$B$9,Paramètres!$A$1:$I$89,5,0)</f>
        <v>279.7626000000003</v>
      </c>
      <c r="P82" s="13">
        <f t="shared" si="87"/>
        <v>66.916836960258763</v>
      </c>
      <c r="Q82" s="20">
        <f t="shared" si="54"/>
        <v>603.80001937245117</v>
      </c>
      <c r="R82" s="59">
        <f t="shared" si="55"/>
        <v>874.12956675362807</v>
      </c>
      <c r="S82" s="59">
        <f ca="1">AVERAGE(OFFSET($R$3,0,0,'Données projet'!$E$9+1,1))-AVERAGE(OFFSET($H$3,0,0,'Données projet'!$E$9+1,1))</f>
        <v>465.40148250851843</v>
      </c>
      <c r="T82" s="59">
        <f t="shared" si="88"/>
        <v>290.8428650572356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0.89466279608587884</v>
      </c>
      <c r="AB82" s="21">
        <f>EXP(-LN(2)/2)*AB81+(1-EXP(-LN(2)/2))/(LN(2)/2)*V82*Y82*VLOOKUP('Données projet'!$B$9,Paramètres!$A$1:$I$89,3,0)*0.475*44/12</f>
        <v>2.9234479165721419E-7</v>
      </c>
      <c r="AC82" s="22">
        <f t="shared" si="57"/>
        <v>0.89466308843067055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296.97876000000031</v>
      </c>
      <c r="AK82" s="13">
        <f t="shared" si="89"/>
        <v>70.542722895890194</v>
      </c>
      <c r="AL82" s="20">
        <f t="shared" si="58"/>
        <v>640.09991604367588</v>
      </c>
      <c r="AM82" s="59">
        <f t="shared" si="59"/>
        <v>910.42946342485288</v>
      </c>
      <c r="AN82" s="59">
        <f ca="1">AVERAGE(OFFSET($AM$3,0,0,'Données projet'!$E$10+1,1))-AVERAGE(OFFSET($H$3,0,0,'Données projet'!$E$10+1,1))</f>
        <v>489.34829722967373</v>
      </c>
      <c r="AO82" s="59">
        <f t="shared" si="90"/>
        <v>304.94365539329362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0.9497189681527024</v>
      </c>
      <c r="AW82" s="21">
        <f>EXP(-LN(2)/2)*AW81+(1-EXP(-LN(2)/2))/(LN(2)/2)*AQ82*AT82*VLOOKUP('Données projet'!$B$10,Paramètres!$A$1:$I$89,3,0)*0.475*44/12</f>
        <v>3.103352403745818E-7</v>
      </c>
      <c r="AX82" s="21">
        <f t="shared" si="60"/>
        <v>0.9497192784879428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3.1</v>
      </c>
      <c r="BD82" s="12">
        <f>IF('Données projet'!$A$88&gt;35,BD81+BC82-BL81,IF(A82&lt;'Données projet'!$A$88,$BA$205^A82,IF(A82='Données projet'!$A$88,'Données projet'!$B$88,BD81+BC82-BL81)))</f>
        <v>280.90000000000003</v>
      </c>
      <c r="BE82" s="13">
        <f>BD82*VLOOKUP('Données projet'!$B$11,Paramètres!$A$1:$I$89,3,0)*VLOOKUP('Données projet'!$B$11,Paramètres!$A$1:$I$89,5,0)</f>
        <v>245.39424000000005</v>
      </c>
      <c r="BF82" s="13">
        <f t="shared" si="91"/>
        <v>59.598621864248685</v>
      </c>
      <c r="BG82" s="20">
        <f t="shared" si="61"/>
        <v>531.19590108023328</v>
      </c>
      <c r="BH82" s="59">
        <f t="shared" si="62"/>
        <v>801.52544846141018</v>
      </c>
      <c r="BI82" s="59">
        <f ca="1">AVERAGE(OFFSET($BH$3,0,0,'Données projet'!$E$11+1,1))-AVERAGE(OFFSET($H$3,0,0,'Données projet'!$E$11+1,1))</f>
        <v>360.3011551173708</v>
      </c>
      <c r="BJ82" s="59">
        <f t="shared" si="92"/>
        <v>388.50312617855309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2.902136941634077</v>
      </c>
      <c r="BR82" s="21">
        <f>EXP(-LN(2)/2)*BR81+(1-EXP(-LN(2)/2))/(LN(2)/2)*BL82*BO82*VLOOKUP('Données projet'!$B$11,Paramètres!$A$1:$I$89,3,0)*0.475*44/12</f>
        <v>4.9803300382452485E-7</v>
      </c>
      <c r="BS82" s="22">
        <f t="shared" si="63"/>
        <v>2.9021374396670807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7.2</v>
      </c>
      <c r="DO82" s="12">
        <f>IF('Données projet'!$A$166&gt;35,DO81+DN82-DW81,IF(A82&lt;'Données projet'!$A$166,$DL$205^A82,IF(A82='Données projet'!$A$166,'Données projet'!$B$166,DO81+DN82-DW81)))</f>
        <v>442.79999999999956</v>
      </c>
      <c r="DP82" s="17">
        <f>DO82*VLOOKUP('Données projet'!$B$14,Paramètres!$A$1:$I$89,3,0)*VLOOKUP('Données projet'!$B$14,Paramètres!$A$1:$I$89,5,0)</f>
        <v>264.79439999999977</v>
      </c>
      <c r="DQ82" s="13">
        <f t="shared" si="97"/>
        <v>63.74326095490612</v>
      </c>
      <c r="DR82" s="20">
        <f t="shared" si="70"/>
        <v>572.2030928297944</v>
      </c>
      <c r="DS82" s="59">
        <f t="shared" si="71"/>
        <v>842.53264021097129</v>
      </c>
      <c r="DT82" s="59">
        <f ca="1">AVERAGE(OFFSET($DS$3,0,0,'Données projet'!$E$14+1,1))-AVERAGE(OFFSET($H$3,0,0,'Données projet'!$E$14+1,1))</f>
        <v>350.88566459278962</v>
      </c>
      <c r="DU82" s="59">
        <f t="shared" si="98"/>
        <v>342.18151800581552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3.3026263800012701</v>
      </c>
      <c r="EC82" s="21">
        <f>EXP(-LN(2)/2)*EC81+(1-EXP(-LN(2)/2))/(LN(2)/2)*DW82*DZ82*VLOOKUP('Données projet'!$B$14,Paramètres!$A$1:$I$89,3,0)*0.475*44/12</f>
        <v>1.0001177358623357E-6</v>
      </c>
      <c r="ED82" s="22">
        <f t="shared" si="72"/>
        <v>3.3026273801190058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282</v>
      </c>
      <c r="L83" s="12">
        <f>VLOOKUP(A83,'Données projet'!$A$35:$I$55,9,0)</f>
        <v>6.1</v>
      </c>
      <c r="M83" s="12">
        <f t="array" ref="M83">INDEX(L:L,MIN(IF(ISNUMBER(L83:L279),ROW(L83:L279),"")))</f>
        <v>6.1</v>
      </c>
      <c r="N83" s="13">
        <f>IF('Données projet'!$A$36&gt;35,N82+M83-V82,IF(A83&lt;'Données projet'!$A$36,$K$205^A83,IF(A83='Données projet'!$A$36,'Données projet'!$B$36,N82+M83-V82)))</f>
        <v>282.00000000000028</v>
      </c>
      <c r="O83" s="13">
        <f>N83*VLOOKUP('Données projet'!$B$9,Paramètres!$A$1:$I$89,3,0)*VLOOKUP('Données projet'!$B$9,Paramètres!$A$1:$I$89,5,0)</f>
        <v>285.94800000000032</v>
      </c>
      <c r="P83" s="13">
        <f t="shared" si="87"/>
        <v>68.222450362989434</v>
      </c>
      <c r="Q83" s="20">
        <f t="shared" si="54"/>
        <v>616.8468677155405</v>
      </c>
      <c r="R83" s="59">
        <f t="shared" si="55"/>
        <v>887.57547935422667</v>
      </c>
      <c r="S83" s="59">
        <f ca="1">AVERAGE(OFFSET($R$3,0,0,'Données projet'!$E$9+1,1))-AVERAGE(OFFSET($H$3,0,0,'Données projet'!$E$9+1,1))</f>
        <v>465.40148250851843</v>
      </c>
      <c r="T83" s="59">
        <f t="shared" si="88"/>
        <v>290.8428650572356</v>
      </c>
      <c r="U83" s="15">
        <f>IF(ISNA(VLOOKUP(A83,'Données projet'!$A$35:$I$55,3,0)),0,VLOOKUP(A83,'Données projet'!$A$35:$I$55,3,0))</f>
        <v>6</v>
      </c>
      <c r="V83" s="15">
        <f>IF(ISNA(VLOOKUP(A83,'Données projet'!$A$35:$I$55,4,0)),0,VLOOKUP(A83,'Données projet'!$A$35:$I$55,4,0))</f>
        <v>42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0.87019819487863881</v>
      </c>
      <c r="AB83" s="21">
        <f>EXP(-LN(2)/2)*AB82+(1-EXP(-LN(2)/2))/(LN(2)/2)*V83*Y83*VLOOKUP('Données projet'!$B$9,Paramètres!$A$1:$I$89,3,0)*0.475*44/12</f>
        <v>2.0671898462538458E-7</v>
      </c>
      <c r="AC83" s="22">
        <f t="shared" si="57"/>
        <v>0.87019840159762341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303.54480000000029</v>
      </c>
      <c r="AK83" s="13">
        <f t="shared" si="89"/>
        <v>71.919080904752576</v>
      </c>
      <c r="AL83" s="20">
        <f t="shared" si="58"/>
        <v>653.93292590911119</v>
      </c>
      <c r="AM83" s="59">
        <f t="shared" si="59"/>
        <v>924.66153754779725</v>
      </c>
      <c r="AN83" s="59">
        <f ca="1">AVERAGE(OFFSET($AM$3,0,0,'Données projet'!$E$10+1,1))-AVERAGE(OFFSET($H$3,0,0,'Données projet'!$E$10+1,1))</f>
        <v>489.34829722967373</v>
      </c>
      <c r="AO83" s="59">
        <f t="shared" si="90"/>
        <v>304.94365539329362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0.92374885302501686</v>
      </c>
      <c r="AW83" s="21">
        <f>EXP(-LN(2)/2)*AW82+(1-EXP(-LN(2)/2))/(LN(2)/2)*AQ83*AT83*VLOOKUP('Données projet'!$B$10,Paramètres!$A$1:$I$89,3,0)*0.475*44/12</f>
        <v>2.1944015291002404E-7</v>
      </c>
      <c r="AX83" s="21">
        <f t="shared" si="60"/>
        <v>0.9237490724651698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284</v>
      </c>
      <c r="BB83" s="12">
        <f>VLOOKUP(A83,'Données projet'!$A$87:$I$107,9,0)</f>
        <v>3.1</v>
      </c>
      <c r="BC83" s="12">
        <f t="array" ref="BC83">INDEX(BB:BB,MIN(IF(ISNUMBER(BB83:BB279),ROW(BB83:BB279),"")))</f>
        <v>3.1</v>
      </c>
      <c r="BD83" s="12">
        <f>IF('Données projet'!$A$88&gt;35,BD82+BC83-BL82,IF(A83&lt;'Données projet'!$A$88,$BA$205^A83,IF(A83='Données projet'!$A$88,'Données projet'!$B$88,BD82+BC83-BL82)))</f>
        <v>284.00000000000006</v>
      </c>
      <c r="BE83" s="13">
        <f>BD83*VLOOKUP('Données projet'!$B$11,Paramètres!$A$1:$I$89,3,0)*VLOOKUP('Données projet'!$B$11,Paramètres!$A$1:$I$89,5,0)</f>
        <v>248.10240000000007</v>
      </c>
      <c r="BF83" s="13">
        <f t="shared" si="91"/>
        <v>60.179418356999982</v>
      </c>
      <c r="BG83" s="20">
        <f t="shared" si="61"/>
        <v>536.92416697177521</v>
      </c>
      <c r="BH83" s="59">
        <f t="shared" si="62"/>
        <v>807.65277861046138</v>
      </c>
      <c r="BI83" s="59">
        <f ca="1">AVERAGE(OFFSET($BH$3,0,0,'Données projet'!$E$11+1,1))-AVERAGE(OFFSET($H$3,0,0,'Données projet'!$E$11+1,1))</f>
        <v>360.3011551173708</v>
      </c>
      <c r="BJ83" s="59">
        <f t="shared" si="92"/>
        <v>388.50312617855309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284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2.8227778543483444</v>
      </c>
      <c r="BR83" s="21">
        <f>EXP(-LN(2)/2)*BR82+(1-EXP(-LN(2)/2))/(LN(2)/2)*BL83*BO83*VLOOKUP('Données projet'!$B$11,Paramètres!$A$1:$I$89,3,0)*0.475*44/12</f>
        <v>3.5216251425902729E-7</v>
      </c>
      <c r="BS83" s="22">
        <f t="shared" si="63"/>
        <v>2.8227782065108586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450</v>
      </c>
      <c r="DM83" s="12">
        <f>VLOOKUP(A83,'Données projet'!$A$165:$I$185,9,0)</f>
        <v>7.2</v>
      </c>
      <c r="DN83" s="12">
        <f t="array" ref="DN83">INDEX(DM:DM,MIN(IF(ISNUMBER(DM83:DM279),ROW(DM83:DM279),"")))</f>
        <v>7.2</v>
      </c>
      <c r="DO83" s="12">
        <f>IF('Données projet'!$A$166&gt;35,DO82+DN83-DW82,IF(A83&lt;'Données projet'!$A$166,$DL$205^A83,IF(A83='Données projet'!$A$166,'Données projet'!$B$166,DO82+DN83-DW82)))</f>
        <v>449.99999999999955</v>
      </c>
      <c r="DP83" s="17">
        <f>DO83*VLOOKUP('Données projet'!$B$14,Paramètres!$A$1:$I$89,3,0)*VLOOKUP('Données projet'!$B$14,Paramètres!$A$1:$I$89,5,0)</f>
        <v>269.09999999999974</v>
      </c>
      <c r="DQ83" s="13">
        <f t="shared" si="97"/>
        <v>64.658229472790936</v>
      </c>
      <c r="DR83" s="20">
        <f t="shared" si="70"/>
        <v>581.29558299844382</v>
      </c>
      <c r="DS83" s="59">
        <f t="shared" si="71"/>
        <v>852.02419463712999</v>
      </c>
      <c r="DT83" s="59">
        <f ca="1">AVERAGE(OFFSET($DS$3,0,0,'Données projet'!$E$14+1,1))-AVERAGE(OFFSET($H$3,0,0,'Données projet'!$E$14+1,1))</f>
        <v>350.88566459278962</v>
      </c>
      <c r="DU83" s="59">
        <f t="shared" si="98"/>
        <v>342.18151800581552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450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3.2123158879625624</v>
      </c>
      <c r="EC83" s="21">
        <f>EXP(-LN(2)/2)*EC82+(1-EXP(-LN(2)/2))/(LN(2)/2)*DW83*DZ83*VLOOKUP('Données projet'!$B$14,Paramètres!$A$1:$I$89,3,0)*0.475*44/12</f>
        <v>7.0719003301319395E-7</v>
      </c>
      <c r="ED83" s="22">
        <f t="shared" si="72"/>
        <v>3.2123165951525956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5.6</v>
      </c>
      <c r="N84" s="13">
        <f>IF('Données projet'!$A$36&gt;35,N83+M84-V83,IF(A84&lt;'Données projet'!$A$36,$K$205^A84,IF(A84='Données projet'!$A$36,'Données projet'!$B$36,N83+M84-V83)))</f>
        <v>245.60000000000031</v>
      </c>
      <c r="O84" s="13">
        <f>N84*VLOOKUP('Données projet'!$B$9,Paramètres!$A$1:$I$89,3,0)*VLOOKUP('Données projet'!$B$9,Paramètres!$A$1:$I$89,5,0)</f>
        <v>249.03840000000034</v>
      </c>
      <c r="P84" s="13">
        <f t="shared" si="87"/>
        <v>60.379982523340054</v>
      </c>
      <c r="Q84" s="20">
        <f t="shared" si="54"/>
        <v>538.90368289481785</v>
      </c>
      <c r="R84" s="59">
        <f t="shared" si="55"/>
        <v>810.02443591831934</v>
      </c>
      <c r="S84" s="59">
        <f ca="1">AVERAGE(OFFSET($R$3,0,0,'Données projet'!$E$9+1,1))-AVERAGE(OFFSET($H$3,0,0,'Données projet'!$E$9+1,1))</f>
        <v>465.40148250851843</v>
      </c>
      <c r="T84" s="59">
        <f t="shared" si="88"/>
        <v>290.8428650572356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0.84640257947794828</v>
      </c>
      <c r="AB84" s="21">
        <f>EXP(-LN(2)/2)*AB83+(1-EXP(-LN(2)/2))/(LN(2)/2)*V84*Y84*VLOOKUP('Données projet'!$B$9,Paramètres!$A$1:$I$89,3,0)*0.475*44/12</f>
        <v>1.4617239582860709E-7</v>
      </c>
      <c r="AC84" s="22">
        <f t="shared" si="57"/>
        <v>0.84640272565034413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264.36384000000032</v>
      </c>
      <c r="AK84" s="13">
        <f t="shared" si="89"/>
        <v>63.651669282160874</v>
      </c>
      <c r="AL84" s="20">
        <f t="shared" si="58"/>
        <v>571.29367866643076</v>
      </c>
      <c r="AM84" s="59">
        <f t="shared" si="59"/>
        <v>842.41443168993214</v>
      </c>
      <c r="AN84" s="59">
        <f ca="1">AVERAGE(OFFSET($AM$3,0,0,'Données projet'!$E$10+1,1))-AVERAGE(OFFSET($H$3,0,0,'Données projet'!$E$10+1,1))</f>
        <v>489.34829722967373</v>
      </c>
      <c r="AO84" s="59">
        <f t="shared" si="90"/>
        <v>304.94365539329362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0.89848889206120686</v>
      </c>
      <c r="AW84" s="21">
        <f>EXP(-LN(2)/2)*AW83+(1-EXP(-LN(2)/2))/(LN(2)/2)*AQ84*AT84*VLOOKUP('Données projet'!$B$10,Paramètres!$A$1:$I$89,3,0)*0.475*44/12</f>
        <v>1.551676201872909E-7</v>
      </c>
      <c r="AX84" s="21">
        <f t="shared" si="60"/>
        <v>0.89848904722882705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5.6843418860808015E-14</v>
      </c>
      <c r="BE84" s="13">
        <f>BD84*VLOOKUP('Données projet'!$B$11,Paramètres!$A$1:$I$89,3,0)*VLOOKUP('Données projet'!$B$11,Paramètres!$A$1:$I$89,5,0)</f>
        <v>4.9658410716801891E-14</v>
      </c>
      <c r="BF84" s="13">
        <f t="shared" si="91"/>
        <v>8.0934058173791862E-13</v>
      </c>
      <c r="BG84" s="20">
        <f t="shared" si="61"/>
        <v>1.4960899118586383E-12</v>
      </c>
      <c r="BH84" s="59">
        <f t="shared" si="62"/>
        <v>271.12075302350291</v>
      </c>
      <c r="BI84" s="59">
        <f ca="1">AVERAGE(OFFSET($BH$3,0,0,'Données projet'!$E$11+1,1))-AVERAGE(OFFSET($H$3,0,0,'Données projet'!$E$11+1,1))</f>
        <v>360.3011551173708</v>
      </c>
      <c r="BJ84" s="59">
        <f t="shared" si="92"/>
        <v>388.50312617855309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2.7455888454777533</v>
      </c>
      <c r="BR84" s="21">
        <f>EXP(-LN(2)/2)*BR83+(1-EXP(-LN(2)/2))/(LN(2)/2)*BL84*BO84*VLOOKUP('Données projet'!$B$11,Paramètres!$A$1:$I$89,3,0)*0.475*44/12</f>
        <v>2.4901650191226243E-7</v>
      </c>
      <c r="BS84" s="22">
        <f t="shared" si="63"/>
        <v>2.7455890944942554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-4.5474735088646412E-13</v>
      </c>
      <c r="DP84" s="17">
        <f>DO84*VLOOKUP('Données projet'!$B$14,Paramètres!$A$1:$I$89,3,0)*VLOOKUP('Données projet'!$B$14,Paramètres!$A$1:$I$89,5,0)</f>
        <v>-2.7193891583010558E-13</v>
      </c>
      <c r="DQ84" s="13" t="e">
        <f t="shared" si="97"/>
        <v>#NUM!</v>
      </c>
      <c r="DR84" s="20" t="e">
        <f t="shared" si="70"/>
        <v>#NUM!</v>
      </c>
      <c r="DS84" s="59" t="e">
        <f t="shared" si="71"/>
        <v>#NUM!</v>
      </c>
      <c r="DT84" s="59">
        <f ca="1">AVERAGE(OFFSET($DS$3,0,0,'Données projet'!$E$14+1,1))-AVERAGE(OFFSET($H$3,0,0,'Données projet'!$E$14+1,1))</f>
        <v>350.88566459278962</v>
      </c>
      <c r="DU84" s="59">
        <f t="shared" si="98"/>
        <v>342.18151800581552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3.1244749410778754</v>
      </c>
      <c r="EC84" s="21">
        <f>EXP(-LN(2)/2)*EC83+(1-EXP(-LN(2)/2))/(LN(2)/2)*DW84*DZ84*VLOOKUP('Données projet'!$B$14,Paramètres!$A$1:$I$89,3,0)*0.475*44/12</f>
        <v>5.0005886793116784E-7</v>
      </c>
      <c r="ED84" s="22">
        <f t="shared" si="72"/>
        <v>3.1244754411367435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5.6</v>
      </c>
      <c r="N85" s="13">
        <f>IF('Données projet'!$A$36&gt;35,N84+M85-V84,IF(A85&lt;'Données projet'!$A$36,$K$205^A85,IF(A85='Données projet'!$A$36,'Données projet'!$B$36,N84+M85-V84)))</f>
        <v>251.2000000000003</v>
      </c>
      <c r="O85" s="13">
        <f>N85*VLOOKUP('Données projet'!$B$9,Paramètres!$A$1:$I$89,3,0)*VLOOKUP('Données projet'!$B$9,Paramètres!$A$1:$I$89,5,0)</f>
        <v>254.71680000000032</v>
      </c>
      <c r="P85" s="13">
        <f t="shared" si="87"/>
        <v>61.594871205031644</v>
      </c>
      <c r="Q85" s="20">
        <f t="shared" si="54"/>
        <v>550.9094940154306</v>
      </c>
      <c r="R85" s="59">
        <f t="shared" si="55"/>
        <v>822.41558564741763</v>
      </c>
      <c r="S85" s="59">
        <f ca="1">AVERAGE(OFFSET($R$3,0,0,'Données projet'!$E$9+1,1))-AVERAGE(OFFSET($H$3,0,0,'Données projet'!$E$9+1,1))</f>
        <v>465.40148250851843</v>
      </c>
      <c r="T85" s="59">
        <f t="shared" si="88"/>
        <v>290.8428650572356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0.82325765643174664</v>
      </c>
      <c r="AB85" s="21">
        <f>EXP(-LN(2)/2)*AB84+(1-EXP(-LN(2)/2))/(LN(2)/2)*V85*Y85*VLOOKUP('Données projet'!$B$9,Paramètres!$A$1:$I$89,3,0)*0.475*44/12</f>
        <v>1.0335949231269229E-7</v>
      </c>
      <c r="AC85" s="22">
        <f t="shared" si="57"/>
        <v>0.82325775979123894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270.39168000000035</v>
      </c>
      <c r="AK85" s="13">
        <f t="shared" si="89"/>
        <v>64.93238665487263</v>
      </c>
      <c r="AL85" s="20">
        <f t="shared" si="58"/>
        <v>584.02274942390375</v>
      </c>
      <c r="AM85" s="59">
        <f t="shared" si="59"/>
        <v>855.52884105589078</v>
      </c>
      <c r="AN85" s="59">
        <f ca="1">AVERAGE(OFFSET($AM$3,0,0,'Données projet'!$E$10+1,1))-AVERAGE(OFFSET($H$3,0,0,'Données projet'!$E$10+1,1))</f>
        <v>489.34829722967373</v>
      </c>
      <c r="AO85" s="59">
        <f t="shared" si="90"/>
        <v>304.94365539329362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0.87391966605831584</v>
      </c>
      <c r="AW85" s="21">
        <f>EXP(-LN(2)/2)*AW84+(1-EXP(-LN(2)/2))/(LN(2)/2)*AQ85*AT85*VLOOKUP('Données projet'!$B$10,Paramètres!$A$1:$I$89,3,0)*0.475*44/12</f>
        <v>1.0972007645501202E-7</v>
      </c>
      <c r="AX85" s="21">
        <f t="shared" si="60"/>
        <v>0.8739197757783923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5.6843418860808015E-14</v>
      </c>
      <c r="BE85" s="13">
        <f>BD85*VLOOKUP('Données projet'!$B$11,Paramètres!$A$1:$I$89,3,0)*VLOOKUP('Données projet'!$B$11,Paramètres!$A$1:$I$89,5,0)</f>
        <v>4.9658410716801891E-14</v>
      </c>
      <c r="BF85" s="13">
        <f t="shared" si="91"/>
        <v>8.0934058173791862E-13</v>
      </c>
      <c r="BG85" s="20">
        <f t="shared" si="61"/>
        <v>1.4960899118586383E-12</v>
      </c>
      <c r="BH85" s="59">
        <f t="shared" si="62"/>
        <v>271.50609163198851</v>
      </c>
      <c r="BI85" s="59">
        <f ca="1">AVERAGE(OFFSET($BH$3,0,0,'Données projet'!$E$11+1,1))-AVERAGE(OFFSET($H$3,0,0,'Données projet'!$E$11+1,1))</f>
        <v>360.3011551173708</v>
      </c>
      <c r="BJ85" s="59">
        <f t="shared" si="92"/>
        <v>388.50312617855309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2.6705105741139219</v>
      </c>
      <c r="BR85" s="21">
        <f>EXP(-LN(2)/2)*BR84+(1-EXP(-LN(2)/2))/(LN(2)/2)*BL85*BO85*VLOOKUP('Données projet'!$B$11,Paramètres!$A$1:$I$89,3,0)*0.475*44/12</f>
        <v>1.7608125712951365E-7</v>
      </c>
      <c r="BS85" s="22">
        <f t="shared" si="63"/>
        <v>2.670510750195179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-4.5474735088646412E-13</v>
      </c>
      <c r="DP85" s="17">
        <f>DO85*VLOOKUP('Données projet'!$B$14,Paramètres!$A$1:$I$89,3,0)*VLOOKUP('Données projet'!$B$14,Paramètres!$A$1:$I$89,5,0)</f>
        <v>-2.7193891583010558E-13</v>
      </c>
      <c r="DQ85" s="13" t="e">
        <f t="shared" si="97"/>
        <v>#NUM!</v>
      </c>
      <c r="DR85" s="20" t="e">
        <f t="shared" si="70"/>
        <v>#NUM!</v>
      </c>
      <c r="DS85" s="59" t="e">
        <f t="shared" si="71"/>
        <v>#NUM!</v>
      </c>
      <c r="DT85" s="59">
        <f ca="1">AVERAGE(OFFSET($DS$3,0,0,'Données projet'!$E$14+1,1))-AVERAGE(OFFSET($H$3,0,0,'Données projet'!$E$14+1,1))</f>
        <v>350.88566459278962</v>
      </c>
      <c r="DU85" s="59">
        <f t="shared" si="98"/>
        <v>342.18151800581552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3.039036009505105</v>
      </c>
      <c r="EC85" s="21">
        <f>EXP(-LN(2)/2)*EC84+(1-EXP(-LN(2)/2))/(LN(2)/2)*DW85*DZ85*VLOOKUP('Données projet'!$B$14,Paramètres!$A$1:$I$89,3,0)*0.475*44/12</f>
        <v>3.5359501650659697E-7</v>
      </c>
      <c r="ED85" s="22">
        <f t="shared" si="72"/>
        <v>3.0390363631001214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5.6</v>
      </c>
      <c r="N86" s="13">
        <f>IF('Données projet'!$A$36&gt;35,N85+M86-V85,IF(A86&lt;'Données projet'!$A$36,$K$205^A86,IF(A86='Données projet'!$A$36,'Données projet'!$B$36,N85+M86-V85)))</f>
        <v>256.8000000000003</v>
      </c>
      <c r="O86" s="13">
        <f>N86*VLOOKUP('Données projet'!$B$9,Paramètres!$A$1:$I$89,3,0)*VLOOKUP('Données projet'!$B$9,Paramètres!$A$1:$I$89,5,0)</f>
        <v>260.39520000000027</v>
      </c>
      <c r="P86" s="13">
        <f t="shared" si="87"/>
        <v>62.80661117771438</v>
      </c>
      <c r="Q86" s="20">
        <f t="shared" si="54"/>
        <v>562.90982113451958</v>
      </c>
      <c r="R86" s="59">
        <f t="shared" si="55"/>
        <v>834.79456661162305</v>
      </c>
      <c r="S86" s="59">
        <f ca="1">AVERAGE(OFFSET($R$3,0,0,'Données projet'!$E$9+1,1))-AVERAGE(OFFSET($H$3,0,0,'Données projet'!$E$9+1,1))</f>
        <v>465.40148250851843</v>
      </c>
      <c r="T86" s="59">
        <f t="shared" si="88"/>
        <v>290.8428650572356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0.80074563252338193</v>
      </c>
      <c r="AB86" s="21">
        <f>EXP(-LN(2)/2)*AB85+(1-EXP(-LN(2)/2))/(LN(2)/2)*V86*Y86*VLOOKUP('Données projet'!$B$9,Paramètres!$A$1:$I$89,3,0)*0.475*44/12</f>
        <v>7.3086197914303546E-8</v>
      </c>
      <c r="AC86" s="22">
        <f t="shared" si="57"/>
        <v>0.80074570560957981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276.41952000000026</v>
      </c>
      <c r="AK86" s="13">
        <f t="shared" si="89"/>
        <v>66.209784705913222</v>
      </c>
      <c r="AL86" s="20">
        <f t="shared" si="58"/>
        <v>596.74603902946581</v>
      </c>
      <c r="AM86" s="59">
        <f t="shared" si="59"/>
        <v>868.63078450656928</v>
      </c>
      <c r="AN86" s="59">
        <f ca="1">AVERAGE(OFFSET($AM$3,0,0,'Données projet'!$E$10+1,1))-AVERAGE(OFFSET($H$3,0,0,'Données projet'!$E$10+1,1))</f>
        <v>489.34829722967373</v>
      </c>
      <c r="AO86" s="59">
        <f t="shared" si="90"/>
        <v>304.94365539329362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0.85002228683251335</v>
      </c>
      <c r="AW86" s="21">
        <f>EXP(-LN(2)/2)*AW85+(1-EXP(-LN(2)/2))/(LN(2)/2)*AQ86*AT86*VLOOKUP('Données projet'!$B$10,Paramètres!$A$1:$I$89,3,0)*0.475*44/12</f>
        <v>7.7583810093645449E-8</v>
      </c>
      <c r="AX86" s="21">
        <f t="shared" si="60"/>
        <v>0.85002236441632339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5.6843418860808015E-14</v>
      </c>
      <c r="BE86" s="13">
        <f>BD86*VLOOKUP('Données projet'!$B$11,Paramètres!$A$1:$I$89,3,0)*VLOOKUP('Données projet'!$B$11,Paramètres!$A$1:$I$89,5,0)</f>
        <v>4.9658410716801891E-14</v>
      </c>
      <c r="BF86" s="13">
        <f t="shared" si="91"/>
        <v>8.0934058173791862E-13</v>
      </c>
      <c r="BG86" s="20">
        <f t="shared" si="61"/>
        <v>1.4960899118586383E-12</v>
      </c>
      <c r="BH86" s="59">
        <f t="shared" si="62"/>
        <v>271.88474547710496</v>
      </c>
      <c r="BI86" s="59">
        <f ca="1">AVERAGE(OFFSET($BH$3,0,0,'Données projet'!$E$11+1,1))-AVERAGE(OFFSET($H$3,0,0,'Données projet'!$E$11+1,1))</f>
        <v>360.3011551173708</v>
      </c>
      <c r="BJ86" s="59">
        <f t="shared" si="92"/>
        <v>388.50312617855309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2.5974853220287293</v>
      </c>
      <c r="BR86" s="21">
        <f>EXP(-LN(2)/2)*BR85+(1-EXP(-LN(2)/2))/(LN(2)/2)*BL86*BO86*VLOOKUP('Données projet'!$B$11,Paramètres!$A$1:$I$89,3,0)*0.475*44/12</f>
        <v>1.2450825095613121E-7</v>
      </c>
      <c r="BS86" s="22">
        <f t="shared" si="63"/>
        <v>2.5974854465369801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-4.5474735088646412E-13</v>
      </c>
      <c r="DP86" s="17">
        <f>DO86*VLOOKUP('Données projet'!$B$14,Paramètres!$A$1:$I$89,3,0)*VLOOKUP('Données projet'!$B$14,Paramètres!$A$1:$I$89,5,0)</f>
        <v>-2.7193891583010558E-13</v>
      </c>
      <c r="DQ86" s="13" t="e">
        <f t="shared" si="97"/>
        <v>#NUM!</v>
      </c>
      <c r="DR86" s="20" t="e">
        <f t="shared" si="70"/>
        <v>#NUM!</v>
      </c>
      <c r="DS86" s="59" t="e">
        <f t="shared" si="71"/>
        <v>#NUM!</v>
      </c>
      <c r="DT86" s="59">
        <f ca="1">AVERAGE(OFFSET($DS$3,0,0,'Données projet'!$E$14+1,1))-AVERAGE(OFFSET($H$3,0,0,'Données projet'!$E$14+1,1))</f>
        <v>350.88566459278962</v>
      </c>
      <c r="DU86" s="59">
        <f t="shared" si="98"/>
        <v>342.18151800581552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2.95593341000923</v>
      </c>
      <c r="EC86" s="21">
        <f>EXP(-LN(2)/2)*EC85+(1-EXP(-LN(2)/2))/(LN(2)/2)*DW86*DZ86*VLOOKUP('Données projet'!$B$14,Paramètres!$A$1:$I$89,3,0)*0.475*44/12</f>
        <v>2.5002943396558392E-7</v>
      </c>
      <c r="ED86" s="22">
        <f t="shared" si="72"/>
        <v>2.9559336600386641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5.6</v>
      </c>
      <c r="N87" s="13">
        <f>IF('Données projet'!$A$36&gt;35,N86+M87-V86,IF(A87&lt;'Données projet'!$A$36,$K$205^A87,IF(A87='Données projet'!$A$36,'Données projet'!$B$36,N86+M87-V86)))</f>
        <v>262.40000000000032</v>
      </c>
      <c r="O87" s="13">
        <f>N87*VLOOKUP('Données projet'!$B$9,Paramètres!$A$1:$I$89,3,0)*VLOOKUP('Données projet'!$B$9,Paramètres!$A$1:$I$89,5,0)</f>
        <v>266.07360000000034</v>
      </c>
      <c r="P87" s="13">
        <f t="shared" si="87"/>
        <v>64.015279012301193</v>
      </c>
      <c r="Q87" s="20">
        <f t="shared" si="54"/>
        <v>574.90479761309177</v>
      </c>
      <c r="R87" s="59">
        <f t="shared" si="55"/>
        <v>847.16162813764208</v>
      </c>
      <c r="S87" s="59">
        <f ca="1">AVERAGE(OFFSET($R$3,0,0,'Données projet'!$E$9+1,1))-AVERAGE(OFFSET($H$3,0,0,'Données projet'!$E$9+1,1))</f>
        <v>465.40148250851843</v>
      </c>
      <c r="T87" s="59">
        <f t="shared" si="88"/>
        <v>290.8428650572356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0.77884920109264733</v>
      </c>
      <c r="AB87" s="21">
        <f>EXP(-LN(2)/2)*AB86+(1-EXP(-LN(2)/2))/(LN(2)/2)*V87*Y87*VLOOKUP('Données projet'!$B$9,Paramètres!$A$1:$I$89,3,0)*0.475*44/12</f>
        <v>5.1679746156346144E-8</v>
      </c>
      <c r="AC87" s="22">
        <f t="shared" si="57"/>
        <v>0.77884925277239347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282.44736000000034</v>
      </c>
      <c r="AK87" s="13">
        <f t="shared" si="89"/>
        <v>67.48394415518699</v>
      </c>
      <c r="AL87" s="20">
        <f t="shared" si="58"/>
        <v>609.46368807028455</v>
      </c>
      <c r="AM87" s="59">
        <f t="shared" si="59"/>
        <v>881.72051859483486</v>
      </c>
      <c r="AN87" s="59">
        <f ca="1">AVERAGE(OFFSET($AM$3,0,0,'Données projet'!$E$10+1,1))-AVERAGE(OFFSET($H$3,0,0,'Données projet'!$E$10+1,1))</f>
        <v>489.34829722967373</v>
      </c>
      <c r="AO87" s="59">
        <f t="shared" si="90"/>
        <v>304.94365539329362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0.82677838269834891</v>
      </c>
      <c r="AW87" s="21">
        <f>EXP(-LN(2)/2)*AW86+(1-EXP(-LN(2)/2))/(LN(2)/2)*AQ87*AT87*VLOOKUP('Données projet'!$B$10,Paramètres!$A$1:$I$89,3,0)*0.475*44/12</f>
        <v>5.486003822750601E-8</v>
      </c>
      <c r="AX87" s="21">
        <f t="shared" si="60"/>
        <v>0.82677843755838709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5.6843418860808015E-14</v>
      </c>
      <c r="BE87" s="13">
        <f>BD87*VLOOKUP('Données projet'!$B$11,Paramètres!$A$1:$I$89,3,0)*VLOOKUP('Données projet'!$B$11,Paramètres!$A$1:$I$89,5,0)</f>
        <v>4.9658410716801891E-14</v>
      </c>
      <c r="BF87" s="13">
        <f t="shared" si="91"/>
        <v>8.0934058173791862E-13</v>
      </c>
      <c r="BG87" s="20">
        <f t="shared" si="61"/>
        <v>1.4960899118586383E-12</v>
      </c>
      <c r="BH87" s="59">
        <f t="shared" si="62"/>
        <v>272.25683052455179</v>
      </c>
      <c r="BI87" s="59">
        <f ca="1">AVERAGE(OFFSET($BH$3,0,0,'Données projet'!$E$11+1,1))-AVERAGE(OFFSET($H$3,0,0,'Données projet'!$E$11+1,1))</f>
        <v>360.3011551173708</v>
      </c>
      <c r="BJ87" s="59">
        <f t="shared" si="92"/>
        <v>388.50312617855309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2.526456949302037</v>
      </c>
      <c r="BR87" s="21">
        <f>EXP(-LN(2)/2)*BR86+(1-EXP(-LN(2)/2))/(LN(2)/2)*BL87*BO87*VLOOKUP('Données projet'!$B$11,Paramètres!$A$1:$I$89,3,0)*0.475*44/12</f>
        <v>8.8040628564756823E-8</v>
      </c>
      <c r="BS87" s="22">
        <f t="shared" si="63"/>
        <v>2.5264570373426656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-4.5474735088646412E-13</v>
      </c>
      <c r="DP87" s="17">
        <f>DO87*VLOOKUP('Données projet'!$B$14,Paramètres!$A$1:$I$89,3,0)*VLOOKUP('Données projet'!$B$14,Paramètres!$A$1:$I$89,5,0)</f>
        <v>-2.7193891583010558E-13</v>
      </c>
      <c r="DQ87" s="13" t="e">
        <f t="shared" si="97"/>
        <v>#NUM!</v>
      </c>
      <c r="DR87" s="20" t="e">
        <f t="shared" si="70"/>
        <v>#NUM!</v>
      </c>
      <c r="DS87" s="59" t="e">
        <f t="shared" si="71"/>
        <v>#NUM!</v>
      </c>
      <c r="DT87" s="59">
        <f ca="1">AVERAGE(OFFSET($DS$3,0,0,'Données projet'!$E$14+1,1))-AVERAGE(OFFSET($H$3,0,0,'Données projet'!$E$14+1,1))</f>
        <v>350.88566459278962</v>
      </c>
      <c r="DU87" s="59">
        <f t="shared" si="98"/>
        <v>342.18151800581552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2.8751032554667453</v>
      </c>
      <c r="EC87" s="21">
        <f>EXP(-LN(2)/2)*EC86+(1-EXP(-LN(2)/2))/(LN(2)/2)*DW87*DZ87*VLOOKUP('Données projet'!$B$14,Paramètres!$A$1:$I$89,3,0)*0.475*44/12</f>
        <v>1.7679750825329849E-7</v>
      </c>
      <c r="ED87" s="22">
        <f t="shared" si="72"/>
        <v>2.8751034322642535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5.6</v>
      </c>
      <c r="N88" s="13">
        <f>IF('Données projet'!$A$36&gt;35,N87+M88-V87,IF(A88&lt;'Données projet'!$A$36,$K$205^A88,IF(A88='Données projet'!$A$36,'Données projet'!$B$36,N87+M88-V87)))</f>
        <v>268.00000000000034</v>
      </c>
      <c r="O88" s="13">
        <f>N88*VLOOKUP('Données projet'!$B$9,Paramètres!$A$1:$I$89,3,0)*VLOOKUP('Données projet'!$B$9,Paramètres!$A$1:$I$89,5,0)</f>
        <v>271.75200000000035</v>
      </c>
      <c r="P88" s="13">
        <f t="shared" si="87"/>
        <v>65.220947824725044</v>
      </c>
      <c r="Q88" s="20">
        <f t="shared" si="54"/>
        <v>586.89455079472998</v>
      </c>
      <c r="R88" s="59">
        <f t="shared" si="55"/>
        <v>859.51701152301143</v>
      </c>
      <c r="S88" s="59">
        <f ca="1">AVERAGE(OFFSET($R$3,0,0,'Données projet'!$E$9+1,1))-AVERAGE(OFFSET($H$3,0,0,'Données projet'!$E$9+1,1))</f>
        <v>465.40148250851843</v>
      </c>
      <c r="T88" s="59">
        <f t="shared" si="88"/>
        <v>290.8428650572356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0.75755152873086951</v>
      </c>
      <c r="AB88" s="21">
        <f>EXP(-LN(2)/2)*AB87+(1-EXP(-LN(2)/2))/(LN(2)/2)*V88*Y88*VLOOKUP('Données projet'!$B$9,Paramètres!$A$1:$I$89,3,0)*0.475*44/12</f>
        <v>3.6543098957151773E-8</v>
      </c>
      <c r="AC88" s="22">
        <f t="shared" si="57"/>
        <v>0.7575515652739685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288.47520000000037</v>
      </c>
      <c r="AK88" s="13">
        <f t="shared" si="89"/>
        <v>68.754942080410899</v>
      </c>
      <c r="AL88" s="20">
        <f t="shared" si="58"/>
        <v>622.17583079004964</v>
      </c>
      <c r="AM88" s="59">
        <f t="shared" si="59"/>
        <v>894.7982915183311</v>
      </c>
      <c r="AN88" s="59">
        <f ca="1">AVERAGE(OFFSET($AM$3,0,0,'Données projet'!$E$10+1,1))-AVERAGE(OFFSET($H$3,0,0,'Données projet'!$E$10+1,1))</f>
        <v>489.34829722967373</v>
      </c>
      <c r="AO88" s="59">
        <f t="shared" si="90"/>
        <v>304.94365539329362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0.80417008434507709</v>
      </c>
      <c r="AW88" s="21">
        <f>EXP(-LN(2)/2)*AW87+(1-EXP(-LN(2)/2))/(LN(2)/2)*AQ88*AT88*VLOOKUP('Données projet'!$B$10,Paramètres!$A$1:$I$89,3,0)*0.475*44/12</f>
        <v>3.8791905046822724E-8</v>
      </c>
      <c r="AX88" s="21">
        <f t="shared" si="60"/>
        <v>0.80417012313698211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5.6843418860808015E-14</v>
      </c>
      <c r="BE88" s="13">
        <f>BD88*VLOOKUP('Données projet'!$B$11,Paramètres!$A$1:$I$89,3,0)*VLOOKUP('Données projet'!$B$11,Paramètres!$A$1:$I$89,5,0)</f>
        <v>4.9658410716801891E-14</v>
      </c>
      <c r="BF88" s="13">
        <f t="shared" si="91"/>
        <v>8.0934058173791862E-13</v>
      </c>
      <c r="BG88" s="20">
        <f t="shared" si="61"/>
        <v>1.4960899118586383E-12</v>
      </c>
      <c r="BH88" s="59">
        <f t="shared" si="62"/>
        <v>272.62246072828299</v>
      </c>
      <c r="BI88" s="59">
        <f ca="1">AVERAGE(OFFSET($BH$3,0,0,'Données projet'!$E$11+1,1))-AVERAGE(OFFSET($H$3,0,0,'Données projet'!$E$11+1,1))</f>
        <v>360.3011551173708</v>
      </c>
      <c r="BJ88" s="59">
        <f t="shared" si="92"/>
        <v>388.50312617855309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2.4573708511627763</v>
      </c>
      <c r="BR88" s="21">
        <f>EXP(-LN(2)/2)*BR87+(1-EXP(-LN(2)/2))/(LN(2)/2)*BL88*BO88*VLOOKUP('Données projet'!$B$11,Paramètres!$A$1:$I$89,3,0)*0.475*44/12</f>
        <v>6.2254125478065607E-8</v>
      </c>
      <c r="BS88" s="22">
        <f t="shared" si="63"/>
        <v>2.4573709134169017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-4.5474735088646412E-13</v>
      </c>
      <c r="DP88" s="17">
        <f>DO88*VLOOKUP('Données projet'!$B$14,Paramètres!$A$1:$I$89,3,0)*VLOOKUP('Données projet'!$B$14,Paramètres!$A$1:$I$89,5,0)</f>
        <v>-2.7193891583010558E-13</v>
      </c>
      <c r="DQ88" s="13" t="e">
        <f t="shared" si="97"/>
        <v>#NUM!</v>
      </c>
      <c r="DR88" s="20" t="e">
        <f t="shared" si="70"/>
        <v>#NUM!</v>
      </c>
      <c r="DS88" s="59" t="e">
        <f t="shared" si="71"/>
        <v>#NUM!</v>
      </c>
      <c r="DT88" s="59">
        <f ca="1">AVERAGE(OFFSET($DS$3,0,0,'Données projet'!$E$14+1,1))-AVERAGE(OFFSET($H$3,0,0,'Données projet'!$E$14+1,1))</f>
        <v>350.88566459278962</v>
      </c>
      <c r="DU88" s="59">
        <f t="shared" si="98"/>
        <v>342.18151800581552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2.796483405750898</v>
      </c>
      <c r="EC88" s="21">
        <f>EXP(-LN(2)/2)*EC87+(1-EXP(-LN(2)/2))/(LN(2)/2)*DW88*DZ88*VLOOKUP('Données projet'!$B$14,Paramètres!$A$1:$I$89,3,0)*0.475*44/12</f>
        <v>1.2501471698279196E-7</v>
      </c>
      <c r="ED88" s="22">
        <f t="shared" si="72"/>
        <v>2.7964835307656148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5.6</v>
      </c>
      <c r="N89" s="13">
        <f>IF('Données projet'!$A$36&gt;35,N88+M89-V88,IF(A89&lt;'Données projet'!$A$36,$K$205^A89,IF(A89='Données projet'!$A$36,'Données projet'!$B$36,N88+M89-V88)))</f>
        <v>273.60000000000036</v>
      </c>
      <c r="O89" s="13">
        <f>N89*VLOOKUP('Données projet'!$B$9,Paramètres!$A$1:$I$89,3,0)*VLOOKUP('Données projet'!$B$9,Paramètres!$A$1:$I$89,5,0)</f>
        <v>277.43040000000036</v>
      </c>
      <c r="P89" s="13">
        <f t="shared" si="87"/>
        <v>66.423687500715801</v>
      </c>
      <c r="Q89" s="20">
        <f t="shared" si="54"/>
        <v>598.87920239708058</v>
      </c>
      <c r="R89" s="59">
        <f t="shared" si="55"/>
        <v>871.86095046248533</v>
      </c>
      <c r="S89" s="59">
        <f ca="1">AVERAGE(OFFSET($R$3,0,0,'Données projet'!$E$9+1,1))-AVERAGE(OFFSET($H$3,0,0,'Données projet'!$E$9+1,1))</f>
        <v>465.40148250851843</v>
      </c>
      <c r="T89" s="59">
        <f t="shared" si="88"/>
        <v>290.8428650572356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0.73683624233982037</v>
      </c>
      <c r="AB89" s="21">
        <f>EXP(-LN(2)/2)*AB88+(1-EXP(-LN(2)/2))/(LN(2)/2)*V89*Y89*VLOOKUP('Données projet'!$B$9,Paramètres!$A$1:$I$89,3,0)*0.475*44/12</f>
        <v>2.5839873078173072E-8</v>
      </c>
      <c r="AC89" s="22">
        <f t="shared" si="57"/>
        <v>0.7368362681796935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294.5030400000004</v>
      </c>
      <c r="AK89" s="13">
        <f t="shared" si="89"/>
        <v>70.022852154069838</v>
      </c>
      <c r="AL89" s="20">
        <f t="shared" si="58"/>
        <v>634.8825955016722</v>
      </c>
      <c r="AM89" s="59">
        <f t="shared" si="59"/>
        <v>907.86434356707696</v>
      </c>
      <c r="AN89" s="59">
        <f ca="1">AVERAGE(OFFSET($AM$3,0,0,'Données projet'!$E$10+1,1))-AVERAGE(OFFSET($H$3,0,0,'Données projet'!$E$10+1,1))</f>
        <v>489.34829722967373</v>
      </c>
      <c r="AO89" s="59">
        <f t="shared" si="90"/>
        <v>304.94365539329362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0.78218001109919422</v>
      </c>
      <c r="AW89" s="21">
        <f>EXP(-LN(2)/2)*AW88+(1-EXP(-LN(2)/2))/(LN(2)/2)*AQ89*AT89*VLOOKUP('Données projet'!$B$10,Paramètres!$A$1:$I$89,3,0)*0.475*44/12</f>
        <v>2.7430019113753005E-8</v>
      </c>
      <c r="AX89" s="21">
        <f t="shared" si="60"/>
        <v>0.78218003852921336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5.6843418860808015E-14</v>
      </c>
      <c r="BE89" s="13">
        <f>BD89*VLOOKUP('Données projet'!$B$11,Paramètres!$A$1:$I$89,3,0)*VLOOKUP('Données projet'!$B$11,Paramètres!$A$1:$I$89,5,0)</f>
        <v>4.9658410716801891E-14</v>
      </c>
      <c r="BF89" s="13">
        <f t="shared" si="91"/>
        <v>8.0934058173791862E-13</v>
      </c>
      <c r="BG89" s="20">
        <f t="shared" si="61"/>
        <v>1.4960899118586383E-12</v>
      </c>
      <c r="BH89" s="59">
        <f t="shared" si="62"/>
        <v>272.98174806540618</v>
      </c>
      <c r="BI89" s="59">
        <f ca="1">AVERAGE(OFFSET($BH$3,0,0,'Données projet'!$E$11+1,1))-AVERAGE(OFFSET($H$3,0,0,'Données projet'!$E$11+1,1))</f>
        <v>360.3011551173708</v>
      </c>
      <c r="BJ89" s="59">
        <f t="shared" si="92"/>
        <v>388.50312617855309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2.3901739160102133</v>
      </c>
      <c r="BR89" s="21">
        <f>EXP(-LN(2)/2)*BR88+(1-EXP(-LN(2)/2))/(LN(2)/2)*BL89*BO89*VLOOKUP('Données projet'!$B$11,Paramètres!$A$1:$I$89,3,0)*0.475*44/12</f>
        <v>4.4020314282378412E-8</v>
      </c>
      <c r="BS89" s="22">
        <f t="shared" si="63"/>
        <v>2.3901739600305274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-4.5474735088646412E-13</v>
      </c>
      <c r="DP89" s="17">
        <f>DO89*VLOOKUP('Données projet'!$B$14,Paramètres!$A$1:$I$89,3,0)*VLOOKUP('Données projet'!$B$14,Paramètres!$A$1:$I$89,5,0)</f>
        <v>-2.7193891583010558E-13</v>
      </c>
      <c r="DQ89" s="13" t="e">
        <f t="shared" si="97"/>
        <v>#NUM!</v>
      </c>
      <c r="DR89" s="20" t="e">
        <f t="shared" si="70"/>
        <v>#NUM!</v>
      </c>
      <c r="DS89" s="59" t="e">
        <f t="shared" si="71"/>
        <v>#NUM!</v>
      </c>
      <c r="DT89" s="59">
        <f ca="1">AVERAGE(OFFSET($DS$3,0,0,'Données projet'!$E$14+1,1))-AVERAGE(OFFSET($H$3,0,0,'Données projet'!$E$14+1,1))</f>
        <v>350.88566459278962</v>
      </c>
      <c r="DU89" s="59">
        <f t="shared" si="98"/>
        <v>342.18151800581552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2.7200134199599688</v>
      </c>
      <c r="EC89" s="21">
        <f>EXP(-LN(2)/2)*EC88+(1-EXP(-LN(2)/2))/(LN(2)/2)*DW89*DZ89*VLOOKUP('Données projet'!$B$14,Paramètres!$A$1:$I$89,3,0)*0.475*44/12</f>
        <v>8.8398754126649244E-8</v>
      </c>
      <c r="ED89" s="22">
        <f t="shared" si="72"/>
        <v>2.7200135083587229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5.6</v>
      </c>
      <c r="N90" s="13">
        <f>IF('Données projet'!$A$36&gt;35,N89+M90-V89,IF(A90&lt;'Données projet'!$A$36,$K$205^A90,IF(A90='Données projet'!$A$36,'Données projet'!$B$36,N89+M90-V89)))</f>
        <v>279.20000000000039</v>
      </c>
      <c r="O90" s="13">
        <f>N90*VLOOKUP('Données projet'!$B$9,Paramètres!$A$1:$I$89,3,0)*VLOOKUP('Données projet'!$B$9,Paramètres!$A$1:$I$89,5,0)</f>
        <v>283.10880000000037</v>
      </c>
      <c r="P90" s="13">
        <f t="shared" si="87"/>
        <v>67.623564901653921</v>
      </c>
      <c r="Q90" s="20">
        <f t="shared" si="54"/>
        <v>610.85886887038123</v>
      </c>
      <c r="R90" s="59">
        <f t="shared" si="55"/>
        <v>884.19367144085606</v>
      </c>
      <c r="S90" s="59">
        <f ca="1">AVERAGE(OFFSET($R$3,0,0,'Données projet'!$E$9+1,1))-AVERAGE(OFFSET($H$3,0,0,'Données projet'!$E$9+1,1))</f>
        <v>465.40148250851843</v>
      </c>
      <c r="T90" s="59">
        <f t="shared" si="88"/>
        <v>290.8428650572356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0.71668741654450407</v>
      </c>
      <c r="AB90" s="21">
        <f>EXP(-LN(2)/2)*AB89+(1-EXP(-LN(2)/2))/(LN(2)/2)*V90*Y90*VLOOKUP('Données projet'!$B$9,Paramètres!$A$1:$I$89,3,0)*0.475*44/12</f>
        <v>1.8271549478575887E-8</v>
      </c>
      <c r="AC90" s="22">
        <f t="shared" si="57"/>
        <v>0.71668743481605357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300.53088000000042</v>
      </c>
      <c r="AK90" s="13">
        <f t="shared" si="89"/>
        <v>71.287744860425519</v>
      </c>
      <c r="AL90" s="20">
        <f t="shared" si="58"/>
        <v>647.58410496524175</v>
      </c>
      <c r="AM90" s="59">
        <f t="shared" si="59"/>
        <v>920.91890753571658</v>
      </c>
      <c r="AN90" s="59">
        <f ca="1">AVERAGE(OFFSET($AM$3,0,0,'Données projet'!$E$10+1,1))-AVERAGE(OFFSET($H$3,0,0,'Données projet'!$E$10+1,1))</f>
        <v>489.34829722967373</v>
      </c>
      <c r="AO90" s="59">
        <f t="shared" si="90"/>
        <v>304.94365539329362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0.76079125756262767</v>
      </c>
      <c r="AW90" s="21">
        <f>EXP(-LN(2)/2)*AW89+(1-EXP(-LN(2)/2))/(LN(2)/2)*AQ90*AT90*VLOOKUP('Données projet'!$B$10,Paramètres!$A$1:$I$89,3,0)*0.475*44/12</f>
        <v>1.9395952523411362E-8</v>
      </c>
      <c r="AX90" s="21">
        <f t="shared" si="60"/>
        <v>0.76079127695858018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5.6843418860808015E-14</v>
      </c>
      <c r="BE90" s="13">
        <f>BD90*VLOOKUP('Données projet'!$B$11,Paramètres!$A$1:$I$89,3,0)*VLOOKUP('Données projet'!$B$11,Paramètres!$A$1:$I$89,5,0)</f>
        <v>4.9658410716801891E-14</v>
      </c>
      <c r="BF90" s="13">
        <f t="shared" si="91"/>
        <v>8.0934058173791862E-13</v>
      </c>
      <c r="BG90" s="20">
        <f t="shared" si="61"/>
        <v>1.4960899118586383E-12</v>
      </c>
      <c r="BH90" s="59">
        <f t="shared" si="62"/>
        <v>273.33480257047631</v>
      </c>
      <c r="BI90" s="59">
        <f ca="1">AVERAGE(OFFSET($BH$3,0,0,'Données projet'!$E$11+1,1))-AVERAGE(OFFSET($H$3,0,0,'Données projet'!$E$11+1,1))</f>
        <v>360.3011551173708</v>
      </c>
      <c r="BJ90" s="59">
        <f t="shared" si="92"/>
        <v>388.50312617855309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2.3248144845831304</v>
      </c>
      <c r="BR90" s="21">
        <f>EXP(-LN(2)/2)*BR89+(1-EXP(-LN(2)/2))/(LN(2)/2)*BL90*BO90*VLOOKUP('Données projet'!$B$11,Paramètres!$A$1:$I$89,3,0)*0.475*44/12</f>
        <v>3.1127062739032803E-8</v>
      </c>
      <c r="BS90" s="22">
        <f t="shared" si="63"/>
        <v>2.3248145157101932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-4.5474735088646412E-13</v>
      </c>
      <c r="DP90" s="17">
        <f>DO90*VLOOKUP('Données projet'!$B$14,Paramètres!$A$1:$I$89,3,0)*VLOOKUP('Données projet'!$B$14,Paramètres!$A$1:$I$89,5,0)</f>
        <v>-2.7193891583010558E-13</v>
      </c>
      <c r="DQ90" s="13" t="e">
        <f t="shared" si="97"/>
        <v>#NUM!</v>
      </c>
      <c r="DR90" s="20" t="e">
        <f t="shared" si="70"/>
        <v>#NUM!</v>
      </c>
      <c r="DS90" s="59" t="e">
        <f t="shared" si="71"/>
        <v>#NUM!</v>
      </c>
      <c r="DT90" s="59">
        <f ca="1">AVERAGE(OFFSET($DS$3,0,0,'Données projet'!$E$14+1,1))-AVERAGE(OFFSET($H$3,0,0,'Données projet'!$E$14+1,1))</f>
        <v>350.88566459278962</v>
      </c>
      <c r="DU90" s="59">
        <f t="shared" si="98"/>
        <v>342.18151800581552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2.6456345099518743</v>
      </c>
      <c r="EC90" s="21">
        <f>EXP(-LN(2)/2)*EC89+(1-EXP(-LN(2)/2))/(LN(2)/2)*DW90*DZ90*VLOOKUP('Données projet'!$B$14,Paramètres!$A$1:$I$89,3,0)*0.475*44/12</f>
        <v>6.250735849139598E-8</v>
      </c>
      <c r="ED90" s="22">
        <f t="shared" si="72"/>
        <v>2.6456345724592327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5.6</v>
      </c>
      <c r="N91" s="13">
        <f>IF('Données projet'!$A$36&gt;35,N90+M91-V90,IF(A91&lt;'Données projet'!$A$36,$K$205^A91,IF(A91='Données projet'!$A$36,'Données projet'!$B$36,N90+M91-V90)))</f>
        <v>284.80000000000041</v>
      </c>
      <c r="O91" s="13">
        <f>N91*VLOOKUP('Données projet'!$B$9,Paramètres!$A$1:$I$89,3,0)*VLOOKUP('Données projet'!$B$9,Paramètres!$A$1:$I$89,5,0)</f>
        <v>288.78720000000044</v>
      </c>
      <c r="P91" s="13">
        <f t="shared" si="87"/>
        <v>68.82064405344255</v>
      </c>
      <c r="Q91" s="20">
        <f t="shared" si="54"/>
        <v>622.8336617264132</v>
      </c>
      <c r="R91" s="59">
        <f t="shared" si="55"/>
        <v>896.51539409560689</v>
      </c>
      <c r="S91" s="59">
        <f ca="1">AVERAGE(OFFSET($R$3,0,0,'Données projet'!$E$9+1,1))-AVERAGE(OFFSET($H$3,0,0,'Données projet'!$E$9+1,1))</f>
        <v>465.40148250851843</v>
      </c>
      <c r="T91" s="59">
        <f t="shared" si="88"/>
        <v>290.8428650572356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0.69708956145014134</v>
      </c>
      <c r="AB91" s="21">
        <f>EXP(-LN(2)/2)*AB90+(1-EXP(-LN(2)/2))/(LN(2)/2)*V91*Y91*VLOOKUP('Données projet'!$B$9,Paramètres!$A$1:$I$89,3,0)*0.475*44/12</f>
        <v>1.2919936539086536E-8</v>
      </c>
      <c r="AC91" s="22">
        <f t="shared" si="57"/>
        <v>0.6970895743700779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306.55872000000039</v>
      </c>
      <c r="AK91" s="13">
        <f t="shared" si="89"/>
        <v>72.549687694621696</v>
      </c>
      <c r="AL91" s="20">
        <f t="shared" si="58"/>
        <v>660.28047673480012</v>
      </c>
      <c r="AM91" s="59">
        <f t="shared" si="59"/>
        <v>933.96220910399381</v>
      </c>
      <c r="AN91" s="59">
        <f ca="1">AVERAGE(OFFSET($AM$3,0,0,'Données projet'!$E$10+1,1))-AVERAGE(OFFSET($H$3,0,0,'Données projet'!$E$10+1,1))</f>
        <v>489.34829722967373</v>
      </c>
      <c r="AO91" s="59">
        <f t="shared" si="90"/>
        <v>304.94365539329362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0.7399873806163042</v>
      </c>
      <c r="AW91" s="21">
        <f>EXP(-LN(2)/2)*AW90+(1-EXP(-LN(2)/2))/(LN(2)/2)*AQ91*AT91*VLOOKUP('Données projet'!$B$10,Paramètres!$A$1:$I$89,3,0)*0.475*44/12</f>
        <v>1.3715009556876503E-8</v>
      </c>
      <c r="AX91" s="21">
        <f t="shared" si="60"/>
        <v>0.73998739433131377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5.6843418860808015E-14</v>
      </c>
      <c r="BE91" s="13">
        <f>BD91*VLOOKUP('Données projet'!$B$11,Paramètres!$A$1:$I$89,3,0)*VLOOKUP('Données projet'!$B$11,Paramètres!$A$1:$I$89,5,0)</f>
        <v>4.9658410716801891E-14</v>
      </c>
      <c r="BF91" s="13">
        <f t="shared" si="91"/>
        <v>8.0934058173791862E-13</v>
      </c>
      <c r="BG91" s="20">
        <f t="shared" si="61"/>
        <v>1.4960899118586383E-12</v>
      </c>
      <c r="BH91" s="59">
        <f t="shared" si="62"/>
        <v>273.68173236919517</v>
      </c>
      <c r="BI91" s="59">
        <f ca="1">AVERAGE(OFFSET($BH$3,0,0,'Données projet'!$E$11+1,1))-AVERAGE(OFFSET($H$3,0,0,'Données projet'!$E$11+1,1))</f>
        <v>360.3011551173708</v>
      </c>
      <c r="BJ91" s="59">
        <f t="shared" si="92"/>
        <v>388.50312617855309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2.2612423102455246</v>
      </c>
      <c r="BR91" s="21">
        <f>EXP(-LN(2)/2)*BR90+(1-EXP(-LN(2)/2))/(LN(2)/2)*BL91*BO91*VLOOKUP('Données projet'!$B$11,Paramètres!$A$1:$I$89,3,0)*0.475*44/12</f>
        <v>2.2010157141189206E-8</v>
      </c>
      <c r="BS91" s="22">
        <f t="shared" si="63"/>
        <v>2.2612423322556818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-4.5474735088646412E-13</v>
      </c>
      <c r="DP91" s="17">
        <f>DO91*VLOOKUP('Données projet'!$B$14,Paramètres!$A$1:$I$89,3,0)*VLOOKUP('Données projet'!$B$14,Paramètres!$A$1:$I$89,5,0)</f>
        <v>-2.7193891583010558E-13</v>
      </c>
      <c r="DQ91" s="13" t="e">
        <f t="shared" si="97"/>
        <v>#NUM!</v>
      </c>
      <c r="DR91" s="20" t="e">
        <f t="shared" si="70"/>
        <v>#NUM!</v>
      </c>
      <c r="DS91" s="59" t="e">
        <f t="shared" si="71"/>
        <v>#NUM!</v>
      </c>
      <c r="DT91" s="59">
        <f ca="1">AVERAGE(OFFSET($DS$3,0,0,'Données projet'!$E$14+1,1))-AVERAGE(OFFSET($H$3,0,0,'Données projet'!$E$14+1,1))</f>
        <v>350.88566459278962</v>
      </c>
      <c r="DU91" s="59">
        <f t="shared" si="98"/>
        <v>342.18151800581552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2.5732894951493681</v>
      </c>
      <c r="EC91" s="21">
        <f>EXP(-LN(2)/2)*EC90+(1-EXP(-LN(2)/2))/(LN(2)/2)*DW91*DZ91*VLOOKUP('Données projet'!$B$14,Paramètres!$A$1:$I$89,3,0)*0.475*44/12</f>
        <v>4.4199377063324622E-8</v>
      </c>
      <c r="ED91" s="22">
        <f t="shared" si="72"/>
        <v>2.5732895393487452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5.6</v>
      </c>
      <c r="N92" s="13">
        <f>IF('Données projet'!$A$36&gt;35,N91+M92-V91,IF(A92&lt;'Données projet'!$A$36,$K$205^A92,IF(A92='Données projet'!$A$36,'Données projet'!$B$36,N91+M92-V91)))</f>
        <v>290.40000000000043</v>
      </c>
      <c r="O92" s="13">
        <f>N92*VLOOKUP('Données projet'!$B$9,Paramètres!$A$1:$I$89,3,0)*VLOOKUP('Données projet'!$B$9,Paramètres!$A$1:$I$89,5,0)</f>
        <v>294.46560000000045</v>
      </c>
      <c r="P92" s="13">
        <f t="shared" si="87"/>
        <v>70.014986320104342</v>
      </c>
      <c r="Q92" s="20">
        <f t="shared" si="54"/>
        <v>634.80368784084919</v>
      </c>
      <c r="R92" s="59">
        <f t="shared" si="55"/>
        <v>908.82633155237272</v>
      </c>
      <c r="S92" s="59">
        <f ca="1">AVERAGE(OFFSET($R$3,0,0,'Données projet'!$E$9+1,1))-AVERAGE(OFFSET($H$3,0,0,'Données projet'!$E$9+1,1))</f>
        <v>465.40148250851843</v>
      </c>
      <c r="T92" s="59">
        <f t="shared" si="88"/>
        <v>290.8428650572356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0.67802761073394036</v>
      </c>
      <c r="AB92" s="21">
        <f>EXP(-LN(2)/2)*AB91+(1-EXP(-LN(2)/2))/(LN(2)/2)*V92*Y92*VLOOKUP('Données projet'!$B$9,Paramètres!$A$1:$I$89,3,0)*0.475*44/12</f>
        <v>9.1357747392879433E-9</v>
      </c>
      <c r="AC92" s="22">
        <f t="shared" si="57"/>
        <v>0.67802761986971505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312.58656000000047</v>
      </c>
      <c r="AK92" s="13">
        <f t="shared" si="89"/>
        <v>73.808745345688024</v>
      </c>
      <c r="AL92" s="20">
        <f t="shared" si="58"/>
        <v>672.97182347707405</v>
      </c>
      <c r="AM92" s="59">
        <f t="shared" si="59"/>
        <v>946.99446718859758</v>
      </c>
      <c r="AN92" s="59">
        <f ca="1">AVERAGE(OFFSET($AM$3,0,0,'Données projet'!$E$10+1,1))-AVERAGE(OFFSET($H$3,0,0,'Données projet'!$E$10+1,1))</f>
        <v>489.34829722967373</v>
      </c>
      <c r="AO92" s="59">
        <f t="shared" si="90"/>
        <v>304.94365539329362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0.71975238677910625</v>
      </c>
      <c r="AW92" s="21">
        <f>EXP(-LN(2)/2)*AW91+(1-EXP(-LN(2)/2))/(LN(2)/2)*AQ92*AT92*VLOOKUP('Données projet'!$B$10,Paramètres!$A$1:$I$89,3,0)*0.475*44/12</f>
        <v>9.6979762617056811E-9</v>
      </c>
      <c r="AX92" s="21">
        <f t="shared" si="60"/>
        <v>0.71975239647708256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5.6843418860808015E-14</v>
      </c>
      <c r="BE92" s="13">
        <f>BD92*VLOOKUP('Données projet'!$B$11,Paramètres!$A$1:$I$89,3,0)*VLOOKUP('Données projet'!$B$11,Paramètres!$A$1:$I$89,5,0)</f>
        <v>4.9658410716801891E-14</v>
      </c>
      <c r="BF92" s="13">
        <f t="shared" si="91"/>
        <v>8.0934058173791862E-13</v>
      </c>
      <c r="BG92" s="20">
        <f t="shared" si="61"/>
        <v>1.4960899118586383E-12</v>
      </c>
      <c r="BH92" s="59">
        <f t="shared" si="62"/>
        <v>274.02264371152506</v>
      </c>
      <c r="BI92" s="59">
        <f ca="1">AVERAGE(OFFSET($BH$3,0,0,'Données projet'!$E$11+1,1))-AVERAGE(OFFSET($H$3,0,0,'Données projet'!$E$11+1,1))</f>
        <v>360.3011551173708</v>
      </c>
      <c r="BJ92" s="59">
        <f t="shared" si="92"/>
        <v>388.50312617855309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2.1994085203582956</v>
      </c>
      <c r="BR92" s="21">
        <f>EXP(-LN(2)/2)*BR91+(1-EXP(-LN(2)/2))/(LN(2)/2)*BL92*BO92*VLOOKUP('Données projet'!$B$11,Paramètres!$A$1:$I$89,3,0)*0.475*44/12</f>
        <v>1.5563531369516402E-8</v>
      </c>
      <c r="BS92" s="22">
        <f t="shared" si="63"/>
        <v>2.1994085359218269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-4.5474735088646412E-13</v>
      </c>
      <c r="DP92" s="17">
        <f>DO92*VLOOKUP('Données projet'!$B$14,Paramètres!$A$1:$I$89,3,0)*VLOOKUP('Données projet'!$B$14,Paramètres!$A$1:$I$89,5,0)</f>
        <v>-2.7193891583010558E-13</v>
      </c>
      <c r="DQ92" s="13" t="e">
        <f t="shared" si="97"/>
        <v>#NUM!</v>
      </c>
      <c r="DR92" s="20" t="e">
        <f t="shared" si="70"/>
        <v>#NUM!</v>
      </c>
      <c r="DS92" s="59" t="e">
        <f t="shared" si="71"/>
        <v>#NUM!</v>
      </c>
      <c r="DT92" s="59">
        <f ca="1">AVERAGE(OFFSET($DS$3,0,0,'Données projet'!$E$14+1,1))-AVERAGE(OFFSET($H$3,0,0,'Données projet'!$E$14+1,1))</f>
        <v>350.88566459278962</v>
      </c>
      <c r="DU92" s="59">
        <f t="shared" si="98"/>
        <v>342.18151800581552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2.5029227585810956</v>
      </c>
      <c r="EC92" s="21">
        <f>EXP(-LN(2)/2)*EC91+(1-EXP(-LN(2)/2))/(LN(2)/2)*DW92*DZ92*VLOOKUP('Données projet'!$B$14,Paramètres!$A$1:$I$89,3,0)*0.475*44/12</f>
        <v>3.125367924569799E-8</v>
      </c>
      <c r="ED92" s="22">
        <f t="shared" si="72"/>
        <v>2.5029227898347748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296</v>
      </c>
      <c r="L93" s="12">
        <f>VLOOKUP(A93,'Données projet'!$A$35:$I$55,9,0)</f>
        <v>5.6</v>
      </c>
      <c r="M93" s="12">
        <f t="array" ref="M93">INDEX(L:L,MIN(IF(ISNUMBER(L93:L289),ROW(L93:L289),"")))</f>
        <v>5.6</v>
      </c>
      <c r="N93" s="13">
        <f>IF('Données projet'!$A$36&gt;35,N92+M93-V92,IF(A93&lt;'Données projet'!$A$36,$K$205^A93,IF(A93='Données projet'!$A$36,'Données projet'!$B$36,N92+M93-V92)))</f>
        <v>296.00000000000045</v>
      </c>
      <c r="O93" s="13">
        <f>N93*VLOOKUP('Données projet'!$B$9,Paramètres!$A$1:$I$89,3,0)*VLOOKUP('Données projet'!$B$9,Paramètres!$A$1:$I$89,5,0)</f>
        <v>300.14400000000046</v>
      </c>
      <c r="P93" s="13">
        <f t="shared" si="87"/>
        <v>71.206650563609927</v>
      </c>
      <c r="Q93" s="20">
        <f t="shared" si="54"/>
        <v>646.76904973162129</v>
      </c>
      <c r="R93" s="59">
        <f t="shared" si="55"/>
        <v>921.12669073584902</v>
      </c>
      <c r="S93" s="59">
        <f ca="1">AVERAGE(OFFSET($R$3,0,0,'Données projet'!$E$9+1,1))-AVERAGE(OFFSET($H$3,0,0,'Données projet'!$E$9+1,1))</f>
        <v>465.40148250851843</v>
      </c>
      <c r="T93" s="59">
        <f t="shared" si="88"/>
        <v>290.8428650572356</v>
      </c>
      <c r="U93" s="15">
        <f>IF(ISNA(VLOOKUP(A93,'Données projet'!$A$35:$I$55,3,0)),0,VLOOKUP(A93,'Données projet'!$A$35:$I$55,3,0))</f>
        <v>7</v>
      </c>
      <c r="V93" s="15">
        <f>IF(ISNA(VLOOKUP(A93,'Données projet'!$A$35:$I$55,4,0)),0,VLOOKUP(A93,'Données projet'!$A$35:$I$55,4,0))</f>
        <v>42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0.65948691006249838</v>
      </c>
      <c r="AB93" s="21">
        <f>EXP(-LN(2)/2)*AB92+(1-EXP(-LN(2)/2))/(LN(2)/2)*V93*Y93*VLOOKUP('Données projet'!$B$9,Paramètres!$A$1:$I$89,3,0)*0.475*44/12</f>
        <v>6.459968269543268E-9</v>
      </c>
      <c r="AC93" s="22">
        <f t="shared" si="57"/>
        <v>0.6594869165224666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318.61440000000044</v>
      </c>
      <c r="AK93" s="13">
        <f t="shared" si="89"/>
        <v>75.064979865028491</v>
      </c>
      <c r="AL93" s="20">
        <f t="shared" si="58"/>
        <v>685.65825326492529</v>
      </c>
      <c r="AM93" s="59">
        <f t="shared" si="59"/>
        <v>960.01589426915302</v>
      </c>
      <c r="AN93" s="59">
        <f ca="1">AVERAGE(OFFSET($AM$3,0,0,'Données projet'!$E$10+1,1))-AVERAGE(OFFSET($H$3,0,0,'Données projet'!$E$10+1,1))</f>
        <v>489.34829722967373</v>
      </c>
      <c r="AO93" s="59">
        <f t="shared" si="90"/>
        <v>304.94365539329362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0.70007071991249858</v>
      </c>
      <c r="AW93" s="21">
        <f>EXP(-LN(2)/2)*AW92+(1-EXP(-LN(2)/2))/(LN(2)/2)*AQ93*AT93*VLOOKUP('Données projet'!$B$10,Paramètres!$A$1:$I$89,3,0)*0.475*44/12</f>
        <v>6.8575047784382513E-9</v>
      </c>
      <c r="AX93" s="21">
        <f t="shared" si="60"/>
        <v>0.70007072677000337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5.6843418860808015E-14</v>
      </c>
      <c r="BE93" s="13">
        <f>BD93*VLOOKUP('Données projet'!$B$11,Paramètres!$A$1:$I$89,3,0)*VLOOKUP('Données projet'!$B$11,Paramètres!$A$1:$I$89,5,0)</f>
        <v>4.9658410716801891E-14</v>
      </c>
      <c r="BF93" s="13">
        <f t="shared" si="91"/>
        <v>8.0934058173791862E-13</v>
      </c>
      <c r="BG93" s="20">
        <f t="shared" si="61"/>
        <v>1.4960899118586383E-12</v>
      </c>
      <c r="BH93" s="59">
        <f t="shared" si="62"/>
        <v>274.35764100422915</v>
      </c>
      <c r="BI93" s="59">
        <f ca="1">AVERAGE(OFFSET($BH$3,0,0,'Données projet'!$E$11+1,1))-AVERAGE(OFFSET($H$3,0,0,'Données projet'!$E$11+1,1))</f>
        <v>360.3011551173708</v>
      </c>
      <c r="BJ93" s="59">
        <f t="shared" si="92"/>
        <v>388.50312617855309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2.1392655787072306</v>
      </c>
      <c r="BR93" s="21">
        <f>EXP(-LN(2)/2)*BR92+(1-EXP(-LN(2)/2))/(LN(2)/2)*BL93*BO93*VLOOKUP('Données projet'!$B$11,Paramètres!$A$1:$I$89,3,0)*0.475*44/12</f>
        <v>1.1005078570594603E-8</v>
      </c>
      <c r="BS93" s="22">
        <f t="shared" si="63"/>
        <v>2.1392655897123092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-4.5474735088646412E-13</v>
      </c>
      <c r="DP93" s="17">
        <f>DO93*VLOOKUP('Données projet'!$B$14,Paramètres!$A$1:$I$89,3,0)*VLOOKUP('Données projet'!$B$14,Paramètres!$A$1:$I$89,5,0)</f>
        <v>-2.7193891583010558E-13</v>
      </c>
      <c r="DQ93" s="13" t="e">
        <f t="shared" si="97"/>
        <v>#NUM!</v>
      </c>
      <c r="DR93" s="20" t="e">
        <f t="shared" si="70"/>
        <v>#NUM!</v>
      </c>
      <c r="DS93" s="59" t="e">
        <f t="shared" si="71"/>
        <v>#NUM!</v>
      </c>
      <c r="DT93" s="59">
        <f ca="1">AVERAGE(OFFSET($DS$3,0,0,'Données projet'!$E$14+1,1))-AVERAGE(OFFSET($H$3,0,0,'Données projet'!$E$14+1,1))</f>
        <v>350.88566459278962</v>
      </c>
      <c r="DU93" s="59">
        <f t="shared" si="98"/>
        <v>342.18151800581552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2.434480204124708</v>
      </c>
      <c r="EC93" s="21">
        <f>EXP(-LN(2)/2)*EC92+(1-EXP(-LN(2)/2))/(LN(2)/2)*DW93*DZ93*VLOOKUP('Données projet'!$B$14,Paramètres!$A$1:$I$89,3,0)*0.475*44/12</f>
        <v>2.2099688531662311E-8</v>
      </c>
      <c r="ED93" s="22">
        <f t="shared" si="72"/>
        <v>2.4344802262243967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4.9000000000000004</v>
      </c>
      <c r="N94" s="13">
        <f>IF('Données projet'!$A$36&gt;35,N93+M94-V93,IF(A94&lt;'Données projet'!$A$36,$K$205^A94,IF(A94='Données projet'!$A$36,'Données projet'!$B$36,N93+M94-V93)))</f>
        <v>258.90000000000043</v>
      </c>
      <c r="O94" s="13">
        <f>N94*VLOOKUP('Données projet'!$B$9,Paramètres!$A$1:$I$89,3,0)*VLOOKUP('Données projet'!$B$9,Paramètres!$A$1:$I$89,5,0)</f>
        <v>262.52460000000042</v>
      </c>
      <c r="P94" s="13">
        <f t="shared" si="87"/>
        <v>63.2602176317748</v>
      </c>
      <c r="Q94" s="20">
        <f t="shared" si="54"/>
        <v>567.40855737534184</v>
      </c>
      <c r="R94" s="59">
        <f t="shared" si="55"/>
        <v>842.09538421818684</v>
      </c>
      <c r="S94" s="59">
        <f ca="1">AVERAGE(OFFSET($R$3,0,0,'Données projet'!$E$9+1,1))-AVERAGE(OFFSET($H$3,0,0,'Données projet'!$E$9+1,1))</f>
        <v>465.40148250851843</v>
      </c>
      <c r="T94" s="59">
        <f t="shared" si="88"/>
        <v>290.8428650572356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0.64145320582593002</v>
      </c>
      <c r="AB94" s="21">
        <f>EXP(-LN(2)/2)*AB93+(1-EXP(-LN(2)/2))/(LN(2)/2)*V94*Y94*VLOOKUP('Données projet'!$B$9,Paramètres!$A$1:$I$89,3,0)*0.475*44/12</f>
        <v>4.5678873696439716E-9</v>
      </c>
      <c r="AC94" s="22">
        <f t="shared" si="57"/>
        <v>0.64145321039381742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278.67996000000045</v>
      </c>
      <c r="AK94" s="13">
        <f t="shared" si="89"/>
        <v>66.687969806197856</v>
      </c>
      <c r="AL94" s="20">
        <f t="shared" si="58"/>
        <v>601.51581107912864</v>
      </c>
      <c r="AM94" s="59">
        <f t="shared" si="59"/>
        <v>876.20263792197375</v>
      </c>
      <c r="AN94" s="59">
        <f ca="1">AVERAGE(OFFSET($AM$3,0,0,'Données projet'!$E$10+1,1))-AVERAGE(OFFSET($H$3,0,0,'Données projet'!$E$10+1,1))</f>
        <v>489.34829722967373</v>
      </c>
      <c r="AO94" s="59">
        <f t="shared" si="90"/>
        <v>304.94365539329362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0.68092724926137216</v>
      </c>
      <c r="AW94" s="21">
        <f>EXP(-LN(2)/2)*AW93+(1-EXP(-LN(2)/2))/(LN(2)/2)*AQ94*AT94*VLOOKUP('Données projet'!$B$10,Paramètres!$A$1:$I$89,3,0)*0.475*44/12</f>
        <v>4.8489881308528405E-9</v>
      </c>
      <c r="AX94" s="21">
        <f t="shared" si="60"/>
        <v>0.68092725411036026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5.6843418860808015E-14</v>
      </c>
      <c r="BE94" s="13">
        <f>BD94*VLOOKUP('Données projet'!$B$11,Paramètres!$A$1:$I$89,3,0)*VLOOKUP('Données projet'!$B$11,Paramètres!$A$1:$I$89,5,0)</f>
        <v>4.9658410716801891E-14</v>
      </c>
      <c r="BF94" s="13">
        <f t="shared" si="91"/>
        <v>8.0934058173791862E-13</v>
      </c>
      <c r="BG94" s="20">
        <f t="shared" si="61"/>
        <v>1.4960899118586383E-12</v>
      </c>
      <c r="BH94" s="59">
        <f t="shared" si="62"/>
        <v>274.68682684284653</v>
      </c>
      <c r="BI94" s="59">
        <f ca="1">AVERAGE(OFFSET($BH$3,0,0,'Données projet'!$E$11+1,1))-AVERAGE(OFFSET($H$3,0,0,'Données projet'!$E$11+1,1))</f>
        <v>360.3011551173708</v>
      </c>
      <c r="BJ94" s="59">
        <f t="shared" si="92"/>
        <v>388.50312617855309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2.0807672489583937</v>
      </c>
      <c r="BR94" s="21">
        <f>EXP(-LN(2)/2)*BR93+(1-EXP(-LN(2)/2))/(LN(2)/2)*BL94*BO94*VLOOKUP('Données projet'!$B$11,Paramètres!$A$1:$I$89,3,0)*0.475*44/12</f>
        <v>7.7817656847582008E-9</v>
      </c>
      <c r="BS94" s="22">
        <f t="shared" si="63"/>
        <v>2.0807672567401596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-4.5474735088646412E-13</v>
      </c>
      <c r="DP94" s="17">
        <f>DO94*VLOOKUP('Données projet'!$B$14,Paramètres!$A$1:$I$89,3,0)*VLOOKUP('Données projet'!$B$14,Paramètres!$A$1:$I$89,5,0)</f>
        <v>-2.7193891583010558E-13</v>
      </c>
      <c r="DQ94" s="13" t="e">
        <f t="shared" si="97"/>
        <v>#NUM!</v>
      </c>
      <c r="DR94" s="20" t="e">
        <f t="shared" si="70"/>
        <v>#NUM!</v>
      </c>
      <c r="DS94" s="59" t="e">
        <f t="shared" si="71"/>
        <v>#NUM!</v>
      </c>
      <c r="DT94" s="59">
        <f ca="1">AVERAGE(OFFSET($DS$3,0,0,'Données projet'!$E$14+1,1))-AVERAGE(OFFSET($H$3,0,0,'Données projet'!$E$14+1,1))</f>
        <v>350.88566459278962</v>
      </c>
      <c r="DU94" s="59">
        <f t="shared" si="98"/>
        <v>342.18151800581552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2.3679092149191678</v>
      </c>
      <c r="EC94" s="21">
        <f>EXP(-LN(2)/2)*EC93+(1-EXP(-LN(2)/2))/(LN(2)/2)*DW94*DZ94*VLOOKUP('Données projet'!$B$14,Paramètres!$A$1:$I$89,3,0)*0.475*44/12</f>
        <v>1.5626839622848995E-8</v>
      </c>
      <c r="ED94" s="22">
        <f t="shared" si="72"/>
        <v>2.3679092305460077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4.9000000000000004</v>
      </c>
      <c r="N95" s="13">
        <f>IF('Données projet'!$A$36&gt;35,N94+M95-V94,IF(A95&lt;'Données projet'!$A$36,$K$205^A95,IF(A95='Données projet'!$A$36,'Données projet'!$B$36,N94+M95-V94)))</f>
        <v>263.80000000000041</v>
      </c>
      <c r="O95" s="13">
        <f>N95*VLOOKUP('Données projet'!$B$9,Paramètres!$A$1:$I$89,3,0)*VLOOKUP('Données projet'!$B$9,Paramètres!$A$1:$I$89,5,0)</f>
        <v>267.49320000000046</v>
      </c>
      <c r="P95" s="13">
        <f t="shared" si="87"/>
        <v>64.316974590266341</v>
      </c>
      <c r="Q95" s="20">
        <f t="shared" si="54"/>
        <v>577.90272074471466</v>
      </c>
      <c r="R95" s="59">
        <f t="shared" si="55"/>
        <v>852.91302278782632</v>
      </c>
      <c r="S95" s="59">
        <f ca="1">AVERAGE(OFFSET($R$3,0,0,'Données projet'!$E$9+1,1))-AVERAGE(OFFSET($H$3,0,0,'Données projet'!$E$9+1,1))</f>
        <v>465.40148250851843</v>
      </c>
      <c r="T95" s="59">
        <f t="shared" si="88"/>
        <v>290.8428650572356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0.62391263418006193</v>
      </c>
      <c r="AB95" s="21">
        <f>EXP(-LN(2)/2)*AB94+(1-EXP(-LN(2)/2))/(LN(2)/2)*V95*Y95*VLOOKUP('Données projet'!$B$9,Paramètres!$A$1:$I$89,3,0)*0.475*44/12</f>
        <v>3.229984134771634E-9</v>
      </c>
      <c r="AC95" s="22">
        <f t="shared" si="57"/>
        <v>0.6239126374100461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283.95432000000045</v>
      </c>
      <c r="AK95" s="13">
        <f t="shared" si="89"/>
        <v>67.80198709508204</v>
      </c>
      <c r="AL95" s="20">
        <f t="shared" si="58"/>
        <v>612.6422348572687</v>
      </c>
      <c r="AM95" s="59">
        <f t="shared" si="59"/>
        <v>887.65253690038048</v>
      </c>
      <c r="AN95" s="59">
        <f ca="1">AVERAGE(OFFSET($AM$3,0,0,'Données projet'!$E$10+1,1))-AVERAGE(OFFSET($H$3,0,0,'Données projet'!$E$10+1,1))</f>
        <v>489.34829722967373</v>
      </c>
      <c r="AO95" s="59">
        <f t="shared" si="90"/>
        <v>304.94365539329362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0.66230725782191213</v>
      </c>
      <c r="AW95" s="21">
        <f>EXP(-LN(2)/2)*AW94+(1-EXP(-LN(2)/2))/(LN(2)/2)*AQ95*AT95*VLOOKUP('Données projet'!$B$10,Paramètres!$A$1:$I$89,3,0)*0.475*44/12</f>
        <v>3.4287523892191257E-9</v>
      </c>
      <c r="AX95" s="21">
        <f t="shared" si="60"/>
        <v>0.66230726125066453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5.6843418860808015E-14</v>
      </c>
      <c r="BE95" s="13">
        <f>BD95*VLOOKUP('Données projet'!$B$11,Paramètres!$A$1:$I$89,3,0)*VLOOKUP('Données projet'!$B$11,Paramètres!$A$1:$I$89,5,0)</f>
        <v>4.9658410716801891E-14</v>
      </c>
      <c r="BF95" s="13">
        <f t="shared" si="91"/>
        <v>8.0934058173791862E-13</v>
      </c>
      <c r="BG95" s="20">
        <f t="shared" si="61"/>
        <v>1.4960899118586383E-12</v>
      </c>
      <c r="BH95" s="59">
        <f t="shared" si="62"/>
        <v>275.0103020431132</v>
      </c>
      <c r="BI95" s="59">
        <f ca="1">AVERAGE(OFFSET($BH$3,0,0,'Données projet'!$E$11+1,1))-AVERAGE(OFFSET($H$3,0,0,'Données projet'!$E$11+1,1))</f>
        <v>360.3011551173708</v>
      </c>
      <c r="BJ95" s="59">
        <f t="shared" si="92"/>
        <v>388.50312617855309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2.0238685591128323</v>
      </c>
      <c r="BR95" s="21">
        <f>EXP(-LN(2)/2)*BR94+(1-EXP(-LN(2)/2))/(LN(2)/2)*BL95*BO95*VLOOKUP('Données projet'!$B$11,Paramètres!$A$1:$I$89,3,0)*0.475*44/12</f>
        <v>5.5025392852973015E-9</v>
      </c>
      <c r="BS95" s="22">
        <f t="shared" si="63"/>
        <v>2.0238685646153716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-4.5474735088646412E-13</v>
      </c>
      <c r="DP95" s="17">
        <f>DO95*VLOOKUP('Données projet'!$B$14,Paramètres!$A$1:$I$89,3,0)*VLOOKUP('Données projet'!$B$14,Paramètres!$A$1:$I$89,5,0)</f>
        <v>-2.7193891583010558E-13</v>
      </c>
      <c r="DQ95" s="13" t="e">
        <f t="shared" si="97"/>
        <v>#NUM!</v>
      </c>
      <c r="DR95" s="20" t="e">
        <f t="shared" si="70"/>
        <v>#NUM!</v>
      </c>
      <c r="DS95" s="59" t="e">
        <f t="shared" si="71"/>
        <v>#NUM!</v>
      </c>
      <c r="DT95" s="59">
        <f ca="1">AVERAGE(OFFSET($DS$3,0,0,'Données projet'!$E$14+1,1))-AVERAGE(OFFSET($H$3,0,0,'Données projet'!$E$14+1,1))</f>
        <v>350.88566459278962</v>
      </c>
      <c r="DU95" s="59">
        <f t="shared" si="98"/>
        <v>342.18151800581552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2.3031586129142694</v>
      </c>
      <c r="EC95" s="21">
        <f>EXP(-LN(2)/2)*EC94+(1-EXP(-LN(2)/2))/(LN(2)/2)*DW95*DZ95*VLOOKUP('Données projet'!$B$14,Paramètres!$A$1:$I$89,3,0)*0.475*44/12</f>
        <v>1.1049844265831155E-8</v>
      </c>
      <c r="ED95" s="22">
        <f t="shared" si="72"/>
        <v>2.3031586239641135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4.9000000000000004</v>
      </c>
      <c r="N96" s="13">
        <f>IF('Données projet'!$A$36&gt;35,N95+M96-V95,IF(A96&lt;'Données projet'!$A$36,$K$205^A96,IF(A96='Données projet'!$A$36,'Données projet'!$B$36,N95+M96-V95)))</f>
        <v>268.70000000000039</v>
      </c>
      <c r="O96" s="13">
        <f>N96*VLOOKUP('Données projet'!$B$9,Paramètres!$A$1:$I$89,3,0)*VLOOKUP('Données projet'!$B$9,Paramètres!$A$1:$I$89,5,0)</f>
        <v>272.46180000000044</v>
      </c>
      <c r="P96" s="13">
        <f t="shared" si="87"/>
        <v>65.371449071922058</v>
      </c>
      <c r="Q96" s="20">
        <f t="shared" si="54"/>
        <v>588.39290880026499</v>
      </c>
      <c r="R96" s="59">
        <f t="shared" si="55"/>
        <v>863.72107447210101</v>
      </c>
      <c r="S96" s="59">
        <f ca="1">AVERAGE(OFFSET($R$3,0,0,'Données projet'!$E$9+1,1))-AVERAGE(OFFSET($H$3,0,0,'Données projet'!$E$9+1,1))</f>
        <v>465.40148250851843</v>
      </c>
      <c r="T96" s="59">
        <f t="shared" si="88"/>
        <v>290.8428650572356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0.60685171038826868</v>
      </c>
      <c r="AB96" s="21">
        <f>EXP(-LN(2)/2)*AB95+(1-EXP(-LN(2)/2))/(LN(2)/2)*V96*Y96*VLOOKUP('Données projet'!$B$9,Paramètres!$A$1:$I$89,3,0)*0.475*44/12</f>
        <v>2.2839436848219858E-9</v>
      </c>
      <c r="AC96" s="22">
        <f t="shared" si="57"/>
        <v>0.60685171267221238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289.2286800000004</v>
      </c>
      <c r="AK96" s="13">
        <f t="shared" si="89"/>
        <v>68.913598231221059</v>
      </c>
      <c r="AL96" s="20">
        <f t="shared" si="58"/>
        <v>623.76446791937724</v>
      </c>
      <c r="AM96" s="59">
        <f t="shared" si="59"/>
        <v>899.09263359121314</v>
      </c>
      <c r="AN96" s="59">
        <f ca="1">AVERAGE(OFFSET($AM$3,0,0,'Données projet'!$E$10+1,1))-AVERAGE(OFFSET($H$3,0,0,'Données projet'!$E$10+1,1))</f>
        <v>489.34829722967373</v>
      </c>
      <c r="AO96" s="59">
        <f t="shared" si="90"/>
        <v>304.94365539329362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0.64419643102754698</v>
      </c>
      <c r="AW96" s="21">
        <f>EXP(-LN(2)/2)*AW95+(1-EXP(-LN(2)/2))/(LN(2)/2)*AQ96*AT96*VLOOKUP('Données projet'!$B$10,Paramètres!$A$1:$I$89,3,0)*0.475*44/12</f>
        <v>2.4244940654264203E-9</v>
      </c>
      <c r="AX96" s="21">
        <f t="shared" si="60"/>
        <v>0.64419643345204103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5.6843418860808015E-14</v>
      </c>
      <c r="BE96" s="13">
        <f>BD96*VLOOKUP('Données projet'!$B$11,Paramètres!$A$1:$I$89,3,0)*VLOOKUP('Données projet'!$B$11,Paramètres!$A$1:$I$89,5,0)</f>
        <v>4.9658410716801891E-14</v>
      </c>
      <c r="BF96" s="13">
        <f t="shared" si="91"/>
        <v>8.0934058173791862E-13</v>
      </c>
      <c r="BG96" s="20">
        <f t="shared" si="61"/>
        <v>1.4960899118586383E-12</v>
      </c>
      <c r="BH96" s="59">
        <f t="shared" si="62"/>
        <v>275.32816567183744</v>
      </c>
      <c r="BI96" s="59">
        <f ca="1">AVERAGE(OFFSET($BH$3,0,0,'Données projet'!$E$11+1,1))-AVERAGE(OFFSET($H$3,0,0,'Données projet'!$E$11+1,1))</f>
        <v>360.3011551173708</v>
      </c>
      <c r="BJ96" s="59">
        <f t="shared" si="92"/>
        <v>388.50312617855309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1.9685257669332699</v>
      </c>
      <c r="BR96" s="21">
        <f>EXP(-LN(2)/2)*BR95+(1-EXP(-LN(2)/2))/(LN(2)/2)*BL96*BO96*VLOOKUP('Données projet'!$B$11,Paramètres!$A$1:$I$89,3,0)*0.475*44/12</f>
        <v>3.8908828423791004E-9</v>
      </c>
      <c r="BS96" s="22">
        <f t="shared" si="63"/>
        <v>1.9685257708241528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-4.5474735088646412E-13</v>
      </c>
      <c r="DP96" s="17">
        <f>DO96*VLOOKUP('Données projet'!$B$14,Paramètres!$A$1:$I$89,3,0)*VLOOKUP('Données projet'!$B$14,Paramètres!$A$1:$I$89,5,0)</f>
        <v>-2.7193891583010558E-13</v>
      </c>
      <c r="DQ96" s="13" t="e">
        <f t="shared" si="97"/>
        <v>#NUM!</v>
      </c>
      <c r="DR96" s="20" t="e">
        <f t="shared" si="70"/>
        <v>#NUM!</v>
      </c>
      <c r="DS96" s="59" t="e">
        <f t="shared" si="71"/>
        <v>#NUM!</v>
      </c>
      <c r="DT96" s="59">
        <f ca="1">AVERAGE(OFFSET($DS$3,0,0,'Données projet'!$E$14+1,1))-AVERAGE(OFFSET($H$3,0,0,'Données projet'!$E$14+1,1))</f>
        <v>350.88566459278962</v>
      </c>
      <c r="DU96" s="59">
        <f t="shared" si="98"/>
        <v>342.18151800581552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2.2401786195262812</v>
      </c>
      <c r="EC96" s="21">
        <f>EXP(-LN(2)/2)*EC95+(1-EXP(-LN(2)/2))/(LN(2)/2)*DW96*DZ96*VLOOKUP('Données projet'!$B$14,Paramètres!$A$1:$I$89,3,0)*0.475*44/12</f>
        <v>7.8134198114244975E-9</v>
      </c>
      <c r="ED96" s="22">
        <f t="shared" si="72"/>
        <v>2.2401786273397009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4.9000000000000004</v>
      </c>
      <c r="N97" s="13">
        <f>IF('Données projet'!$A$36&gt;35,N96+M97-V96,IF(A97&lt;'Données projet'!$A$36,$K$205^A97,IF(A97='Données projet'!$A$36,'Données projet'!$B$36,N96+M97-V96)))</f>
        <v>273.60000000000036</v>
      </c>
      <c r="O97" s="13">
        <f>N97*VLOOKUP('Données projet'!$B$9,Paramètres!$A$1:$I$89,3,0)*VLOOKUP('Données projet'!$B$9,Paramètres!$A$1:$I$89,5,0)</f>
        <v>277.43040000000036</v>
      </c>
      <c r="P97" s="13">
        <f t="shared" si="87"/>
        <v>66.423687500715801</v>
      </c>
      <c r="Q97" s="20">
        <f t="shared" si="54"/>
        <v>598.87920239708058</v>
      </c>
      <c r="R97" s="59">
        <f t="shared" si="55"/>
        <v>874.51971747431912</v>
      </c>
      <c r="S97" s="59">
        <f ca="1">AVERAGE(OFFSET($R$3,0,0,'Données projet'!$E$9+1,1))-AVERAGE(OFFSET($H$3,0,0,'Données projet'!$E$9+1,1))</f>
        <v>465.40148250851843</v>
      </c>
      <c r="T97" s="59">
        <f t="shared" si="88"/>
        <v>290.8428650572356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0.59025731845475704</v>
      </c>
      <c r="AB97" s="21">
        <f>EXP(-LN(2)/2)*AB96+(1-EXP(-LN(2)/2))/(LN(2)/2)*V97*Y97*VLOOKUP('Données projet'!$B$9,Paramètres!$A$1:$I$89,3,0)*0.475*44/12</f>
        <v>1.614992067385817E-9</v>
      </c>
      <c r="AC97" s="22">
        <f t="shared" si="57"/>
        <v>0.59025732006974907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294.5030400000004</v>
      </c>
      <c r="AK97" s="13">
        <f t="shared" si="89"/>
        <v>70.022852154069838</v>
      </c>
      <c r="AL97" s="20">
        <f t="shared" si="58"/>
        <v>634.8825955016722</v>
      </c>
      <c r="AM97" s="59">
        <f t="shared" si="59"/>
        <v>910.52311057891075</v>
      </c>
      <c r="AN97" s="59">
        <f ca="1">AVERAGE(OFFSET($AM$3,0,0,'Données projet'!$E$10+1,1))-AVERAGE(OFFSET($H$3,0,0,'Données projet'!$E$10+1,1))</f>
        <v>489.34829722967373</v>
      </c>
      <c r="AO97" s="59">
        <f t="shared" si="90"/>
        <v>304.94365539329362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0.62658084574428075</v>
      </c>
      <c r="AW97" s="21">
        <f>EXP(-LN(2)/2)*AW96+(1-EXP(-LN(2)/2))/(LN(2)/2)*AQ97*AT97*VLOOKUP('Données projet'!$B$10,Paramètres!$A$1:$I$89,3,0)*0.475*44/12</f>
        <v>1.7143761946095628E-9</v>
      </c>
      <c r="AX97" s="21">
        <f t="shared" si="60"/>
        <v>0.62658084745865694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5.6843418860808015E-14</v>
      </c>
      <c r="BE97" s="13">
        <f>BD97*VLOOKUP('Données projet'!$B$11,Paramètres!$A$1:$I$89,3,0)*VLOOKUP('Données projet'!$B$11,Paramètres!$A$1:$I$89,5,0)</f>
        <v>4.9658410716801891E-14</v>
      </c>
      <c r="BF97" s="13">
        <f t="shared" si="91"/>
        <v>8.0934058173791862E-13</v>
      </c>
      <c r="BG97" s="20">
        <f t="shared" si="61"/>
        <v>1.4960899118586383E-12</v>
      </c>
      <c r="BH97" s="59">
        <f t="shared" si="62"/>
        <v>275.64051507723997</v>
      </c>
      <c r="BI97" s="59">
        <f ca="1">AVERAGE(OFFSET($BH$3,0,0,'Données projet'!$E$11+1,1))-AVERAGE(OFFSET($H$3,0,0,'Données projet'!$E$11+1,1))</f>
        <v>360.3011551173708</v>
      </c>
      <c r="BJ97" s="59">
        <f t="shared" si="92"/>
        <v>388.50312617855309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1.9146963263162087</v>
      </c>
      <c r="BR97" s="21">
        <f>EXP(-LN(2)/2)*BR96+(1-EXP(-LN(2)/2))/(LN(2)/2)*BL97*BO97*VLOOKUP('Données projet'!$B$11,Paramètres!$A$1:$I$89,3,0)*0.475*44/12</f>
        <v>2.7512696426486507E-9</v>
      </c>
      <c r="BS97" s="22">
        <f t="shared" si="63"/>
        <v>1.9146963290674783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-4.5474735088646412E-13</v>
      </c>
      <c r="DP97" s="17">
        <f>DO97*VLOOKUP('Données projet'!$B$14,Paramètres!$A$1:$I$89,3,0)*VLOOKUP('Données projet'!$B$14,Paramètres!$A$1:$I$89,5,0)</f>
        <v>-2.7193891583010558E-13</v>
      </c>
      <c r="DQ97" s="13" t="e">
        <f t="shared" si="97"/>
        <v>#NUM!</v>
      </c>
      <c r="DR97" s="20" t="e">
        <f t="shared" si="70"/>
        <v>#NUM!</v>
      </c>
      <c r="DS97" s="59" t="e">
        <f t="shared" si="71"/>
        <v>#NUM!</v>
      </c>
      <c r="DT97" s="59">
        <f ca="1">AVERAGE(OFFSET($DS$3,0,0,'Données projet'!$E$14+1,1))-AVERAGE(OFFSET($H$3,0,0,'Données projet'!$E$14+1,1))</f>
        <v>350.88566459278962</v>
      </c>
      <c r="DU97" s="59">
        <f t="shared" si="98"/>
        <v>342.18151800581552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2.1789208173694612</v>
      </c>
      <c r="EC97" s="21">
        <f>EXP(-LN(2)/2)*EC96+(1-EXP(-LN(2)/2))/(LN(2)/2)*DW97*DZ97*VLOOKUP('Données projet'!$B$14,Paramètres!$A$1:$I$89,3,0)*0.475*44/12</f>
        <v>5.5249221329155777E-9</v>
      </c>
      <c r="ED97" s="22">
        <f t="shared" si="72"/>
        <v>2.1789208228943835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4.9000000000000004</v>
      </c>
      <c r="N98" s="13">
        <f>IF('Données projet'!$A$36&gt;35,N97+M98-V97,IF(A98&lt;'Données projet'!$A$36,$K$205^A98,IF(A98='Données projet'!$A$36,'Données projet'!$B$36,N97+M98-V97)))</f>
        <v>278.50000000000034</v>
      </c>
      <c r="O98" s="13">
        <f>N98*VLOOKUP('Données projet'!$B$9,Paramètres!$A$1:$I$89,3,0)*VLOOKUP('Données projet'!$B$9,Paramètres!$A$1:$I$89,5,0)</f>
        <v>282.3990000000004</v>
      </c>
      <c r="P98" s="13">
        <f t="shared" si="87"/>
        <v>67.473734542548499</v>
      </c>
      <c r="Q98" s="20">
        <f t="shared" si="54"/>
        <v>609.36167932827254</v>
      </c>
      <c r="R98" s="59">
        <f t="shared" si="55"/>
        <v>885.30912524703854</v>
      </c>
      <c r="S98" s="59">
        <f ca="1">AVERAGE(OFFSET($R$3,0,0,'Données projet'!$E$9+1,1))-AVERAGE(OFFSET($H$3,0,0,'Données projet'!$E$9+1,1))</f>
        <v>465.40148250851843</v>
      </c>
      <c r="T98" s="59">
        <f t="shared" si="88"/>
        <v>290.8428650572356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0.57411670104132839</v>
      </c>
      <c r="AB98" s="21">
        <f>EXP(-LN(2)/2)*AB97+(1-EXP(-LN(2)/2))/(LN(2)/2)*V98*Y98*VLOOKUP('Données projet'!$B$9,Paramètres!$A$1:$I$89,3,0)*0.475*44/12</f>
        <v>1.1419718424109929E-9</v>
      </c>
      <c r="AC98" s="22">
        <f t="shared" si="57"/>
        <v>0.57411670218330024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299.77740000000034</v>
      </c>
      <c r="AK98" s="13">
        <f t="shared" si="89"/>
        <v>71.129795949749308</v>
      </c>
      <c r="AL98" s="20">
        <f t="shared" si="58"/>
        <v>645.9966996124806</v>
      </c>
      <c r="AM98" s="59">
        <f t="shared" si="59"/>
        <v>921.94414553124648</v>
      </c>
      <c r="AN98" s="59">
        <f ca="1">AVERAGE(OFFSET($AM$3,0,0,'Données projet'!$E$10+1,1))-AVERAGE(OFFSET($H$3,0,0,'Données projet'!$E$10+1,1))</f>
        <v>489.34829722967373</v>
      </c>
      <c r="AO98" s="59">
        <f t="shared" si="90"/>
        <v>304.94365539329362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0.60944695956694883</v>
      </c>
      <c r="AW98" s="21">
        <f>EXP(-LN(2)/2)*AW97+(1-EXP(-LN(2)/2))/(LN(2)/2)*AQ98*AT98*VLOOKUP('Données projet'!$B$10,Paramètres!$A$1:$I$89,3,0)*0.475*44/12</f>
        <v>1.2122470327132101E-9</v>
      </c>
      <c r="AX98" s="21">
        <f t="shared" si="60"/>
        <v>0.60944696077919591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5.6843418860808015E-14</v>
      </c>
      <c r="BE98" s="13">
        <f>BD98*VLOOKUP('Données projet'!$B$11,Paramètres!$A$1:$I$89,3,0)*VLOOKUP('Données projet'!$B$11,Paramètres!$A$1:$I$89,5,0)</f>
        <v>4.9658410716801891E-14</v>
      </c>
      <c r="BF98" s="13">
        <f t="shared" si="91"/>
        <v>8.0934058173791862E-13</v>
      </c>
      <c r="BG98" s="20">
        <f t="shared" si="61"/>
        <v>1.4960899118586383E-12</v>
      </c>
      <c r="BH98" s="59">
        <f t="shared" si="62"/>
        <v>275.94744591876741</v>
      </c>
      <c r="BI98" s="59">
        <f ca="1">AVERAGE(OFFSET($BH$3,0,0,'Données projet'!$E$11+1,1))-AVERAGE(OFFSET($H$3,0,0,'Données projet'!$E$11+1,1))</f>
        <v>360.3011551173708</v>
      </c>
      <c r="BJ98" s="59">
        <f t="shared" si="92"/>
        <v>388.50312617855309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1.8623388545835882</v>
      </c>
      <c r="BR98" s="21">
        <f>EXP(-LN(2)/2)*BR97+(1-EXP(-LN(2)/2))/(LN(2)/2)*BL98*BO98*VLOOKUP('Données projet'!$B$11,Paramètres!$A$1:$I$89,3,0)*0.475*44/12</f>
        <v>1.9454414211895502E-9</v>
      </c>
      <c r="BS98" s="22">
        <f t="shared" si="63"/>
        <v>1.8623388565290295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-4.5474735088646412E-13</v>
      </c>
      <c r="DP98" s="17">
        <f>DO98*VLOOKUP('Données projet'!$B$14,Paramètres!$A$1:$I$89,3,0)*VLOOKUP('Données projet'!$B$14,Paramètres!$A$1:$I$89,5,0)</f>
        <v>-2.7193891583010558E-13</v>
      </c>
      <c r="DQ98" s="13" t="e">
        <f t="shared" si="97"/>
        <v>#NUM!</v>
      </c>
      <c r="DR98" s="20" t="e">
        <f t="shared" si="70"/>
        <v>#NUM!</v>
      </c>
      <c r="DS98" s="59" t="e">
        <f t="shared" si="71"/>
        <v>#NUM!</v>
      </c>
      <c r="DT98" s="59">
        <f ca="1">AVERAGE(OFFSET($DS$3,0,0,'Données projet'!$E$14+1,1))-AVERAGE(OFFSET($H$3,0,0,'Données projet'!$E$14+1,1))</f>
        <v>350.88566459278962</v>
      </c>
      <c r="DU98" s="59">
        <f t="shared" si="98"/>
        <v>342.18151800581552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2.1193381130340274</v>
      </c>
      <c r="EC98" s="21">
        <f>EXP(-LN(2)/2)*EC97+(1-EXP(-LN(2)/2))/(LN(2)/2)*DW98*DZ98*VLOOKUP('Données projet'!$B$14,Paramètres!$A$1:$I$89,3,0)*0.475*44/12</f>
        <v>3.9067099057122488E-9</v>
      </c>
      <c r="ED98" s="22">
        <f t="shared" si="72"/>
        <v>2.1193381169407375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4.9000000000000004</v>
      </c>
      <c r="N99" s="13">
        <f>IF('Données projet'!$A$36&gt;35,N98+M99-V98,IF(A99&lt;'Données projet'!$A$36,$K$205^A99,IF(A99='Données projet'!$A$36,'Données projet'!$B$36,N98+M99-V98)))</f>
        <v>283.40000000000032</v>
      </c>
      <c r="O99" s="13">
        <f>N99*VLOOKUP('Données projet'!$B$9,Paramètres!$A$1:$I$89,3,0)*VLOOKUP('Données projet'!$B$9,Paramètres!$A$1:$I$89,5,0)</f>
        <v>287.36760000000032</v>
      </c>
      <c r="P99" s="13">
        <f t="shared" si="87"/>
        <v>68.52163320156518</v>
      </c>
      <c r="Q99" s="20">
        <f t="shared" ref="Q99:Q130" si="107">(O99+P99)*0.475*44/12</f>
        <v>619.84041449272661</v>
      </c>
      <c r="R99" s="59">
        <f t="shared" si="55"/>
        <v>896.08946668911403</v>
      </c>
      <c r="S99" s="59">
        <f ca="1">AVERAGE(OFFSET($R$3,0,0,'Données projet'!$E$9+1,1))-AVERAGE(OFFSET($H$3,0,0,'Données projet'!$E$9+1,1))</f>
        <v>465.40148250851843</v>
      </c>
      <c r="T99" s="59">
        <f t="shared" si="88"/>
        <v>290.8428650572356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0.55841744965986817</v>
      </c>
      <c r="AB99" s="21">
        <f>EXP(-LN(2)/2)*AB98+(1-EXP(-LN(2)/2))/(LN(2)/2)*V99*Y99*VLOOKUP('Données projet'!$B$9,Paramètres!$A$1:$I$89,3,0)*0.475*44/12</f>
        <v>8.074960336929085E-10</v>
      </c>
      <c r="AC99" s="22">
        <f t="shared" si="57"/>
        <v>0.55841745046736424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305.05176000000029</v>
      </c>
      <c r="AK99" s="13">
        <f t="shared" si="89"/>
        <v>72.234474952582318</v>
      </c>
      <c r="AL99" s="20">
        <f t="shared" si="58"/>
        <v>657.10685920908134</v>
      </c>
      <c r="AM99" s="59">
        <f t="shared" si="59"/>
        <v>933.35591140546876</v>
      </c>
      <c r="AN99" s="59">
        <f ca="1">AVERAGE(OFFSET($AM$3,0,0,'Données projet'!$E$10+1,1))-AVERAGE(OFFSET($H$3,0,0,'Données projet'!$E$10+1,1))</f>
        <v>489.34829722967373</v>
      </c>
      <c r="AO99" s="59">
        <f t="shared" si="90"/>
        <v>304.94365539329362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0.59278160040816796</v>
      </c>
      <c r="AW99" s="21">
        <f>EXP(-LN(2)/2)*AW98+(1-EXP(-LN(2)/2))/(LN(2)/2)*AQ99*AT99*VLOOKUP('Données projet'!$B$10,Paramètres!$A$1:$I$89,3,0)*0.475*44/12</f>
        <v>8.5718809730478141E-10</v>
      </c>
      <c r="AX99" s="21">
        <f t="shared" si="60"/>
        <v>0.59278160126535606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5.6843418860808015E-14</v>
      </c>
      <c r="BE99" s="13">
        <f>BD99*VLOOKUP('Données projet'!$B$11,Paramètres!$A$1:$I$89,3,0)*VLOOKUP('Données projet'!$B$11,Paramètres!$A$1:$I$89,5,0)</f>
        <v>4.9658410716801891E-14</v>
      </c>
      <c r="BF99" s="13">
        <f t="shared" si="91"/>
        <v>8.0934058173791862E-13</v>
      </c>
      <c r="BG99" s="20">
        <f t="shared" si="61"/>
        <v>1.4960899118586383E-12</v>
      </c>
      <c r="BH99" s="59">
        <f t="shared" si="62"/>
        <v>276.2490521963889</v>
      </c>
      <c r="BI99" s="59">
        <f ca="1">AVERAGE(OFFSET($BH$3,0,0,'Données projet'!$E$11+1,1))-AVERAGE(OFFSET($H$3,0,0,'Données projet'!$E$11+1,1))</f>
        <v>360.3011551173708</v>
      </c>
      <c r="BJ99" s="59">
        <f t="shared" si="92"/>
        <v>388.50312617855309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1.8114131006688561</v>
      </c>
      <c r="BR99" s="21">
        <f>EXP(-LN(2)/2)*BR98+(1-EXP(-LN(2)/2))/(LN(2)/2)*BL99*BO99*VLOOKUP('Données projet'!$B$11,Paramètres!$A$1:$I$89,3,0)*0.475*44/12</f>
        <v>1.3756348213243254E-9</v>
      </c>
      <c r="BS99" s="22">
        <f t="shared" si="63"/>
        <v>1.8114131020444908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-4.5474735088646412E-13</v>
      </c>
      <c r="DP99" s="17">
        <f>DO99*VLOOKUP('Données projet'!$B$14,Paramètres!$A$1:$I$89,3,0)*VLOOKUP('Données projet'!$B$14,Paramètres!$A$1:$I$89,5,0)</f>
        <v>-2.7193891583010558E-13</v>
      </c>
      <c r="DQ99" s="13" t="e">
        <f t="shared" si="97"/>
        <v>#NUM!</v>
      </c>
      <c r="DR99" s="20" t="e">
        <f t="shared" si="70"/>
        <v>#NUM!</v>
      </c>
      <c r="DS99" s="59" t="e">
        <f t="shared" si="71"/>
        <v>#NUM!</v>
      </c>
      <c r="DT99" s="59">
        <f ca="1">AVERAGE(OFFSET($DS$3,0,0,'Données projet'!$E$14+1,1))-AVERAGE(OFFSET($H$3,0,0,'Données projet'!$E$14+1,1))</f>
        <v>350.88566459278962</v>
      </c>
      <c r="DU99" s="59">
        <f t="shared" si="98"/>
        <v>342.18151800581552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2.0613847008819643</v>
      </c>
      <c r="EC99" s="21">
        <f>EXP(-LN(2)/2)*EC98+(1-EXP(-LN(2)/2))/(LN(2)/2)*DW99*DZ99*VLOOKUP('Données projet'!$B$14,Paramètres!$A$1:$I$89,3,0)*0.475*44/12</f>
        <v>2.7624610664577889E-9</v>
      </c>
      <c r="ED99" s="22">
        <f t="shared" si="72"/>
        <v>2.0613847036444253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4.9000000000000004</v>
      </c>
      <c r="N100" s="13">
        <f>IF('Données projet'!$A$36&gt;35,N99+M100-V99,IF(A100&lt;'Données projet'!$A$36,$K$205^A100,IF(A100='Données projet'!$A$36,'Données projet'!$B$36,N99+M100-V99)))</f>
        <v>288.3000000000003</v>
      </c>
      <c r="O100" s="13">
        <f>N100*VLOOKUP('Données projet'!$B$9,Paramètres!$A$1:$I$89,3,0)*VLOOKUP('Données projet'!$B$9,Paramètres!$A$1:$I$89,5,0)</f>
        <v>292.33620000000036</v>
      </c>
      <c r="P100" s="13">
        <f t="shared" si="87"/>
        <v>69.567424909623327</v>
      </c>
      <c r="Q100" s="20">
        <f t="shared" si="107"/>
        <v>630.31548005092793</v>
      </c>
      <c r="R100" s="59">
        <f t="shared" si="55"/>
        <v>906.86090633031074</v>
      </c>
      <c r="S100" s="59">
        <f ca="1">AVERAGE(OFFSET($R$3,0,0,'Données projet'!$E$9+1,1))-AVERAGE(OFFSET($H$3,0,0,'Données projet'!$E$9+1,1))</f>
        <v>465.40148250851843</v>
      </c>
      <c r="T100" s="59">
        <f t="shared" si="88"/>
        <v>290.8428650572356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0.54314749513302163</v>
      </c>
      <c r="AB100" s="21">
        <f>EXP(-LN(2)/2)*AB99+(1-EXP(-LN(2)/2))/(LN(2)/2)*V100*Y100*VLOOKUP('Données projet'!$B$9,Paramètres!$A$1:$I$89,3,0)*0.475*44/12</f>
        <v>5.7098592120549646E-10</v>
      </c>
      <c r="AC100" s="22">
        <f t="shared" si="57"/>
        <v>0.54314749570400755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310.32612000000029</v>
      </c>
      <c r="AK100" s="13">
        <f t="shared" si="89"/>
        <v>73.336932839409428</v>
      </c>
      <c r="AL100" s="20">
        <f t="shared" si="58"/>
        <v>668.213150361972</v>
      </c>
      <c r="AM100" s="59">
        <f t="shared" si="59"/>
        <v>944.75857664135481</v>
      </c>
      <c r="AN100" s="59">
        <f ca="1">AVERAGE(OFFSET($AM$3,0,0,'Données projet'!$E$10+1,1))-AVERAGE(OFFSET($H$3,0,0,'Données projet'!$E$10+1,1))</f>
        <v>489.34829722967373</v>
      </c>
      <c r="AO100" s="59">
        <f t="shared" si="90"/>
        <v>304.94365539329362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0.57657195637197711</v>
      </c>
      <c r="AW100" s="21">
        <f>EXP(-LN(2)/2)*AW99+(1-EXP(-LN(2)/2))/(LN(2)/2)*AQ100*AT100*VLOOKUP('Données projet'!$B$10,Paramètres!$A$1:$I$89,3,0)*0.475*44/12</f>
        <v>6.0612351635660507E-10</v>
      </c>
      <c r="AX100" s="21">
        <f t="shared" si="60"/>
        <v>0.5765719569781006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5.6843418860808015E-14</v>
      </c>
      <c r="BE100" s="13">
        <f>BD100*VLOOKUP('Données projet'!$B$11,Paramètres!$A$1:$I$89,3,0)*VLOOKUP('Données projet'!$B$11,Paramètres!$A$1:$I$89,5,0)</f>
        <v>4.9658410716801891E-14</v>
      </c>
      <c r="BF100" s="13">
        <f t="shared" si="91"/>
        <v>8.0934058173791862E-13</v>
      </c>
      <c r="BG100" s="20">
        <f t="shared" si="61"/>
        <v>1.4960899118586383E-12</v>
      </c>
      <c r="BH100" s="59">
        <f t="shared" si="62"/>
        <v>276.54542627938429</v>
      </c>
      <c r="BI100" s="59">
        <f ca="1">AVERAGE(OFFSET($BH$3,0,0,'Données projet'!$E$11+1,1))-AVERAGE(OFFSET($H$3,0,0,'Données projet'!$E$11+1,1))</f>
        <v>360.3011551173708</v>
      </c>
      <c r="BJ100" s="59">
        <f t="shared" si="92"/>
        <v>388.50312617855309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1.7618799141729913</v>
      </c>
      <c r="BR100" s="21">
        <f>EXP(-LN(2)/2)*BR99+(1-EXP(-LN(2)/2))/(LN(2)/2)*BL100*BO100*VLOOKUP('Données projet'!$B$11,Paramètres!$A$1:$I$89,3,0)*0.475*44/12</f>
        <v>9.7272071059477511E-10</v>
      </c>
      <c r="BS100" s="22">
        <f t="shared" si="63"/>
        <v>1.7618799151457121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-4.5474735088646412E-13</v>
      </c>
      <c r="DP100" s="17">
        <f>DO100*VLOOKUP('Données projet'!$B$14,Paramètres!$A$1:$I$89,3,0)*VLOOKUP('Données projet'!$B$14,Paramètres!$A$1:$I$89,5,0)</f>
        <v>-2.7193891583010558E-13</v>
      </c>
      <c r="DQ100" s="13" t="e">
        <f t="shared" si="97"/>
        <v>#NUM!</v>
      </c>
      <c r="DR100" s="20" t="e">
        <f t="shared" si="70"/>
        <v>#NUM!</v>
      </c>
      <c r="DS100" s="59" t="e">
        <f t="shared" si="71"/>
        <v>#NUM!</v>
      </c>
      <c r="DT100" s="59">
        <f ca="1">AVERAGE(OFFSET($DS$3,0,0,'Données projet'!$E$14+1,1))-AVERAGE(OFFSET($H$3,0,0,'Données projet'!$E$14+1,1))</f>
        <v>350.88566459278962</v>
      </c>
      <c r="DU100" s="59">
        <f t="shared" si="98"/>
        <v>342.18151800581552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2.0050160278328368</v>
      </c>
      <c r="EC100" s="21">
        <f>EXP(-LN(2)/2)*EC99+(1-EXP(-LN(2)/2))/(LN(2)/2)*DW100*DZ100*VLOOKUP('Données projet'!$B$14,Paramètres!$A$1:$I$89,3,0)*0.475*44/12</f>
        <v>1.9533549528561244E-9</v>
      </c>
      <c r="ED100" s="22">
        <f t="shared" si="72"/>
        <v>2.0050160297861916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4.9000000000000004</v>
      </c>
      <c r="N101" s="13">
        <f>IF('Données projet'!$A$36&gt;35,N100+M101-V100,IF(A101&lt;'Données projet'!$A$36,$K$205^A101,IF(A101='Données projet'!$A$36,'Données projet'!$B$36,N100+M101-V100)))</f>
        <v>293.20000000000027</v>
      </c>
      <c r="O101" s="13">
        <f>N101*VLOOKUP('Données projet'!$B$9,Paramètres!$A$1:$I$89,3,0)*VLOOKUP('Données projet'!$B$9,Paramètres!$A$1:$I$89,5,0)</f>
        <v>297.30480000000028</v>
      </c>
      <c r="P101" s="13">
        <f t="shared" si="87"/>
        <v>70.611149609505034</v>
      </c>
      <c r="Q101" s="20">
        <f t="shared" si="107"/>
        <v>640.78694556988842</v>
      </c>
      <c r="R101" s="59">
        <f t="shared" si="55"/>
        <v>917.62360450451979</v>
      </c>
      <c r="S101" s="59">
        <f ca="1">AVERAGE(OFFSET($R$3,0,0,'Données projet'!$E$9+1,1))-AVERAGE(OFFSET($H$3,0,0,'Données projet'!$E$9+1,1))</f>
        <v>465.40148250851843</v>
      </c>
      <c r="T101" s="59">
        <f t="shared" si="88"/>
        <v>290.8428650572356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0.52829509831572374</v>
      </c>
      <c r="AB101" s="21">
        <f>EXP(-LN(2)/2)*AB100+(1-EXP(-LN(2)/2))/(LN(2)/2)*V101*Y101*VLOOKUP('Données projet'!$B$9,Paramètres!$A$1:$I$89,3,0)*0.475*44/12</f>
        <v>4.0374801684645425E-10</v>
      </c>
      <c r="AC101" s="22">
        <f t="shared" si="57"/>
        <v>0.52829509871947178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315.60048000000029</v>
      </c>
      <c r="AK101" s="13">
        <f t="shared" si="89"/>
        <v>74.43721171731093</v>
      </c>
      <c r="AL101" s="20">
        <f t="shared" si="58"/>
        <v>679.31564640765021</v>
      </c>
      <c r="AM101" s="59">
        <f t="shared" si="59"/>
        <v>956.15230534228158</v>
      </c>
      <c r="AN101" s="59">
        <f ca="1">AVERAGE(OFFSET($AM$3,0,0,'Données projet'!$E$10+1,1))-AVERAGE(OFFSET($H$3,0,0,'Données projet'!$E$10+1,1))</f>
        <v>489.34829722967373</v>
      </c>
      <c r="AO101" s="59">
        <f t="shared" si="90"/>
        <v>304.94365539329362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0.56080556590438402</v>
      </c>
      <c r="AW101" s="21">
        <f>EXP(-LN(2)/2)*AW100+(1-EXP(-LN(2)/2))/(LN(2)/2)*AQ101*AT101*VLOOKUP('Données projet'!$B$10,Paramètres!$A$1:$I$89,3,0)*0.475*44/12</f>
        <v>4.2859404865239071E-10</v>
      </c>
      <c r="AX101" s="21">
        <f t="shared" si="60"/>
        <v>0.56080556633297807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5.6843418860808015E-14</v>
      </c>
      <c r="BE101" s="13">
        <f>BD101*VLOOKUP('Données projet'!$B$11,Paramètres!$A$1:$I$89,3,0)*VLOOKUP('Données projet'!$B$11,Paramètres!$A$1:$I$89,5,0)</f>
        <v>4.9658410716801891E-14</v>
      </c>
      <c r="BF101" s="13">
        <f t="shared" si="91"/>
        <v>8.0934058173791862E-13</v>
      </c>
      <c r="BG101" s="20">
        <f t="shared" si="61"/>
        <v>1.4960899118586383E-12</v>
      </c>
      <c r="BH101" s="59">
        <f t="shared" si="62"/>
        <v>276.83665893463285</v>
      </c>
      <c r="BI101" s="59">
        <f ca="1">AVERAGE(OFFSET($BH$3,0,0,'Données projet'!$E$11+1,1))-AVERAGE(OFFSET($H$3,0,0,'Données projet'!$E$11+1,1))</f>
        <v>360.3011551173708</v>
      </c>
      <c r="BJ101" s="59">
        <f t="shared" si="92"/>
        <v>388.50312617855309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1.7137012152666931</v>
      </c>
      <c r="BR101" s="21">
        <f>EXP(-LN(2)/2)*BR100+(1-EXP(-LN(2)/2))/(LN(2)/2)*BL101*BO101*VLOOKUP('Données projet'!$B$11,Paramètres!$A$1:$I$89,3,0)*0.475*44/12</f>
        <v>6.8781741066216268E-10</v>
      </c>
      <c r="BS101" s="22">
        <f t="shared" si="63"/>
        <v>1.7137012159545104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-4.5474735088646412E-13</v>
      </c>
      <c r="DP101" s="17">
        <f>DO101*VLOOKUP('Données projet'!$B$14,Paramètres!$A$1:$I$89,3,0)*VLOOKUP('Données projet'!$B$14,Paramètres!$A$1:$I$89,5,0)</f>
        <v>-2.7193891583010558E-13</v>
      </c>
      <c r="DQ101" s="13" t="e">
        <f t="shared" si="97"/>
        <v>#NUM!</v>
      </c>
      <c r="DR101" s="20" t="e">
        <f t="shared" si="70"/>
        <v>#NUM!</v>
      </c>
      <c r="DS101" s="59" t="e">
        <f t="shared" si="71"/>
        <v>#NUM!</v>
      </c>
      <c r="DT101" s="59">
        <f ca="1">AVERAGE(OFFSET($DS$3,0,0,'Données projet'!$E$14+1,1))-AVERAGE(OFFSET($H$3,0,0,'Données projet'!$E$14+1,1))</f>
        <v>350.88566459278962</v>
      </c>
      <c r="DU101" s="59">
        <f t="shared" si="98"/>
        <v>342.18151800581552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1.9501887591125375</v>
      </c>
      <c r="EC101" s="21">
        <f>EXP(-LN(2)/2)*EC100+(1-EXP(-LN(2)/2))/(LN(2)/2)*DW101*DZ101*VLOOKUP('Données projet'!$B$14,Paramètres!$A$1:$I$89,3,0)*0.475*44/12</f>
        <v>1.3812305332288944E-9</v>
      </c>
      <c r="ED101" s="22">
        <f t="shared" si="72"/>
        <v>1.950188760493768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4.9000000000000004</v>
      </c>
      <c r="N102" s="13">
        <f>IF('Données projet'!$A$36&gt;35,N101+M102-V101,IF(A102&lt;'Données projet'!$A$36,$K$205^A102,IF(A102='Données projet'!$A$36,'Données projet'!$B$36,N101+M102-V101)))</f>
        <v>298.10000000000025</v>
      </c>
      <c r="O102" s="13">
        <f>N102*VLOOKUP('Données projet'!$B$9,Paramètres!$A$1:$I$89,3,0)*VLOOKUP('Données projet'!$B$9,Paramètres!$A$1:$I$89,5,0)</f>
        <v>302.27340000000027</v>
      </c>
      <c r="P102" s="13">
        <f t="shared" si="87"/>
        <v>71.652845832409795</v>
      </c>
      <c r="Q102" s="20">
        <f t="shared" si="107"/>
        <v>651.25487815811414</v>
      </c>
      <c r="R102" s="59">
        <f t="shared" si="55"/>
        <v>928.37771751252421</v>
      </c>
      <c r="S102" s="59">
        <f ca="1">AVERAGE(OFFSET($R$3,0,0,'Données projet'!$E$9+1,1))-AVERAGE(OFFSET($H$3,0,0,'Données projet'!$E$9+1,1))</f>
        <v>465.40148250851843</v>
      </c>
      <c r="T102" s="59">
        <f t="shared" si="88"/>
        <v>290.8428650572356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0.51384884107044848</v>
      </c>
      <c r="AB102" s="21">
        <f>EXP(-LN(2)/2)*AB101+(1-EXP(-LN(2)/2))/(LN(2)/2)*V102*Y102*VLOOKUP('Données projet'!$B$9,Paramètres!$A$1:$I$89,3,0)*0.475*44/12</f>
        <v>2.8549296060274823E-10</v>
      </c>
      <c r="AC102" s="22">
        <f t="shared" si="57"/>
        <v>0.51384884135594144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320.87484000000029</v>
      </c>
      <c r="AK102" s="13">
        <f t="shared" si="89"/>
        <v>75.535352205297713</v>
      </c>
      <c r="AL102" s="20">
        <f t="shared" si="58"/>
        <v>690.41441809089395</v>
      </c>
      <c r="AM102" s="59">
        <f t="shared" si="59"/>
        <v>967.53725744530402</v>
      </c>
      <c r="AN102" s="59">
        <f ca="1">AVERAGE(OFFSET($AM$3,0,0,'Données projet'!$E$10+1,1))-AVERAGE(OFFSET($H$3,0,0,'Données projet'!$E$10+1,1))</f>
        <v>489.34829722967373</v>
      </c>
      <c r="AO102" s="59">
        <f t="shared" si="90"/>
        <v>304.94365539329362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0.54547030821324571</v>
      </c>
      <c r="AW102" s="21">
        <f>EXP(-LN(2)/2)*AW101+(1-EXP(-LN(2)/2))/(LN(2)/2)*AQ102*AT102*VLOOKUP('Données projet'!$B$10,Paramètres!$A$1:$I$89,3,0)*0.475*44/12</f>
        <v>3.0306175817830253E-10</v>
      </c>
      <c r="AX102" s="21">
        <f t="shared" si="60"/>
        <v>0.54547030851630751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5.6843418860808015E-14</v>
      </c>
      <c r="BE102" s="13">
        <f>BD102*VLOOKUP('Données projet'!$B$11,Paramètres!$A$1:$I$89,3,0)*VLOOKUP('Données projet'!$B$11,Paramètres!$A$1:$I$89,5,0)</f>
        <v>4.9658410716801891E-14</v>
      </c>
      <c r="BF102" s="13">
        <f t="shared" si="91"/>
        <v>8.0934058173791862E-13</v>
      </c>
      <c r="BG102" s="20">
        <f t="shared" si="61"/>
        <v>1.4960899118586383E-12</v>
      </c>
      <c r="BH102" s="59">
        <f t="shared" si="62"/>
        <v>277.12283935441161</v>
      </c>
      <c r="BI102" s="59">
        <f ca="1">AVERAGE(OFFSET($BH$3,0,0,'Données projet'!$E$11+1,1))-AVERAGE(OFFSET($H$3,0,0,'Données projet'!$E$11+1,1))</f>
        <v>360.3011551173708</v>
      </c>
      <c r="BJ102" s="59">
        <f t="shared" si="92"/>
        <v>388.50312617855309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1.6668399654155952</v>
      </c>
      <c r="BR102" s="21">
        <f>EXP(-LN(2)/2)*BR101+(1-EXP(-LN(2)/2))/(LN(2)/2)*BL102*BO102*VLOOKUP('Données projet'!$B$11,Paramètres!$A$1:$I$89,3,0)*0.475*44/12</f>
        <v>4.8636035529738755E-10</v>
      </c>
      <c r="BS102" s="22">
        <f t="shared" si="63"/>
        <v>1.6668399659019555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-4.5474735088646412E-13</v>
      </c>
      <c r="DP102" s="17">
        <f>DO102*VLOOKUP('Données projet'!$B$14,Paramètres!$A$1:$I$89,3,0)*VLOOKUP('Données projet'!$B$14,Paramètres!$A$1:$I$89,5,0)</f>
        <v>-2.7193891583010558E-13</v>
      </c>
      <c r="DQ102" s="13" t="e">
        <f t="shared" si="97"/>
        <v>#NUM!</v>
      </c>
      <c r="DR102" s="20" t="e">
        <f t="shared" si="70"/>
        <v>#NUM!</v>
      </c>
      <c r="DS102" s="59" t="e">
        <f t="shared" si="71"/>
        <v>#NUM!</v>
      </c>
      <c r="DT102" s="59">
        <f ca="1">AVERAGE(OFFSET($DS$3,0,0,'Données projet'!$E$14+1,1))-AVERAGE(OFFSET($H$3,0,0,'Données projet'!$E$14+1,1))</f>
        <v>350.88566459278962</v>
      </c>
      <c r="DU102" s="59">
        <f t="shared" si="98"/>
        <v>342.18151800581552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1.8968607449386357</v>
      </c>
      <c r="EC102" s="21">
        <f>EXP(-LN(2)/2)*EC101+(1-EXP(-LN(2)/2))/(LN(2)/2)*DW102*DZ102*VLOOKUP('Données projet'!$B$14,Paramètres!$A$1:$I$89,3,0)*0.475*44/12</f>
        <v>9.7667747642806219E-10</v>
      </c>
      <c r="ED102" s="22">
        <f t="shared" si="72"/>
        <v>1.8968607459153131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303</v>
      </c>
      <c r="L103" s="12">
        <f>VLOOKUP(A103,'Données projet'!$A$35:$I$55,9,0)</f>
        <v>4.9000000000000004</v>
      </c>
      <c r="M103" s="12">
        <f t="array" ref="M103">INDEX(L:L,MIN(IF(ISNUMBER(L103:L299),ROW(L103:L299),"")))</f>
        <v>4.9000000000000004</v>
      </c>
      <c r="N103" s="13">
        <f>IF('Données projet'!$A$36&gt;35,N102+M103-V102,IF(A103&lt;'Données projet'!$A$36,$K$205^A103,IF(A103='Données projet'!$A$36,'Données projet'!$B$36,N102+M103-V102)))</f>
        <v>303.00000000000023</v>
      </c>
      <c r="O103" s="13">
        <f>N103*VLOOKUP('Données projet'!$B$9,Paramètres!$A$1:$I$89,3,0)*VLOOKUP('Données projet'!$B$9,Paramètres!$A$1:$I$89,5,0)</f>
        <v>307.24200000000025</v>
      </c>
      <c r="P103" s="13">
        <f t="shared" si="87"/>
        <v>72.692550770207845</v>
      </c>
      <c r="Q103" s="20">
        <f t="shared" si="107"/>
        <v>661.71934259144575</v>
      </c>
      <c r="R103" s="59">
        <f t="shared" si="55"/>
        <v>939.1233977751549</v>
      </c>
      <c r="S103" s="59">
        <f ca="1">AVERAGE(OFFSET($R$3,0,0,'Données projet'!$E$9+1,1))-AVERAGE(OFFSET($H$3,0,0,'Données projet'!$E$9+1,1))</f>
        <v>465.40148250851843</v>
      </c>
      <c r="T103" s="59">
        <f t="shared" si="88"/>
        <v>290.8428650572356</v>
      </c>
      <c r="U103" s="15">
        <f>IF(ISNA(VLOOKUP(A103,'Données projet'!$A$35:$I$55,3,0)),0,VLOOKUP(A103,'Données projet'!$A$35:$I$55,3,0))</f>
        <v>8</v>
      </c>
      <c r="V103" s="15">
        <f>IF(ISNA(VLOOKUP(A103,'Données projet'!$A$35:$I$55,4,0)),0,VLOOKUP(A103,'Données projet'!$A$35:$I$55,4,0))</f>
        <v>42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0.49979761748924095</v>
      </c>
      <c r="AB103" s="21">
        <f>EXP(-LN(2)/2)*AB102+(1-EXP(-LN(2)/2))/(LN(2)/2)*V103*Y103*VLOOKUP('Données projet'!$B$9,Paramètres!$A$1:$I$89,3,0)*0.475*44/12</f>
        <v>2.0187400842322713E-10</v>
      </c>
      <c r="AC103" s="22">
        <f t="shared" si="57"/>
        <v>0.49979761769111497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326.14920000000023</v>
      </c>
      <c r="AK103" s="13">
        <f t="shared" si="89"/>
        <v>76.631393510479697</v>
      </c>
      <c r="AL103" s="20">
        <f t="shared" si="58"/>
        <v>701.50953369741922</v>
      </c>
      <c r="AM103" s="59">
        <f t="shared" si="59"/>
        <v>978.91358888112836</v>
      </c>
      <c r="AN103" s="59">
        <f ca="1">AVERAGE(OFFSET($AM$3,0,0,'Données projet'!$E$10+1,1))-AVERAGE(OFFSET($H$3,0,0,'Données projet'!$E$10+1,1))</f>
        <v>489.34829722967373</v>
      </c>
      <c r="AO103" s="59">
        <f t="shared" si="90"/>
        <v>304.94365539329362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0.53055439395011772</v>
      </c>
      <c r="AW103" s="21">
        <f>EXP(-LN(2)/2)*AW102+(1-EXP(-LN(2)/2))/(LN(2)/2)*AQ103*AT103*VLOOKUP('Données projet'!$B$10,Paramètres!$A$1:$I$89,3,0)*0.475*44/12</f>
        <v>2.1429702432619535E-10</v>
      </c>
      <c r="AX103" s="21">
        <f t="shared" si="60"/>
        <v>0.53055439416441474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5.6843418860808015E-14</v>
      </c>
      <c r="BE103" s="13">
        <f>BD103*VLOOKUP('Données projet'!$B$11,Paramètres!$A$1:$I$89,3,0)*VLOOKUP('Données projet'!$B$11,Paramètres!$A$1:$I$89,5,0)</f>
        <v>4.9658410716801891E-14</v>
      </c>
      <c r="BF103" s="13">
        <f t="shared" si="91"/>
        <v>8.0934058173791862E-13</v>
      </c>
      <c r="BG103" s="20">
        <f t="shared" si="61"/>
        <v>1.4960899118586383E-12</v>
      </c>
      <c r="BH103" s="59">
        <f t="shared" si="62"/>
        <v>277.40405518371068</v>
      </c>
      <c r="BI103" s="59">
        <f ca="1">AVERAGE(OFFSET($BH$3,0,0,'Données projet'!$E$11+1,1))-AVERAGE(OFFSET($H$3,0,0,'Données projet'!$E$11+1,1))</f>
        <v>360.3011551173708</v>
      </c>
      <c r="BJ103" s="59">
        <f t="shared" si="92"/>
        <v>388.50312617855309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1.6212601389060015</v>
      </c>
      <c r="BR103" s="21">
        <f>EXP(-LN(2)/2)*BR102+(1-EXP(-LN(2)/2))/(LN(2)/2)*BL103*BO103*VLOOKUP('Données projet'!$B$11,Paramètres!$A$1:$I$89,3,0)*0.475*44/12</f>
        <v>3.4390870533108134E-10</v>
      </c>
      <c r="BS103" s="22">
        <f t="shared" si="63"/>
        <v>1.6212601392499102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-4.5474735088646412E-13</v>
      </c>
      <c r="DP103" s="17">
        <f>DO103*VLOOKUP('Données projet'!$B$14,Paramètres!$A$1:$I$89,3,0)*VLOOKUP('Données projet'!$B$14,Paramètres!$A$1:$I$89,5,0)</f>
        <v>-2.7193891583010558E-13</v>
      </c>
      <c r="DQ103" s="13" t="e">
        <f t="shared" si="97"/>
        <v>#NUM!</v>
      </c>
      <c r="DR103" s="20" t="e">
        <f t="shared" si="70"/>
        <v>#NUM!</v>
      </c>
      <c r="DS103" s="59" t="e">
        <f t="shared" si="71"/>
        <v>#NUM!</v>
      </c>
      <c r="DT103" s="59">
        <f ca="1">AVERAGE(OFFSET($DS$3,0,0,'Données projet'!$E$14+1,1))-AVERAGE(OFFSET($H$3,0,0,'Données projet'!$E$14+1,1))</f>
        <v>350.88566459278962</v>
      </c>
      <c r="DU103" s="59">
        <f t="shared" si="98"/>
        <v>342.18151800581552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1.8449909881167175</v>
      </c>
      <c r="EC103" s="21">
        <f>EXP(-LN(2)/2)*EC102+(1-EXP(-LN(2)/2))/(LN(2)/2)*DW103*DZ103*VLOOKUP('Données projet'!$B$14,Paramètres!$A$1:$I$89,3,0)*0.475*44/12</f>
        <v>6.9061526661444722E-10</v>
      </c>
      <c r="ED103" s="22">
        <f t="shared" si="72"/>
        <v>1.8449909888073328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4.4000000000000004</v>
      </c>
      <c r="N104" s="13">
        <f>IF('Données projet'!$A$36&gt;35,N103+M104-V103,IF(A104&lt;'Données projet'!$A$36,$K$205^A104,IF(A104='Données projet'!$A$36,'Données projet'!$B$36,N103+M104-V103)))</f>
        <v>265.4000000000002</v>
      </c>
      <c r="O104" s="13">
        <f>N104*VLOOKUP('Données projet'!$B$9,Paramètres!$A$1:$I$89,3,0)*VLOOKUP('Données projet'!$B$9,Paramètres!$A$1:$I$89,5,0)</f>
        <v>269.1156000000002</v>
      </c>
      <c r="P104" s="13">
        <f t="shared" si="87"/>
        <v>64.66154146228719</v>
      </c>
      <c r="Q104" s="20">
        <f t="shared" si="107"/>
        <v>581.32852138015051</v>
      </c>
      <c r="R104" s="59">
        <f t="shared" si="55"/>
        <v>859.00891392722497</v>
      </c>
      <c r="S104" s="59">
        <f ca="1">AVERAGE(OFFSET($R$3,0,0,'Données projet'!$E$9+1,1))-AVERAGE(OFFSET($H$3,0,0,'Données projet'!$E$9+1,1))</f>
        <v>465.40148250851843</v>
      </c>
      <c r="T104" s="59">
        <f t="shared" si="88"/>
        <v>290.8428650572356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0.48613062535578327</v>
      </c>
      <c r="AB104" s="21">
        <f>EXP(-LN(2)/2)*AB103+(1-EXP(-LN(2)/2))/(LN(2)/2)*V104*Y104*VLOOKUP('Données projet'!$B$9,Paramètres!$A$1:$I$89,3,0)*0.475*44/12</f>
        <v>1.4274648030137411E-10</v>
      </c>
      <c r="AC104" s="22">
        <f t="shared" si="57"/>
        <v>0.48613062549852976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285.67656000000022</v>
      </c>
      <c r="AK104" s="13">
        <f t="shared" si="89"/>
        <v>68.16522430825907</v>
      </c>
      <c r="AL104" s="20">
        <f t="shared" si="58"/>
        <v>616.2744410035516</v>
      </c>
      <c r="AM104" s="59">
        <f t="shared" si="59"/>
        <v>893.95483355062606</v>
      </c>
      <c r="AN104" s="59">
        <f ca="1">AVERAGE(OFFSET($AM$3,0,0,'Données projet'!$E$10+1,1))-AVERAGE(OFFSET($H$3,0,0,'Données projet'!$E$10+1,1))</f>
        <v>489.34829722967373</v>
      </c>
      <c r="AO104" s="59">
        <f t="shared" si="90"/>
        <v>304.94365539329362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0.51604635614690875</v>
      </c>
      <c r="AW104" s="21">
        <f>EXP(-LN(2)/2)*AW103+(1-EXP(-LN(2)/2))/(LN(2)/2)*AQ104*AT104*VLOOKUP('Données projet'!$B$10,Paramètres!$A$1:$I$89,3,0)*0.475*44/12</f>
        <v>1.5153087908915127E-10</v>
      </c>
      <c r="AX104" s="21">
        <f t="shared" si="60"/>
        <v>0.51604635629843965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5.6843418860808015E-14</v>
      </c>
      <c r="BE104" s="13">
        <f>BD104*VLOOKUP('Données projet'!$B$11,Paramètres!$A$1:$I$89,3,0)*VLOOKUP('Données projet'!$B$11,Paramètres!$A$1:$I$89,5,0)</f>
        <v>4.9658410716801891E-14</v>
      </c>
      <c r="BF104" s="13">
        <f t="shared" si="91"/>
        <v>8.0934058173791862E-13</v>
      </c>
      <c r="BG104" s="20">
        <f t="shared" si="61"/>
        <v>1.4960899118586383E-12</v>
      </c>
      <c r="BH104" s="59">
        <f t="shared" si="62"/>
        <v>277.68039254707588</v>
      </c>
      <c r="BI104" s="59">
        <f ca="1">AVERAGE(OFFSET($BH$3,0,0,'Données projet'!$E$11+1,1))-AVERAGE(OFFSET($H$3,0,0,'Données projet'!$E$11+1,1))</f>
        <v>360.3011551173708</v>
      </c>
      <c r="BJ104" s="59">
        <f t="shared" si="92"/>
        <v>388.50312617855309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1.5769266951492515</v>
      </c>
      <c r="BR104" s="21">
        <f>EXP(-LN(2)/2)*BR103+(1-EXP(-LN(2)/2))/(LN(2)/2)*BL104*BO104*VLOOKUP('Données projet'!$B$11,Paramètres!$A$1:$I$89,3,0)*0.475*44/12</f>
        <v>2.4318017764869378E-10</v>
      </c>
      <c r="BS104" s="22">
        <f t="shared" si="63"/>
        <v>1.5769266953924317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-4.5474735088646412E-13</v>
      </c>
      <c r="DP104" s="17">
        <f>DO104*VLOOKUP('Données projet'!$B$14,Paramètres!$A$1:$I$89,3,0)*VLOOKUP('Données projet'!$B$14,Paramètres!$A$1:$I$89,5,0)</f>
        <v>-2.7193891583010558E-13</v>
      </c>
      <c r="DQ104" s="13" t="e">
        <f t="shared" si="97"/>
        <v>#NUM!</v>
      </c>
      <c r="DR104" s="20" t="e">
        <f t="shared" si="70"/>
        <v>#NUM!</v>
      </c>
      <c r="DS104" s="59" t="e">
        <f t="shared" si="71"/>
        <v>#NUM!</v>
      </c>
      <c r="DT104" s="59">
        <f ca="1">AVERAGE(OFFSET($DS$3,0,0,'Données projet'!$E$14+1,1))-AVERAGE(OFFSET($H$3,0,0,'Données projet'!$E$14+1,1))</f>
        <v>350.88566459278962</v>
      </c>
      <c r="DU104" s="59">
        <f t="shared" si="98"/>
        <v>342.18151800581552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1.7945396125228066</v>
      </c>
      <c r="EC104" s="21">
        <f>EXP(-LN(2)/2)*EC103+(1-EXP(-LN(2)/2))/(LN(2)/2)*DW104*DZ104*VLOOKUP('Données projet'!$B$14,Paramètres!$A$1:$I$89,3,0)*0.475*44/12</f>
        <v>4.883387382140311E-10</v>
      </c>
      <c r="ED104" s="22">
        <f t="shared" si="72"/>
        <v>1.7945396130111453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4.4000000000000004</v>
      </c>
      <c r="N105" s="13">
        <f>IF('Données projet'!$A$36&gt;35,N104+M105-V104,IF(A105&lt;'Données projet'!$A$36,$K$205^A105,IF(A105='Données projet'!$A$36,'Données projet'!$B$36,N104+M105-V104)))</f>
        <v>269.80000000000018</v>
      </c>
      <c r="O105" s="13">
        <f>N105*VLOOKUP('Données projet'!$B$9,Paramètres!$A$1:$I$89,3,0)*VLOOKUP('Données projet'!$B$9,Paramètres!$A$1:$I$89,5,0)</f>
        <v>273.57720000000018</v>
      </c>
      <c r="P105" s="13">
        <f t="shared" si="87"/>
        <v>65.607858889915107</v>
      </c>
      <c r="Q105" s="20">
        <f t="shared" si="107"/>
        <v>590.74731089993577</v>
      </c>
      <c r="R105" s="59">
        <f t="shared" si="55"/>
        <v>868.69924697491865</v>
      </c>
      <c r="S105" s="59">
        <f ca="1">AVERAGE(OFFSET($R$3,0,0,'Données projet'!$E$9+1,1))-AVERAGE(OFFSET($H$3,0,0,'Données projet'!$E$9+1,1))</f>
        <v>465.40148250851843</v>
      </c>
      <c r="T105" s="59">
        <f t="shared" si="88"/>
        <v>290.8428650572356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0.47283735784093084</v>
      </c>
      <c r="AB105" s="21">
        <f>EXP(-LN(2)/2)*AB104+(1-EXP(-LN(2)/2))/(LN(2)/2)*V105*Y105*VLOOKUP('Données projet'!$B$9,Paramètres!$A$1:$I$89,3,0)*0.475*44/12</f>
        <v>1.0093700421161356E-10</v>
      </c>
      <c r="AC105" s="22">
        <f t="shared" si="57"/>
        <v>0.47283735794186782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290.41272000000021</v>
      </c>
      <c r="AK105" s="13">
        <f t="shared" si="89"/>
        <v>69.162817905044847</v>
      </c>
      <c r="AL105" s="20">
        <f t="shared" si="58"/>
        <v>626.26072851795345</v>
      </c>
      <c r="AM105" s="59">
        <f t="shared" si="59"/>
        <v>904.21266459293633</v>
      </c>
      <c r="AN105" s="59">
        <f ca="1">AVERAGE(OFFSET($AM$3,0,0,'Données projet'!$E$10+1,1))-AVERAGE(OFFSET($H$3,0,0,'Données projet'!$E$10+1,1))</f>
        <v>489.34829722967373</v>
      </c>
      <c r="AO105" s="59">
        <f t="shared" si="90"/>
        <v>304.94365539329362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0.50193504140037315</v>
      </c>
      <c r="AW105" s="21">
        <f>EXP(-LN(2)/2)*AW104+(1-EXP(-LN(2)/2))/(LN(2)/2)*AQ105*AT105*VLOOKUP('Données projet'!$B$10,Paramètres!$A$1:$I$89,3,0)*0.475*44/12</f>
        <v>1.0714851216309768E-10</v>
      </c>
      <c r="AX105" s="21">
        <f t="shared" si="60"/>
        <v>0.50193504150752166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5.6843418860808015E-14</v>
      </c>
      <c r="BE105" s="13">
        <f>BD105*VLOOKUP('Données projet'!$B$11,Paramètres!$A$1:$I$89,3,0)*VLOOKUP('Données projet'!$B$11,Paramètres!$A$1:$I$89,5,0)</f>
        <v>4.9658410716801891E-14</v>
      </c>
      <c r="BF105" s="13">
        <f t="shared" si="91"/>
        <v>8.0934058173791862E-13</v>
      </c>
      <c r="BG105" s="20">
        <f t="shared" si="61"/>
        <v>1.4960899118586383E-12</v>
      </c>
      <c r="BH105" s="59">
        <f t="shared" si="62"/>
        <v>277.95193607498442</v>
      </c>
      <c r="BI105" s="59">
        <f ca="1">AVERAGE(OFFSET($BH$3,0,0,'Données projet'!$E$11+1,1))-AVERAGE(OFFSET($H$3,0,0,'Données projet'!$E$11+1,1))</f>
        <v>360.3011551173708</v>
      </c>
      <c r="BJ105" s="59">
        <f t="shared" si="92"/>
        <v>388.50312617855309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1.5338055517434246</v>
      </c>
      <c r="BR105" s="21">
        <f>EXP(-LN(2)/2)*BR104+(1-EXP(-LN(2)/2))/(LN(2)/2)*BL105*BO105*VLOOKUP('Données projet'!$B$11,Paramètres!$A$1:$I$89,3,0)*0.475*44/12</f>
        <v>1.7195435266554067E-10</v>
      </c>
      <c r="BS105" s="22">
        <f t="shared" si="63"/>
        <v>1.533805551915379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-4.5474735088646412E-13</v>
      </c>
      <c r="DP105" s="17">
        <f>DO105*VLOOKUP('Données projet'!$B$14,Paramètres!$A$1:$I$89,3,0)*VLOOKUP('Données projet'!$B$14,Paramètres!$A$1:$I$89,5,0)</f>
        <v>-2.7193891583010558E-13</v>
      </c>
      <c r="DQ105" s="13" t="e">
        <f t="shared" si="97"/>
        <v>#NUM!</v>
      </c>
      <c r="DR105" s="20" t="e">
        <f t="shared" si="70"/>
        <v>#NUM!</v>
      </c>
      <c r="DS105" s="59" t="e">
        <f t="shared" si="71"/>
        <v>#NUM!</v>
      </c>
      <c r="DT105" s="59">
        <f ca="1">AVERAGE(OFFSET($DS$3,0,0,'Données projet'!$E$14+1,1))-AVERAGE(OFFSET($H$3,0,0,'Données projet'!$E$14+1,1))</f>
        <v>350.88566459278962</v>
      </c>
      <c r="DU105" s="59">
        <f t="shared" si="98"/>
        <v>342.18151800581552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1.7454678324476336</v>
      </c>
      <c r="EC105" s="21">
        <f>EXP(-LN(2)/2)*EC104+(1-EXP(-LN(2)/2))/(LN(2)/2)*DW105*DZ105*VLOOKUP('Données projet'!$B$14,Paramètres!$A$1:$I$89,3,0)*0.475*44/12</f>
        <v>3.4530763330722361E-10</v>
      </c>
      <c r="ED105" s="22">
        <f t="shared" si="72"/>
        <v>1.7454678327929412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4.4000000000000004</v>
      </c>
      <c r="N106" s="13">
        <f>IF('Données projet'!$A$36&gt;35,N105+M106-V105,IF(A106&lt;'Données projet'!$A$36,$K$205^A106,IF(A106='Données projet'!$A$36,'Données projet'!$B$36,N105+M106-V105)))</f>
        <v>274.20000000000016</v>
      </c>
      <c r="O106" s="13">
        <f>N106*VLOOKUP('Données projet'!$B$9,Paramètres!$A$1:$I$89,3,0)*VLOOKUP('Données projet'!$B$9,Paramètres!$A$1:$I$89,5,0)</f>
        <v>278.03880000000015</v>
      </c>
      <c r="P106" s="13">
        <f t="shared" si="87"/>
        <v>66.5523815477178</v>
      </c>
      <c r="Q106" s="20">
        <f t="shared" si="107"/>
        <v>600.16297452894207</v>
      </c>
      <c r="R106" s="59">
        <f t="shared" si="55"/>
        <v>878.3817434587047</v>
      </c>
      <c r="S106" s="59">
        <f ca="1">AVERAGE(OFFSET($R$3,0,0,'Données projet'!$E$9+1,1))-AVERAGE(OFFSET($H$3,0,0,'Données projet'!$E$9+1,1))</f>
        <v>465.40148250851843</v>
      </c>
      <c r="T106" s="59">
        <f t="shared" si="88"/>
        <v>290.8428650572356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0.4599075954253346</v>
      </c>
      <c r="AB106" s="21">
        <f>EXP(-LN(2)/2)*AB105+(1-EXP(-LN(2)/2))/(LN(2)/2)*V106*Y106*VLOOKUP('Données projet'!$B$9,Paramètres!$A$1:$I$89,3,0)*0.475*44/12</f>
        <v>7.1373240150687057E-11</v>
      </c>
      <c r="AC106" s="22">
        <f t="shared" si="57"/>
        <v>0.45990759549670784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295.14888000000013</v>
      </c>
      <c r="AK106" s="13">
        <f t="shared" si="89"/>
        <v>70.158519482479406</v>
      </c>
      <c r="AL106" s="20">
        <f t="shared" si="58"/>
        <v>636.24372076531847</v>
      </c>
      <c r="AM106" s="59">
        <f t="shared" si="59"/>
        <v>914.4624896950811</v>
      </c>
      <c r="AN106" s="59">
        <f ca="1">AVERAGE(OFFSET($AM$3,0,0,'Données projet'!$E$10+1,1))-AVERAGE(OFFSET($H$3,0,0,'Données projet'!$E$10+1,1))</f>
        <v>489.34829722967373</v>
      </c>
      <c r="AO106" s="59">
        <f t="shared" si="90"/>
        <v>304.94365539329362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0.48820960129766333</v>
      </c>
      <c r="AW106" s="21">
        <f>EXP(-LN(2)/2)*AW105+(1-EXP(-LN(2)/2))/(LN(2)/2)*AQ106*AT106*VLOOKUP('Données projet'!$B$10,Paramètres!$A$1:$I$89,3,0)*0.475*44/12</f>
        <v>7.5765439544575634E-11</v>
      </c>
      <c r="AX106" s="21">
        <f t="shared" si="60"/>
        <v>0.48820960137342878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5.6843418860808015E-14</v>
      </c>
      <c r="BE106" s="13">
        <f>BD106*VLOOKUP('Données projet'!$B$11,Paramètres!$A$1:$I$89,3,0)*VLOOKUP('Données projet'!$B$11,Paramètres!$A$1:$I$89,5,0)</f>
        <v>4.9658410716801891E-14</v>
      </c>
      <c r="BF106" s="13">
        <f t="shared" si="91"/>
        <v>8.0934058173791862E-13</v>
      </c>
      <c r="BG106" s="20">
        <f t="shared" si="61"/>
        <v>1.4960899118586383E-12</v>
      </c>
      <c r="BH106" s="59">
        <f t="shared" si="62"/>
        <v>278.21876892976417</v>
      </c>
      <c r="BI106" s="59">
        <f ca="1">AVERAGE(OFFSET($BH$3,0,0,'Données projet'!$E$11+1,1))-AVERAGE(OFFSET($H$3,0,0,'Données projet'!$E$11+1,1))</f>
        <v>360.3011551173708</v>
      </c>
      <c r="BJ106" s="59">
        <f t="shared" si="92"/>
        <v>388.50312617855309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1.4918635582716722</v>
      </c>
      <c r="BR106" s="21">
        <f>EXP(-LN(2)/2)*BR105+(1-EXP(-LN(2)/2))/(LN(2)/2)*BL106*BO106*VLOOKUP('Données projet'!$B$11,Paramètres!$A$1:$I$89,3,0)*0.475*44/12</f>
        <v>1.2159008882434689E-10</v>
      </c>
      <c r="BS106" s="22">
        <f t="shared" si="63"/>
        <v>1.4918635583932622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-4.5474735088646412E-13</v>
      </c>
      <c r="DP106" s="17">
        <f>DO106*VLOOKUP('Données projet'!$B$14,Paramètres!$A$1:$I$89,3,0)*VLOOKUP('Données projet'!$B$14,Paramètres!$A$1:$I$89,5,0)</f>
        <v>-2.7193891583010558E-13</v>
      </c>
      <c r="DQ106" s="13" t="e">
        <f t="shared" si="97"/>
        <v>#NUM!</v>
      </c>
      <c r="DR106" s="20" t="e">
        <f t="shared" si="70"/>
        <v>#NUM!</v>
      </c>
      <c r="DS106" s="59" t="e">
        <f t="shared" si="71"/>
        <v>#NUM!</v>
      </c>
      <c r="DT106" s="59">
        <f ca="1">AVERAGE(OFFSET($DS$3,0,0,'Données projet'!$E$14+1,1))-AVERAGE(OFFSET($H$3,0,0,'Données projet'!$E$14+1,1))</f>
        <v>350.88566459278962</v>
      </c>
      <c r="DU106" s="59">
        <f t="shared" si="98"/>
        <v>342.18151800581552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1.6977379227791891</v>
      </c>
      <c r="EC106" s="21">
        <f>EXP(-LN(2)/2)*EC105+(1-EXP(-LN(2)/2))/(LN(2)/2)*DW106*DZ106*VLOOKUP('Données projet'!$B$14,Paramètres!$A$1:$I$89,3,0)*0.475*44/12</f>
        <v>2.4416936910701555E-10</v>
      </c>
      <c r="ED106" s="22">
        <f t="shared" si="72"/>
        <v>1.6977379230233585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4.4000000000000004</v>
      </c>
      <c r="N107" s="13">
        <f>IF('Données projet'!$A$36&gt;35,N106+M107-V106,IF(A107&lt;'Données projet'!$A$36,$K$205^A107,IF(A107='Données projet'!$A$36,'Données projet'!$B$36,N106+M107-V106)))</f>
        <v>278.60000000000014</v>
      </c>
      <c r="O107" s="13">
        <f>N107*VLOOKUP('Données projet'!$B$9,Paramètres!$A$1:$I$89,3,0)*VLOOKUP('Données projet'!$B$9,Paramètres!$A$1:$I$89,5,0)</f>
        <v>282.50040000000013</v>
      </c>
      <c r="P107" s="13">
        <f t="shared" si="87"/>
        <v>67.495141560894439</v>
      </c>
      <c r="Q107" s="20">
        <f t="shared" si="107"/>
        <v>609.57556821855803</v>
      </c>
      <c r="R107" s="59">
        <f t="shared" si="55"/>
        <v>888.056541049619</v>
      </c>
      <c r="S107" s="59">
        <f ca="1">AVERAGE(OFFSET($R$3,0,0,'Données projet'!$E$9+1,1))-AVERAGE(OFFSET($H$3,0,0,'Données projet'!$E$9+1,1))</f>
        <v>465.40148250851843</v>
      </c>
      <c r="T107" s="59">
        <f t="shared" si="88"/>
        <v>290.8428650572356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0.44733139804293953</v>
      </c>
      <c r="AB107" s="21">
        <f>EXP(-LN(2)/2)*AB106+(1-EXP(-LN(2)/2))/(LN(2)/2)*V107*Y107*VLOOKUP('Données projet'!$B$9,Paramètres!$A$1:$I$89,3,0)*0.475*44/12</f>
        <v>5.0468502105806781E-11</v>
      </c>
      <c r="AC107" s="22">
        <f t="shared" si="57"/>
        <v>0.44733139809340805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299.88504000000012</v>
      </c>
      <c r="AK107" s="13">
        <f t="shared" si="89"/>
        <v>71.152362906464646</v>
      </c>
      <c r="AL107" s="20">
        <f t="shared" si="58"/>
        <v>646.22347672875947</v>
      </c>
      <c r="AM107" s="59">
        <f t="shared" si="59"/>
        <v>924.70444955982043</v>
      </c>
      <c r="AN107" s="59">
        <f ca="1">AVERAGE(OFFSET($AM$3,0,0,'Données projet'!$E$10+1,1))-AVERAGE(OFFSET($H$3,0,0,'Données projet'!$E$10+1,1))</f>
        <v>489.34829722967373</v>
      </c>
      <c r="AO107" s="59">
        <f t="shared" si="90"/>
        <v>304.94365539329362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0.47485948407635159</v>
      </c>
      <c r="AW107" s="21">
        <f>EXP(-LN(2)/2)*AW106+(1-EXP(-LN(2)/2))/(LN(2)/2)*AQ107*AT107*VLOOKUP('Données projet'!$B$10,Paramètres!$A$1:$I$89,3,0)*0.475*44/12</f>
        <v>5.3574256081548838E-11</v>
      </c>
      <c r="AX107" s="21">
        <f t="shared" si="60"/>
        <v>0.47485948412992585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5.6843418860808015E-14</v>
      </c>
      <c r="BE107" s="13">
        <f>BD107*VLOOKUP('Données projet'!$B$11,Paramètres!$A$1:$I$89,3,0)*VLOOKUP('Données projet'!$B$11,Paramètres!$A$1:$I$89,5,0)</f>
        <v>4.9658410716801891E-14</v>
      </c>
      <c r="BF107" s="13">
        <f t="shared" si="91"/>
        <v>8.0934058173791862E-13</v>
      </c>
      <c r="BG107" s="20">
        <f t="shared" si="61"/>
        <v>1.4960899118586383E-12</v>
      </c>
      <c r="BH107" s="59">
        <f t="shared" si="62"/>
        <v>278.48097283106239</v>
      </c>
      <c r="BI107" s="59">
        <f ca="1">AVERAGE(OFFSET($BH$3,0,0,'Données projet'!$E$11+1,1))-AVERAGE(OFFSET($H$3,0,0,'Données projet'!$E$11+1,1))</f>
        <v>360.3011551173708</v>
      </c>
      <c r="BJ107" s="59">
        <f t="shared" si="92"/>
        <v>388.50312617855309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1.4510684708170385</v>
      </c>
      <c r="BR107" s="21">
        <f>EXP(-LN(2)/2)*BR106+(1-EXP(-LN(2)/2))/(LN(2)/2)*BL107*BO107*VLOOKUP('Données projet'!$B$11,Paramètres!$A$1:$I$89,3,0)*0.475*44/12</f>
        <v>8.5977176332770335E-11</v>
      </c>
      <c r="BS107" s="22">
        <f t="shared" si="63"/>
        <v>1.4510684709030157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-4.5474735088646412E-13</v>
      </c>
      <c r="DP107" s="17">
        <f>DO107*VLOOKUP('Données projet'!$B$14,Paramètres!$A$1:$I$89,3,0)*VLOOKUP('Données projet'!$B$14,Paramètres!$A$1:$I$89,5,0)</f>
        <v>-2.7193891583010558E-13</v>
      </c>
      <c r="DQ107" s="13" t="e">
        <f t="shared" si="97"/>
        <v>#NUM!</v>
      </c>
      <c r="DR107" s="20" t="e">
        <f t="shared" si="70"/>
        <v>#NUM!</v>
      </c>
      <c r="DS107" s="59" t="e">
        <f t="shared" si="71"/>
        <v>#NUM!</v>
      </c>
      <c r="DT107" s="59">
        <f ca="1">AVERAGE(OFFSET($DS$3,0,0,'Données projet'!$E$14+1,1))-AVERAGE(OFFSET($H$3,0,0,'Données projet'!$E$14+1,1))</f>
        <v>350.88566459278962</v>
      </c>
      <c r="DU107" s="59">
        <f t="shared" si="98"/>
        <v>342.18151800581552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1.651313190000635</v>
      </c>
      <c r="EC107" s="21">
        <f>EXP(-LN(2)/2)*EC106+(1-EXP(-LN(2)/2))/(LN(2)/2)*DW107*DZ107*VLOOKUP('Données projet'!$B$14,Paramètres!$A$1:$I$89,3,0)*0.475*44/12</f>
        <v>1.726538166536118E-10</v>
      </c>
      <c r="ED107" s="22">
        <f t="shared" si="72"/>
        <v>1.6513131901732889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4.4000000000000004</v>
      </c>
      <c r="N108" s="13">
        <f>IF('Données projet'!$A$36&gt;35,N107+M108-V107,IF(A108&lt;'Données projet'!$A$36,$K$205^A108,IF(A108='Données projet'!$A$36,'Données projet'!$B$36,N107+M108-V107)))</f>
        <v>283.00000000000011</v>
      </c>
      <c r="O108" s="13">
        <f>N108*VLOOKUP('Données projet'!$B$9,Paramètres!$A$1:$I$89,3,0)*VLOOKUP('Données projet'!$B$9,Paramètres!$A$1:$I$89,5,0)</f>
        <v>286.9620000000001</v>
      </c>
      <c r="P108" s="13">
        <f t="shared" si="87"/>
        <v>68.436169981717924</v>
      </c>
      <c r="Q108" s="20">
        <f t="shared" si="107"/>
        <v>618.98514605149205</v>
      </c>
      <c r="R108" s="59">
        <f t="shared" si="55"/>
        <v>897.72377413236381</v>
      </c>
      <c r="S108" s="59">
        <f ca="1">AVERAGE(OFFSET($R$3,0,0,'Données projet'!$E$9+1,1))-AVERAGE(OFFSET($H$3,0,0,'Données projet'!$E$9+1,1))</f>
        <v>465.40148250851843</v>
      </c>
      <c r="T108" s="59">
        <f t="shared" si="88"/>
        <v>290.8428650572356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0.43509909743931952</v>
      </c>
      <c r="AB108" s="21">
        <f>EXP(-LN(2)/2)*AB107+(1-EXP(-LN(2)/2))/(LN(2)/2)*V108*Y108*VLOOKUP('Données projet'!$B$9,Paramètres!$A$1:$I$89,3,0)*0.475*44/12</f>
        <v>3.5686620075343528E-11</v>
      </c>
      <c r="AC108" s="22">
        <f t="shared" si="57"/>
        <v>0.43509909747500614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304.6212000000001</v>
      </c>
      <c r="AK108" s="13">
        <f t="shared" si="89"/>
        <v>72.144380911839463</v>
      </c>
      <c r="AL108" s="20">
        <f t="shared" si="58"/>
        <v>656.20005342145384</v>
      </c>
      <c r="AM108" s="59">
        <f t="shared" si="59"/>
        <v>934.93868150232561</v>
      </c>
      <c r="AN108" s="59">
        <f ca="1">AVERAGE(OFFSET($AM$3,0,0,'Données projet'!$E$10+1,1))-AVERAGE(OFFSET($H$3,0,0,'Données projet'!$E$10+1,1))</f>
        <v>489.34829722967373</v>
      </c>
      <c r="AO108" s="59">
        <f t="shared" si="90"/>
        <v>304.94365539329362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0.46187442651250882</v>
      </c>
      <c r="AW108" s="21">
        <f>EXP(-LN(2)/2)*AW107+(1-EXP(-LN(2)/2))/(LN(2)/2)*AQ108*AT108*VLOOKUP('Données projet'!$B$10,Paramètres!$A$1:$I$89,3,0)*0.475*44/12</f>
        <v>3.7882719772287817E-11</v>
      </c>
      <c r="AX108" s="21">
        <f t="shared" si="60"/>
        <v>0.46187442655039151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5.6843418860808015E-14</v>
      </c>
      <c r="BE108" s="13">
        <f>BD108*VLOOKUP('Données projet'!$B$11,Paramètres!$A$1:$I$89,3,0)*VLOOKUP('Données projet'!$B$11,Paramètres!$A$1:$I$89,5,0)</f>
        <v>4.9658410716801891E-14</v>
      </c>
      <c r="BF108" s="13">
        <f t="shared" si="91"/>
        <v>8.0934058173791862E-13</v>
      </c>
      <c r="BG108" s="20">
        <f t="shared" si="61"/>
        <v>1.4960899118586383E-12</v>
      </c>
      <c r="BH108" s="59">
        <f t="shared" si="62"/>
        <v>278.73862808087324</v>
      </c>
      <c r="BI108" s="59">
        <f ca="1">AVERAGE(OFFSET($BH$3,0,0,'Données projet'!$E$11+1,1))-AVERAGE(OFFSET($H$3,0,0,'Données projet'!$E$11+1,1))</f>
        <v>360.3011551173708</v>
      </c>
      <c r="BJ108" s="59">
        <f t="shared" si="92"/>
        <v>388.50312617855309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1.4113889271741722</v>
      </c>
      <c r="BR108" s="21">
        <f>EXP(-LN(2)/2)*BR107+(1-EXP(-LN(2)/2))/(LN(2)/2)*BL108*BO108*VLOOKUP('Données projet'!$B$11,Paramètres!$A$1:$I$89,3,0)*0.475*44/12</f>
        <v>6.0795044412173444E-11</v>
      </c>
      <c r="BS108" s="22">
        <f t="shared" si="63"/>
        <v>1.4113889272349673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-4.5474735088646412E-13</v>
      </c>
      <c r="DP108" s="17">
        <f>DO108*VLOOKUP('Données projet'!$B$14,Paramètres!$A$1:$I$89,3,0)*VLOOKUP('Données projet'!$B$14,Paramètres!$A$1:$I$89,5,0)</f>
        <v>-2.7193891583010558E-13</v>
      </c>
      <c r="DQ108" s="13" t="e">
        <f t="shared" si="97"/>
        <v>#NUM!</v>
      </c>
      <c r="DR108" s="20" t="e">
        <f t="shared" si="70"/>
        <v>#NUM!</v>
      </c>
      <c r="DS108" s="59" t="e">
        <f t="shared" si="71"/>
        <v>#NUM!</v>
      </c>
      <c r="DT108" s="59">
        <f ca="1">AVERAGE(OFFSET($DS$3,0,0,'Données projet'!$E$14+1,1))-AVERAGE(OFFSET($H$3,0,0,'Données projet'!$E$14+1,1))</f>
        <v>350.88566459278962</v>
      </c>
      <c r="DU108" s="59">
        <f t="shared" si="98"/>
        <v>342.18151800581552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1.6061579439812812</v>
      </c>
      <c r="EC108" s="21">
        <f>EXP(-LN(2)/2)*EC107+(1-EXP(-LN(2)/2))/(LN(2)/2)*DW108*DZ108*VLOOKUP('Données projet'!$B$14,Paramètres!$A$1:$I$89,3,0)*0.475*44/12</f>
        <v>1.2208468455350777E-10</v>
      </c>
      <c r="ED108" s="22">
        <f t="shared" si="72"/>
        <v>1.606157944103366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4.4000000000000004</v>
      </c>
      <c r="N109" s="13">
        <f>IF('Données projet'!$A$36&gt;35,N108+M109-V108,IF(A109&lt;'Données projet'!$A$36,$K$205^A109,IF(A109='Données projet'!$A$36,'Données projet'!$B$36,N108+M109-V108)))</f>
        <v>287.40000000000009</v>
      </c>
      <c r="O109" s="13">
        <f>N109*VLOOKUP('Données projet'!$B$9,Paramètres!$A$1:$I$89,3,0)*VLOOKUP('Données projet'!$B$9,Paramètres!$A$1:$I$89,5,0)</f>
        <v>291.42360000000008</v>
      </c>
      <c r="P109" s="13">
        <f t="shared" si="87"/>
        <v>69.375496841482232</v>
      </c>
      <c r="Q109" s="20">
        <f t="shared" si="107"/>
        <v>628.3917603322484</v>
      </c>
      <c r="R109" s="59">
        <f t="shared" si="55"/>
        <v>907.38357392037756</v>
      </c>
      <c r="S109" s="59">
        <f ca="1">AVERAGE(OFFSET($R$3,0,0,'Données projet'!$E$9+1,1))-AVERAGE(OFFSET($H$3,0,0,'Données projet'!$E$9+1,1))</f>
        <v>465.40148250851843</v>
      </c>
      <c r="T109" s="59">
        <f t="shared" si="88"/>
        <v>290.8428650572356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0.4232012897389742</v>
      </c>
      <c r="AB109" s="21">
        <f>EXP(-LN(2)/2)*AB108+(1-EXP(-LN(2)/2))/(LN(2)/2)*V109*Y109*VLOOKUP('Données projet'!$B$9,Paramètres!$A$1:$I$89,3,0)*0.475*44/12</f>
        <v>2.5234251052903391E-11</v>
      </c>
      <c r="AC109" s="22">
        <f t="shared" si="57"/>
        <v>0.42320128976420845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309.35736000000009</v>
      </c>
      <c r="AK109" s="13">
        <f t="shared" si="89"/>
        <v>73.134605157142232</v>
      </c>
      <c r="AL109" s="20">
        <f t="shared" si="58"/>
        <v>666.17350598202279</v>
      </c>
      <c r="AM109" s="59">
        <f t="shared" si="59"/>
        <v>945.16531957015195</v>
      </c>
      <c r="AN109" s="59">
        <f ca="1">AVERAGE(OFFSET($AM$3,0,0,'Données projet'!$E$10+1,1))-AVERAGE(OFFSET($H$3,0,0,'Données projet'!$E$10+1,1))</f>
        <v>489.34829722967373</v>
      </c>
      <c r="AO109" s="59">
        <f t="shared" si="90"/>
        <v>304.94365539329362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0.44924444603060382</v>
      </c>
      <c r="AW109" s="21">
        <f>EXP(-LN(2)/2)*AW108+(1-EXP(-LN(2)/2))/(LN(2)/2)*AQ109*AT109*VLOOKUP('Données projet'!$B$10,Paramètres!$A$1:$I$89,3,0)*0.475*44/12</f>
        <v>2.6787128040774419E-11</v>
      </c>
      <c r="AX109" s="21">
        <f t="shared" si="60"/>
        <v>0.44924444605739094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5.6843418860808015E-14</v>
      </c>
      <c r="BE109" s="13">
        <f>BD109*VLOOKUP('Données projet'!$B$11,Paramètres!$A$1:$I$89,3,0)*VLOOKUP('Données projet'!$B$11,Paramètres!$A$1:$I$89,5,0)</f>
        <v>4.9658410716801891E-14</v>
      </c>
      <c r="BF109" s="13">
        <f t="shared" si="91"/>
        <v>8.0934058173791862E-13</v>
      </c>
      <c r="BG109" s="20">
        <f t="shared" si="61"/>
        <v>1.4960899118586383E-12</v>
      </c>
      <c r="BH109" s="59">
        <f t="shared" si="62"/>
        <v>278.99181358813058</v>
      </c>
      <c r="BI109" s="59">
        <f ca="1">AVERAGE(OFFSET($BH$3,0,0,'Données projet'!$E$11+1,1))-AVERAGE(OFFSET($H$3,0,0,'Données projet'!$E$11+1,1))</f>
        <v>360.3011551173708</v>
      </c>
      <c r="BJ109" s="59">
        <f t="shared" si="92"/>
        <v>388.50312617855309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1.3727944227388766</v>
      </c>
      <c r="BR109" s="21">
        <f>EXP(-LN(2)/2)*BR108+(1-EXP(-LN(2)/2))/(LN(2)/2)*BL109*BO109*VLOOKUP('Données projet'!$B$11,Paramètres!$A$1:$I$89,3,0)*0.475*44/12</f>
        <v>4.2988588166385168E-11</v>
      </c>
      <c r="BS109" s="22">
        <f t="shared" si="63"/>
        <v>1.3727944227818651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-4.5474735088646412E-13</v>
      </c>
      <c r="DP109" s="17">
        <f>DO109*VLOOKUP('Données projet'!$B$14,Paramètres!$A$1:$I$89,3,0)*VLOOKUP('Données projet'!$B$14,Paramètres!$A$1:$I$89,5,0)</f>
        <v>-2.7193891583010558E-13</v>
      </c>
      <c r="DQ109" s="13" t="e">
        <f t="shared" si="97"/>
        <v>#NUM!</v>
      </c>
      <c r="DR109" s="20" t="e">
        <f t="shared" si="70"/>
        <v>#NUM!</v>
      </c>
      <c r="DS109" s="59" t="e">
        <f t="shared" si="71"/>
        <v>#NUM!</v>
      </c>
      <c r="DT109" s="59">
        <f ca="1">AVERAGE(OFFSET($DS$3,0,0,'Données projet'!$E$14+1,1))-AVERAGE(OFFSET($H$3,0,0,'Données projet'!$E$14+1,1))</f>
        <v>350.88566459278962</v>
      </c>
      <c r="DU109" s="59">
        <f t="shared" si="98"/>
        <v>342.18151800581552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1.5622374705389377</v>
      </c>
      <c r="EC109" s="21">
        <f>EXP(-LN(2)/2)*EC108+(1-EXP(-LN(2)/2))/(LN(2)/2)*DW109*DZ109*VLOOKUP('Données projet'!$B$14,Paramètres!$A$1:$I$89,3,0)*0.475*44/12</f>
        <v>8.6326908326805902E-11</v>
      </c>
      <c r="ED109" s="22">
        <f t="shared" si="72"/>
        <v>1.5622374706252646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4.4000000000000004</v>
      </c>
      <c r="N110" s="13">
        <f>IF('Données projet'!$A$36&gt;35,N109+M110-V109,IF(A110&lt;'Données projet'!$A$36,$K$205^A110,IF(A110='Données projet'!$A$36,'Données projet'!$B$36,N109+M110-V109)))</f>
        <v>291.80000000000007</v>
      </c>
      <c r="O110" s="13">
        <f>N110*VLOOKUP('Données projet'!$B$9,Paramètres!$A$1:$I$89,3,0)*VLOOKUP('Données projet'!$B$9,Paramètres!$A$1:$I$89,5,0)</f>
        <v>295.88520000000005</v>
      </c>
      <c r="P110" s="13">
        <f t="shared" si="87"/>
        <v>70.313151199178748</v>
      </c>
      <c r="Q110" s="20">
        <f t="shared" si="107"/>
        <v>637.79546167190301</v>
      </c>
      <c r="R110" s="59">
        <f t="shared" si="55"/>
        <v>917.03606856477666</v>
      </c>
      <c r="S110" s="59">
        <f ca="1">AVERAGE(OFFSET($R$3,0,0,'Données projet'!$E$9+1,1))-AVERAGE(OFFSET($H$3,0,0,'Données projet'!$E$9+1,1))</f>
        <v>465.40148250851843</v>
      </c>
      <c r="T110" s="59">
        <f t="shared" si="88"/>
        <v>290.8428650572356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0.41162882821587338</v>
      </c>
      <c r="AB110" s="21">
        <f>EXP(-LN(2)/2)*AB109+(1-EXP(-LN(2)/2))/(LN(2)/2)*V110*Y110*VLOOKUP('Données projet'!$B$9,Paramètres!$A$1:$I$89,3,0)*0.475*44/12</f>
        <v>1.7843310037671764E-11</v>
      </c>
      <c r="AC110" s="22">
        <f t="shared" si="57"/>
        <v>0.41162882823371666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314.09352000000007</v>
      </c>
      <c r="AK110" s="13">
        <f t="shared" si="89"/>
        <v>74.123066275924515</v>
      </c>
      <c r="AL110" s="20">
        <f t="shared" si="58"/>
        <v>676.14388776390194</v>
      </c>
      <c r="AM110" s="59">
        <f t="shared" si="59"/>
        <v>955.38449465677559</v>
      </c>
      <c r="AN110" s="59">
        <f ca="1">AVERAGE(OFFSET($AM$3,0,0,'Données projet'!$E$10+1,1))-AVERAGE(OFFSET($H$3,0,0,'Données projet'!$E$10+1,1))</f>
        <v>489.34829722967373</v>
      </c>
      <c r="AO110" s="59">
        <f t="shared" si="90"/>
        <v>304.94365539329362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0.43695983302915831</v>
      </c>
      <c r="AW110" s="21">
        <f>EXP(-LN(2)/2)*AW109+(1-EXP(-LN(2)/2))/(LN(2)/2)*AQ110*AT110*VLOOKUP('Données projet'!$B$10,Paramètres!$A$1:$I$89,3,0)*0.475*44/12</f>
        <v>1.8941359886143908E-11</v>
      </c>
      <c r="AX110" s="21">
        <f t="shared" si="60"/>
        <v>0.43695983304809966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5.6843418860808015E-14</v>
      </c>
      <c r="BE110" s="13">
        <f>BD110*VLOOKUP('Données projet'!$B$11,Paramètres!$A$1:$I$89,3,0)*VLOOKUP('Données projet'!$B$11,Paramètres!$A$1:$I$89,5,0)</f>
        <v>4.9658410716801891E-14</v>
      </c>
      <c r="BF110" s="13">
        <f t="shared" si="91"/>
        <v>8.0934058173791862E-13</v>
      </c>
      <c r="BG110" s="20">
        <f t="shared" si="61"/>
        <v>1.4960899118586383E-12</v>
      </c>
      <c r="BH110" s="59">
        <f t="shared" si="62"/>
        <v>279.24060689287512</v>
      </c>
      <c r="BI110" s="59">
        <f ca="1">AVERAGE(OFFSET($BH$3,0,0,'Données projet'!$E$11+1,1))-AVERAGE(OFFSET($H$3,0,0,'Données projet'!$E$11+1,1))</f>
        <v>360.3011551173708</v>
      </c>
      <c r="BJ110" s="59">
        <f t="shared" si="92"/>
        <v>388.50312617855309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1.3352552870569609</v>
      </c>
      <c r="BR110" s="21">
        <f>EXP(-LN(2)/2)*BR109+(1-EXP(-LN(2)/2))/(LN(2)/2)*BL110*BO110*VLOOKUP('Données projet'!$B$11,Paramètres!$A$1:$I$89,3,0)*0.475*44/12</f>
        <v>3.0397522206086722E-11</v>
      </c>
      <c r="BS110" s="22">
        <f t="shared" si="63"/>
        <v>1.3352552870873584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-4.5474735088646412E-13</v>
      </c>
      <c r="DP110" s="17">
        <f>DO110*VLOOKUP('Données projet'!$B$14,Paramètres!$A$1:$I$89,3,0)*VLOOKUP('Données projet'!$B$14,Paramètres!$A$1:$I$89,5,0)</f>
        <v>-2.7193891583010558E-13</v>
      </c>
      <c r="DQ110" s="13" t="e">
        <f t="shared" si="97"/>
        <v>#NUM!</v>
      </c>
      <c r="DR110" s="20" t="e">
        <f t="shared" si="70"/>
        <v>#NUM!</v>
      </c>
      <c r="DS110" s="59" t="e">
        <f t="shared" si="71"/>
        <v>#NUM!</v>
      </c>
      <c r="DT110" s="59">
        <f ca="1">AVERAGE(OFFSET($DS$3,0,0,'Données projet'!$E$14+1,1))-AVERAGE(OFFSET($H$3,0,0,'Données projet'!$E$14+1,1))</f>
        <v>350.88566459278962</v>
      </c>
      <c r="DU110" s="59">
        <f t="shared" si="98"/>
        <v>342.18151800581552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1.5195180047525525</v>
      </c>
      <c r="EC110" s="21">
        <f>EXP(-LN(2)/2)*EC109+(1-EXP(-LN(2)/2))/(LN(2)/2)*DW110*DZ110*VLOOKUP('Données projet'!$B$14,Paramètres!$A$1:$I$89,3,0)*0.475*44/12</f>
        <v>6.1042342276753887E-11</v>
      </c>
      <c r="ED110" s="22">
        <f t="shared" si="72"/>
        <v>1.5195180048135948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4.4000000000000004</v>
      </c>
      <c r="N111" s="13">
        <f>IF('Données projet'!$A$36&gt;35,N110+M111-V110,IF(A111&lt;'Données projet'!$A$36,$K$205^A111,IF(A111='Données projet'!$A$36,'Données projet'!$B$36,N110+M111-V110)))</f>
        <v>296.20000000000005</v>
      </c>
      <c r="O111" s="13">
        <f>N111*VLOOKUP('Données projet'!$B$9,Paramètres!$A$1:$I$89,3,0)*VLOOKUP('Données projet'!$B$9,Paramètres!$A$1:$I$89,5,0)</f>
        <v>300.34680000000003</v>
      </c>
      <c r="P111" s="13">
        <f t="shared" si="87"/>
        <v>71.249161187153362</v>
      </c>
      <c r="Q111" s="20">
        <f t="shared" si="107"/>
        <v>647.19629906762555</v>
      </c>
      <c r="R111" s="59">
        <f t="shared" si="55"/>
        <v>926.68138325762493</v>
      </c>
      <c r="S111" s="59">
        <f ca="1">AVERAGE(OFFSET($R$3,0,0,'Données projet'!$E$9+1,1))-AVERAGE(OFFSET($H$3,0,0,'Données projet'!$E$9+1,1))</f>
        <v>465.40148250851843</v>
      </c>
      <c r="T111" s="59">
        <f t="shared" si="88"/>
        <v>290.8428650572356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0.40037281626169102</v>
      </c>
      <c r="AB111" s="21">
        <f>EXP(-LN(2)/2)*AB110+(1-EXP(-LN(2)/2))/(LN(2)/2)*V111*Y111*VLOOKUP('Données projet'!$B$9,Paramètres!$A$1:$I$89,3,0)*0.475*44/12</f>
        <v>1.2617125526451695E-11</v>
      </c>
      <c r="AC111" s="22">
        <f t="shared" si="57"/>
        <v>0.40037281627430815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318.82968000000005</v>
      </c>
      <c r="AK111" s="13">
        <f t="shared" si="89"/>
        <v>75.109793924882169</v>
      </c>
      <c r="AL111" s="20">
        <f t="shared" si="58"/>
        <v>686.11125041916978</v>
      </c>
      <c r="AM111" s="59">
        <f t="shared" si="59"/>
        <v>965.59633460916916</v>
      </c>
      <c r="AN111" s="59">
        <f ca="1">AVERAGE(OFFSET($AM$3,0,0,'Données projet'!$E$10+1,1))-AVERAGE(OFFSET($H$3,0,0,'Données projet'!$E$10+1,1))</f>
        <v>489.34829722967373</v>
      </c>
      <c r="AO111" s="59">
        <f t="shared" si="90"/>
        <v>304.94365539329362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0.42501114341625706</v>
      </c>
      <c r="AW111" s="21">
        <f>EXP(-LN(2)/2)*AW110+(1-EXP(-LN(2)/2))/(LN(2)/2)*AQ111*AT111*VLOOKUP('Données projet'!$B$10,Paramètres!$A$1:$I$89,3,0)*0.475*44/12</f>
        <v>1.339356402038721E-11</v>
      </c>
      <c r="AX111" s="21">
        <f t="shared" si="60"/>
        <v>0.42501114342965063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5.6843418860808015E-14</v>
      </c>
      <c r="BE111" s="13">
        <f>BD111*VLOOKUP('Données projet'!$B$11,Paramètres!$A$1:$I$89,3,0)*VLOOKUP('Données projet'!$B$11,Paramètres!$A$1:$I$89,5,0)</f>
        <v>4.9658410716801891E-14</v>
      </c>
      <c r="BF111" s="13">
        <f t="shared" si="91"/>
        <v>8.0934058173791862E-13</v>
      </c>
      <c r="BG111" s="20">
        <f t="shared" si="61"/>
        <v>1.4960899118586383E-12</v>
      </c>
      <c r="BH111" s="59">
        <f t="shared" si="62"/>
        <v>279.4850841900008</v>
      </c>
      <c r="BI111" s="59">
        <f ca="1">AVERAGE(OFFSET($BH$3,0,0,'Données projet'!$E$11+1,1))-AVERAGE(OFFSET($H$3,0,0,'Données projet'!$E$11+1,1))</f>
        <v>360.3011551173708</v>
      </c>
      <c r="BJ111" s="59">
        <f t="shared" si="92"/>
        <v>388.50312617855309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1.2987426610143646</v>
      </c>
      <c r="BR111" s="21">
        <f>EXP(-LN(2)/2)*BR110+(1-EXP(-LN(2)/2))/(LN(2)/2)*BL111*BO111*VLOOKUP('Données projet'!$B$11,Paramètres!$A$1:$I$89,3,0)*0.475*44/12</f>
        <v>2.1494294083192584E-11</v>
      </c>
      <c r="BS111" s="22">
        <f t="shared" si="63"/>
        <v>1.298742661035859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-4.5474735088646412E-13</v>
      </c>
      <c r="DP111" s="17">
        <f>DO111*VLOOKUP('Données projet'!$B$14,Paramètres!$A$1:$I$89,3,0)*VLOOKUP('Données projet'!$B$14,Paramètres!$A$1:$I$89,5,0)</f>
        <v>-2.7193891583010558E-13</v>
      </c>
      <c r="DQ111" s="13" t="e">
        <f t="shared" si="97"/>
        <v>#NUM!</v>
      </c>
      <c r="DR111" s="20" t="e">
        <f t="shared" si="70"/>
        <v>#NUM!</v>
      </c>
      <c r="DS111" s="59" t="e">
        <f t="shared" si="71"/>
        <v>#NUM!</v>
      </c>
      <c r="DT111" s="59">
        <f ca="1">AVERAGE(OFFSET($DS$3,0,0,'Données projet'!$E$14+1,1))-AVERAGE(OFFSET($H$3,0,0,'Données projet'!$E$14+1,1))</f>
        <v>350.88566459278962</v>
      </c>
      <c r="DU111" s="59">
        <f t="shared" si="98"/>
        <v>342.18151800581552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1.477966705004615</v>
      </c>
      <c r="EC111" s="21">
        <f>EXP(-LN(2)/2)*EC110+(1-EXP(-LN(2)/2))/(LN(2)/2)*DW111*DZ111*VLOOKUP('Données projet'!$B$14,Paramètres!$A$1:$I$89,3,0)*0.475*44/12</f>
        <v>4.3163454163402951E-11</v>
      </c>
      <c r="ED111" s="22">
        <f t="shared" si="72"/>
        <v>1.4779667050477785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4.4000000000000004</v>
      </c>
      <c r="N112" s="13">
        <f>IF('Données projet'!$A$36&gt;35,N111+M112-V111,IF(A112&lt;'Données projet'!$A$36,$K$205^A112,IF(A112='Données projet'!$A$36,'Données projet'!$B$36,N111+M112-V111)))</f>
        <v>300.60000000000002</v>
      </c>
      <c r="O112" s="13">
        <f>N112*VLOOKUP('Données projet'!$B$9,Paramètres!$A$1:$I$89,3,0)*VLOOKUP('Données projet'!$B$9,Paramètres!$A$1:$I$89,5,0)</f>
        <v>304.80840000000001</v>
      </c>
      <c r="P112" s="13">
        <f t="shared" si="87"/>
        <v>72.183554053972784</v>
      </c>
      <c r="Q112" s="20">
        <f t="shared" si="107"/>
        <v>656.59431997733589</v>
      </c>
      <c r="R112" s="59">
        <f t="shared" si="55"/>
        <v>936.31964032992516</v>
      </c>
      <c r="S112" s="59">
        <f ca="1">AVERAGE(OFFSET($R$3,0,0,'Données projet'!$E$9+1,1))-AVERAGE(OFFSET($H$3,0,0,'Données projet'!$E$9+1,1))</f>
        <v>465.40148250851843</v>
      </c>
      <c r="T112" s="59">
        <f t="shared" si="88"/>
        <v>290.8428650572356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0.38942460054632372</v>
      </c>
      <c r="AB112" s="21">
        <f>EXP(-LN(2)/2)*AB111+(1-EXP(-LN(2)/2))/(LN(2)/2)*V112*Y112*VLOOKUP('Données projet'!$B$9,Paramètres!$A$1:$I$89,3,0)*0.475*44/12</f>
        <v>8.9216550188358821E-12</v>
      </c>
      <c r="AC112" s="22">
        <f t="shared" si="57"/>
        <v>0.38942460055524536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323.56583999999998</v>
      </c>
      <c r="AK112" s="13">
        <f t="shared" si="89"/>
        <v>76.09481682904439</v>
      </c>
      <c r="AL112" s="20">
        <f t="shared" si="58"/>
        <v>696.07564397725218</v>
      </c>
      <c r="AM112" s="59">
        <f t="shared" si="59"/>
        <v>975.80096432984146</v>
      </c>
      <c r="AN112" s="59">
        <f ca="1">AVERAGE(OFFSET($AM$3,0,0,'Données projet'!$E$10+1,1))-AVERAGE(OFFSET($H$3,0,0,'Données projet'!$E$10+1,1))</f>
        <v>489.34829722967373</v>
      </c>
      <c r="AO112" s="59">
        <f t="shared" si="90"/>
        <v>304.94365539329362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0.41338919134917484</v>
      </c>
      <c r="AW112" s="21">
        <f>EXP(-LN(2)/2)*AW111+(1-EXP(-LN(2)/2))/(LN(2)/2)*AQ112*AT112*VLOOKUP('Données projet'!$B$10,Paramètres!$A$1:$I$89,3,0)*0.475*44/12</f>
        <v>9.4706799430719542E-12</v>
      </c>
      <c r="AX112" s="21">
        <f t="shared" si="60"/>
        <v>0.41338919135864555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5.6843418860808015E-14</v>
      </c>
      <c r="BE112" s="13">
        <f>BD112*VLOOKUP('Données projet'!$B$11,Paramètres!$A$1:$I$89,3,0)*VLOOKUP('Données projet'!$B$11,Paramètres!$A$1:$I$89,5,0)</f>
        <v>4.9658410716801891E-14</v>
      </c>
      <c r="BF112" s="13">
        <f t="shared" si="91"/>
        <v>8.0934058173791862E-13</v>
      </c>
      <c r="BG112" s="20">
        <f t="shared" si="61"/>
        <v>1.4960899118586383E-12</v>
      </c>
      <c r="BH112" s="59">
        <f t="shared" si="62"/>
        <v>279.72532035259076</v>
      </c>
      <c r="BI112" s="59">
        <f ca="1">AVERAGE(OFFSET($BH$3,0,0,'Données projet'!$E$11+1,1))-AVERAGE(OFFSET($H$3,0,0,'Données projet'!$E$11+1,1))</f>
        <v>360.3011551173708</v>
      </c>
      <c r="BJ112" s="59">
        <f t="shared" si="92"/>
        <v>388.50312617855309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1.2632284746510185</v>
      </c>
      <c r="BR112" s="21">
        <f>EXP(-LN(2)/2)*BR111+(1-EXP(-LN(2)/2))/(LN(2)/2)*BL112*BO112*VLOOKUP('Données projet'!$B$11,Paramètres!$A$1:$I$89,3,0)*0.475*44/12</f>
        <v>1.5198761103043361E-11</v>
      </c>
      <c r="BS112" s="22">
        <f t="shared" si="63"/>
        <v>1.2632284746662172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-4.5474735088646412E-13</v>
      </c>
      <c r="DP112" s="17">
        <f>DO112*VLOOKUP('Données projet'!$B$14,Paramètres!$A$1:$I$89,3,0)*VLOOKUP('Données projet'!$B$14,Paramètres!$A$1:$I$89,5,0)</f>
        <v>-2.7193891583010558E-13</v>
      </c>
      <c r="DQ112" s="13" t="e">
        <f t="shared" si="97"/>
        <v>#NUM!</v>
      </c>
      <c r="DR112" s="20" t="e">
        <f t="shared" si="70"/>
        <v>#NUM!</v>
      </c>
      <c r="DS112" s="59" t="e">
        <f t="shared" si="71"/>
        <v>#NUM!</v>
      </c>
      <c r="DT112" s="59">
        <f ca="1">AVERAGE(OFFSET($DS$3,0,0,'Données projet'!$E$14+1,1))-AVERAGE(OFFSET($H$3,0,0,'Données projet'!$E$14+1,1))</f>
        <v>350.88566459278962</v>
      </c>
      <c r="DU112" s="59">
        <f t="shared" si="98"/>
        <v>342.18151800581552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1.4375516277333726</v>
      </c>
      <c r="EC112" s="21">
        <f>EXP(-LN(2)/2)*EC111+(1-EXP(-LN(2)/2))/(LN(2)/2)*DW112*DZ112*VLOOKUP('Données projet'!$B$14,Paramètres!$A$1:$I$89,3,0)*0.475*44/12</f>
        <v>3.0521171138376943E-11</v>
      </c>
      <c r="ED112" s="22">
        <f t="shared" si="72"/>
        <v>1.4375516277638938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>
        <f>VLOOKUP(A113,'Données projet'!$A$35:$I$55,2,0)</f>
        <v>305</v>
      </c>
      <c r="L113" s="12">
        <f>VLOOKUP(A113,'Données projet'!$A$35:$I$55,9,0)</f>
        <v>4.4000000000000004</v>
      </c>
      <c r="M113" s="12">
        <f t="array" ref="M113">INDEX(L:L,MIN(IF(ISNUMBER(L113:L309),ROW(L113:L309),"")))</f>
        <v>4.4000000000000004</v>
      </c>
      <c r="N113" s="13">
        <f>IF('Données projet'!$A$36&gt;35,N112+M113-V112,IF(A113&lt;'Données projet'!$A$36,$K$205^A113,IF(A113='Données projet'!$A$36,'Données projet'!$B$36,N112+M113-V112)))</f>
        <v>305</v>
      </c>
      <c r="O113" s="13">
        <f>N113*VLOOKUP('Données projet'!$B$9,Paramètres!$A$1:$I$89,3,0)*VLOOKUP('Données projet'!$B$9,Paramètres!$A$1:$I$89,5,0)</f>
        <v>309.27000000000004</v>
      </c>
      <c r="P113" s="13">
        <f t="shared" si="87"/>
        <v>73.116356204711096</v>
      </c>
      <c r="Q113" s="20">
        <f t="shared" si="107"/>
        <v>665.9895703898718</v>
      </c>
      <c r="R113" s="59">
        <f t="shared" si="55"/>
        <v>945.9509593447176</v>
      </c>
      <c r="S113" s="59">
        <f ca="1">AVERAGE(OFFSET($R$3,0,0,'Données projet'!$E$9+1,1))-AVERAGE(OFFSET($H$3,0,0,'Données projet'!$E$9+1,1))</f>
        <v>465.40148250851843</v>
      </c>
      <c r="T113" s="59">
        <f t="shared" si="88"/>
        <v>290.8428650572356</v>
      </c>
      <c r="U113" s="15">
        <f>IF(ISNA(VLOOKUP(A113,'Données projet'!$A$35:$I$55,3,0)),0,VLOOKUP(A113,'Données projet'!$A$35:$I$55,3,0))</f>
        <v>9</v>
      </c>
      <c r="V113" s="15">
        <f>IF(ISNA(VLOOKUP(A113,'Données projet'!$A$35:$I$55,4,0)),0,VLOOKUP(A113,'Données projet'!$A$35:$I$55,4,0))</f>
        <v>39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0.37877576436543481</v>
      </c>
      <c r="AB113" s="21">
        <f>EXP(-LN(2)/2)*AB112+(1-EXP(-LN(2)/2))/(LN(2)/2)*V113*Y113*VLOOKUP('Données projet'!$B$9,Paramètres!$A$1:$I$89,3,0)*0.475*44/12</f>
        <v>6.3085627632258477E-12</v>
      </c>
      <c r="AC113" s="22">
        <f t="shared" si="57"/>
        <v>0.37877576437174337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328.30200000000002</v>
      </c>
      <c r="AK113" s="13">
        <f t="shared" si="89"/>
        <v>77.078162824242838</v>
      </c>
      <c r="AL113" s="20">
        <f t="shared" si="58"/>
        <v>706.03711691888964</v>
      </c>
      <c r="AM113" s="59">
        <f t="shared" si="59"/>
        <v>985.99850587373544</v>
      </c>
      <c r="AN113" s="59">
        <f ca="1">AVERAGE(OFFSET($AM$3,0,0,'Données projet'!$E$10+1,1))-AVERAGE(OFFSET($H$3,0,0,'Données projet'!$E$10+1,1))</f>
        <v>489.34829722967373</v>
      </c>
      <c r="AO113" s="59">
        <f t="shared" si="90"/>
        <v>304.94365539329362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0.40208504217253888</v>
      </c>
      <c r="AW113" s="21">
        <f>EXP(-LN(2)/2)*AW112+(1-EXP(-LN(2)/2))/(LN(2)/2)*AQ113*AT113*VLOOKUP('Données projet'!$B$10,Paramètres!$A$1:$I$89,3,0)*0.475*44/12</f>
        <v>6.6967820101936048E-12</v>
      </c>
      <c r="AX113" s="21">
        <f t="shared" si="60"/>
        <v>0.40208504217923569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5.6843418860808015E-14</v>
      </c>
      <c r="BE113" s="13">
        <f>BD113*VLOOKUP('Données projet'!$B$11,Paramètres!$A$1:$I$89,3,0)*VLOOKUP('Données projet'!$B$11,Paramètres!$A$1:$I$89,5,0)</f>
        <v>4.9658410716801891E-14</v>
      </c>
      <c r="BF113" s="13">
        <f t="shared" si="91"/>
        <v>8.0934058173791862E-13</v>
      </c>
      <c r="BG113" s="20">
        <f t="shared" si="61"/>
        <v>1.4960899118586383E-12</v>
      </c>
      <c r="BH113" s="59">
        <f t="shared" si="62"/>
        <v>279.96138895484734</v>
      </c>
      <c r="BI113" s="59">
        <f ca="1">AVERAGE(OFFSET($BH$3,0,0,'Données projet'!$E$11+1,1))-AVERAGE(OFFSET($H$3,0,0,'Données projet'!$E$11+1,1))</f>
        <v>360.3011551173708</v>
      </c>
      <c r="BJ113" s="59">
        <f t="shared" si="92"/>
        <v>388.50312617855309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1.2286854255813882</v>
      </c>
      <c r="BR113" s="21">
        <f>EXP(-LN(2)/2)*BR112+(1-EXP(-LN(2)/2))/(LN(2)/2)*BL113*BO113*VLOOKUP('Données projet'!$B$11,Paramètres!$A$1:$I$89,3,0)*0.475*44/12</f>
        <v>1.0747147041596292E-11</v>
      </c>
      <c r="BS113" s="22">
        <f t="shared" si="63"/>
        <v>1.2286854255921353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-4.5474735088646412E-13</v>
      </c>
      <c r="DP113" s="17">
        <f>DO113*VLOOKUP('Données projet'!$B$14,Paramètres!$A$1:$I$89,3,0)*VLOOKUP('Données projet'!$B$14,Paramètres!$A$1:$I$89,5,0)</f>
        <v>-2.7193891583010558E-13</v>
      </c>
      <c r="DQ113" s="13" t="e">
        <f t="shared" si="97"/>
        <v>#NUM!</v>
      </c>
      <c r="DR113" s="20" t="e">
        <f t="shared" si="70"/>
        <v>#NUM!</v>
      </c>
      <c r="DS113" s="59" t="e">
        <f t="shared" si="71"/>
        <v>#NUM!</v>
      </c>
      <c r="DT113" s="59">
        <f ca="1">AVERAGE(OFFSET($DS$3,0,0,'Données projet'!$E$14+1,1))-AVERAGE(OFFSET($H$3,0,0,'Données projet'!$E$14+1,1))</f>
        <v>350.88566459278962</v>
      </c>
      <c r="DU113" s="59">
        <f t="shared" si="98"/>
        <v>342.18151800581552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1.398241702875449</v>
      </c>
      <c r="EC113" s="21">
        <f>EXP(-LN(2)/2)*EC112+(1-EXP(-LN(2)/2))/(LN(2)/2)*DW113*DZ113*VLOOKUP('Données projet'!$B$14,Paramètres!$A$1:$I$89,3,0)*0.475*44/12</f>
        <v>2.1581727081701476E-11</v>
      </c>
      <c r="ED113" s="22">
        <f t="shared" si="72"/>
        <v>1.3982417028970306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3.7</v>
      </c>
      <c r="N114" s="13">
        <f>IF('Données projet'!$A$36&gt;35,N113+M114-V113,IF(A114&lt;'Données projet'!$A$36,$K$205^A114,IF(A114='Données projet'!$A$36,'Données projet'!$B$36,N113+M114-V113)))</f>
        <v>269.7</v>
      </c>
      <c r="O114" s="13">
        <f>N114*VLOOKUP('Données projet'!$B$9,Paramètres!$A$1:$I$89,3,0)*VLOOKUP('Données projet'!$B$9,Paramètres!$A$1:$I$89,5,0)</f>
        <v>273.47579999999999</v>
      </c>
      <c r="P114" s="13">
        <f t="shared" si="87"/>
        <v>65.586371730977589</v>
      </c>
      <c r="Q114" s="20">
        <f t="shared" si="107"/>
        <v>590.53328243145256</v>
      </c>
      <c r="R114" s="59">
        <f t="shared" si="55"/>
        <v>870.72664472607607</v>
      </c>
      <c r="S114" s="59">
        <f ca="1">AVERAGE(OFFSET($R$3,0,0,'Données projet'!$E$9+1,1))-AVERAGE(OFFSET($H$3,0,0,'Données projet'!$E$9+1,1))</f>
        <v>465.40148250851843</v>
      </c>
      <c r="T114" s="59">
        <f t="shared" si="88"/>
        <v>290.8428650572356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0.36841812116991024</v>
      </c>
      <c r="AB114" s="21">
        <f>EXP(-LN(2)/2)*AB113+(1-EXP(-LN(2)/2))/(LN(2)/2)*V114*Y114*VLOOKUP('Données projet'!$B$9,Paramètres!$A$1:$I$89,3,0)*0.475*44/12</f>
        <v>4.4608275094179411E-12</v>
      </c>
      <c r="AC114" s="22">
        <f t="shared" si="57"/>
        <v>0.36841812117437106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290.30507999999998</v>
      </c>
      <c r="AK114" s="13">
        <f t="shared" si="89"/>
        <v>69.140166465323489</v>
      </c>
      <c r="AL114" s="20">
        <f t="shared" si="58"/>
        <v>626.03380426043839</v>
      </c>
      <c r="AM114" s="59">
        <f t="shared" si="59"/>
        <v>906.22716655506201</v>
      </c>
      <c r="AN114" s="59">
        <f ca="1">AVERAGE(OFFSET($AM$3,0,0,'Données projet'!$E$10+1,1))-AVERAGE(OFFSET($H$3,0,0,'Données projet'!$E$10+1,1))</f>
        <v>489.34829722967373</v>
      </c>
      <c r="AO114" s="59">
        <f t="shared" si="90"/>
        <v>304.94365539329362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0.39109000554959739</v>
      </c>
      <c r="AW114" s="21">
        <f>EXP(-LN(2)/2)*AW113+(1-EXP(-LN(2)/2))/(LN(2)/2)*AQ114*AT114*VLOOKUP('Données projet'!$B$10,Paramètres!$A$1:$I$89,3,0)*0.475*44/12</f>
        <v>4.7353399715359771E-12</v>
      </c>
      <c r="AX114" s="21">
        <f t="shared" si="60"/>
        <v>0.39109000555433271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5.6843418860808015E-14</v>
      </c>
      <c r="BE114" s="13">
        <f>BD114*VLOOKUP('Données projet'!$B$11,Paramètres!$A$1:$I$89,3,0)*VLOOKUP('Données projet'!$B$11,Paramètres!$A$1:$I$89,5,0)</f>
        <v>4.9658410716801891E-14</v>
      </c>
      <c r="BF114" s="13">
        <f t="shared" si="91"/>
        <v>8.0934058173791862E-13</v>
      </c>
      <c r="BG114" s="20">
        <f t="shared" si="61"/>
        <v>1.4960899118586383E-12</v>
      </c>
      <c r="BH114" s="59">
        <f t="shared" si="62"/>
        <v>280.19336229462505</v>
      </c>
      <c r="BI114" s="59">
        <f ca="1">AVERAGE(OFFSET($BH$3,0,0,'Données projet'!$E$11+1,1))-AVERAGE(OFFSET($H$3,0,0,'Données projet'!$E$11+1,1))</f>
        <v>360.3011551173708</v>
      </c>
      <c r="BJ114" s="59">
        <f t="shared" si="92"/>
        <v>388.50312617855309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1.1950869580051067</v>
      </c>
      <c r="BR114" s="21">
        <f>EXP(-LN(2)/2)*BR113+(1-EXP(-LN(2)/2))/(LN(2)/2)*BL114*BO114*VLOOKUP('Données projet'!$B$11,Paramètres!$A$1:$I$89,3,0)*0.475*44/12</f>
        <v>7.5993805515216805E-12</v>
      </c>
      <c r="BS114" s="22">
        <f t="shared" si="63"/>
        <v>1.1950869580127061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-4.5474735088646412E-13</v>
      </c>
      <c r="DP114" s="17">
        <f>DO114*VLOOKUP('Données projet'!$B$14,Paramètres!$A$1:$I$89,3,0)*VLOOKUP('Données projet'!$B$14,Paramètres!$A$1:$I$89,5,0)</f>
        <v>-2.7193891583010558E-13</v>
      </c>
      <c r="DQ114" s="13" t="e">
        <f t="shared" si="97"/>
        <v>#NUM!</v>
      </c>
      <c r="DR114" s="20" t="e">
        <f t="shared" si="70"/>
        <v>#NUM!</v>
      </c>
      <c r="DS114" s="59" t="e">
        <f t="shared" si="71"/>
        <v>#NUM!</v>
      </c>
      <c r="DT114" s="59">
        <f ca="1">AVERAGE(OFFSET($DS$3,0,0,'Données projet'!$E$14+1,1))-AVERAGE(OFFSET($H$3,0,0,'Données projet'!$E$14+1,1))</f>
        <v>350.88566459278962</v>
      </c>
      <c r="DU114" s="59">
        <f t="shared" si="98"/>
        <v>342.18151800581552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1.3600067099799844</v>
      </c>
      <c r="EC114" s="21">
        <f>EXP(-LN(2)/2)*EC113+(1-EXP(-LN(2)/2))/(LN(2)/2)*DW114*DZ114*VLOOKUP('Données projet'!$B$14,Paramètres!$A$1:$I$89,3,0)*0.475*44/12</f>
        <v>1.5260585569188472E-11</v>
      </c>
      <c r="ED114" s="22">
        <f t="shared" si="72"/>
        <v>1.3600067099952451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3.7</v>
      </c>
      <c r="N115" s="13">
        <f>IF('Données projet'!$A$36&gt;35,N114+M115-V114,IF(A115&lt;'Données projet'!$A$36,$K$205^A115,IF(A115='Données projet'!$A$36,'Données projet'!$B$36,N114+M115-V114)))</f>
        <v>273.39999999999998</v>
      </c>
      <c r="O115" s="13">
        <f>N115*VLOOKUP('Données projet'!$B$9,Paramètres!$A$1:$I$89,3,0)*VLOOKUP('Données projet'!$B$9,Paramètres!$A$1:$I$89,5,0)</f>
        <v>277.2276</v>
      </c>
      <c r="P115" s="13">
        <f t="shared" si="87"/>
        <v>66.380782187895448</v>
      </c>
      <c r="Q115" s="20">
        <f t="shared" si="107"/>
        <v>598.45126564391796</v>
      </c>
      <c r="R115" s="59">
        <f t="shared" si="55"/>
        <v>878.87257705948878</v>
      </c>
      <c r="S115" s="59">
        <f ca="1">AVERAGE(OFFSET($R$3,0,0,'Données projet'!$E$9+1,1))-AVERAGE(OFFSET($H$3,0,0,'Données projet'!$E$9+1,1))</f>
        <v>465.40148250851843</v>
      </c>
      <c r="T115" s="59">
        <f t="shared" si="88"/>
        <v>290.8428650572356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0.35834370827225209</v>
      </c>
      <c r="AB115" s="21">
        <f>EXP(-LN(2)/2)*AB114+(1-EXP(-LN(2)/2))/(LN(2)/2)*V115*Y115*VLOOKUP('Données projet'!$B$9,Paramètres!$A$1:$I$89,3,0)*0.475*44/12</f>
        <v>3.1542813816129238E-12</v>
      </c>
      <c r="AC115" s="22">
        <f t="shared" si="57"/>
        <v>0.35834370827540635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294.28775999999993</v>
      </c>
      <c r="AK115" s="13">
        <f t="shared" si="89"/>
        <v>69.977622018717796</v>
      </c>
      <c r="AL115" s="20">
        <f t="shared" si="58"/>
        <v>634.42887368260006</v>
      </c>
      <c r="AM115" s="59">
        <f t="shared" si="59"/>
        <v>914.85018509817087</v>
      </c>
      <c r="AN115" s="59">
        <f ca="1">AVERAGE(OFFSET($AM$3,0,0,'Données projet'!$E$10+1,1))-AVERAGE(OFFSET($H$3,0,0,'Données projet'!$E$10+1,1))</f>
        <v>489.34829722967373</v>
      </c>
      <c r="AO115" s="59">
        <f t="shared" si="90"/>
        <v>304.94365539329362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0.38039562878131411</v>
      </c>
      <c r="AW115" s="21">
        <f>EXP(-LN(2)/2)*AW114+(1-EXP(-LN(2)/2))/(LN(2)/2)*AQ115*AT115*VLOOKUP('Données projet'!$B$10,Paramètres!$A$1:$I$89,3,0)*0.475*44/12</f>
        <v>3.3483910050968024E-12</v>
      </c>
      <c r="AX115" s="21">
        <f t="shared" si="60"/>
        <v>0.38039562878466249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5.6843418860808015E-14</v>
      </c>
      <c r="BE115" s="13">
        <f>BD115*VLOOKUP('Données projet'!$B$11,Paramètres!$A$1:$I$89,3,0)*VLOOKUP('Données projet'!$B$11,Paramètres!$A$1:$I$89,5,0)</f>
        <v>4.9658410716801891E-14</v>
      </c>
      <c r="BF115" s="13">
        <f t="shared" si="91"/>
        <v>8.0934058173791862E-13</v>
      </c>
      <c r="BG115" s="20">
        <f t="shared" si="61"/>
        <v>1.4960899118586383E-12</v>
      </c>
      <c r="BH115" s="59">
        <f t="shared" si="62"/>
        <v>280.42131141557235</v>
      </c>
      <c r="BI115" s="59">
        <f ca="1">AVERAGE(OFFSET($BH$3,0,0,'Données projet'!$E$11+1,1))-AVERAGE(OFFSET($H$3,0,0,'Données projet'!$E$11+1,1))</f>
        <v>360.3011551173708</v>
      </c>
      <c r="BJ115" s="59">
        <f t="shared" si="92"/>
        <v>388.50312617855309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1.1624072422915652</v>
      </c>
      <c r="BR115" s="21">
        <f>EXP(-LN(2)/2)*BR114+(1-EXP(-LN(2)/2))/(LN(2)/2)*BL115*BO115*VLOOKUP('Données projet'!$B$11,Paramètres!$A$1:$I$89,3,0)*0.475*44/12</f>
        <v>5.373573520798146E-12</v>
      </c>
      <c r="BS115" s="22">
        <f t="shared" si="63"/>
        <v>1.1624072422969387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-4.5474735088646412E-13</v>
      </c>
      <c r="DP115" s="17">
        <f>DO115*VLOOKUP('Données projet'!$B$14,Paramètres!$A$1:$I$89,3,0)*VLOOKUP('Données projet'!$B$14,Paramètres!$A$1:$I$89,5,0)</f>
        <v>-2.7193891583010558E-13</v>
      </c>
      <c r="DQ115" s="13" t="e">
        <f t="shared" si="97"/>
        <v>#NUM!</v>
      </c>
      <c r="DR115" s="20" t="e">
        <f t="shared" si="70"/>
        <v>#NUM!</v>
      </c>
      <c r="DS115" s="59" t="e">
        <f t="shared" si="71"/>
        <v>#NUM!</v>
      </c>
      <c r="DT115" s="59">
        <f ca="1">AVERAGE(OFFSET($DS$3,0,0,'Données projet'!$E$14+1,1))-AVERAGE(OFFSET($H$3,0,0,'Données projet'!$E$14+1,1))</f>
        <v>350.88566459278962</v>
      </c>
      <c r="DU115" s="59">
        <f t="shared" si="98"/>
        <v>342.18151800581552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1.3228172549759372</v>
      </c>
      <c r="EC115" s="21">
        <f>EXP(-LN(2)/2)*EC114+(1-EXP(-LN(2)/2))/(LN(2)/2)*DW115*DZ115*VLOOKUP('Données projet'!$B$14,Paramètres!$A$1:$I$89,3,0)*0.475*44/12</f>
        <v>1.0790863540850738E-11</v>
      </c>
      <c r="ED115" s="22">
        <f t="shared" si="72"/>
        <v>1.3228172549867281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3.7</v>
      </c>
      <c r="N116" s="13">
        <f>IF('Données projet'!$A$36&gt;35,N115+M116-V115,IF(A116&lt;'Données projet'!$A$36,$K$205^A116,IF(A116='Données projet'!$A$36,'Données projet'!$B$36,N115+M116-V115)))</f>
        <v>277.09999999999997</v>
      </c>
      <c r="O116" s="13">
        <f>N116*VLOOKUP('Données projet'!$B$9,Paramètres!$A$1:$I$89,3,0)*VLOOKUP('Données projet'!$B$9,Paramètres!$A$1:$I$89,5,0)</f>
        <v>280.9794</v>
      </c>
      <c r="P116" s="13">
        <f t="shared" si="87"/>
        <v>67.173942175199358</v>
      </c>
      <c r="Q116" s="20">
        <f t="shared" si="107"/>
        <v>606.36707095513873</v>
      </c>
      <c r="R116" s="59">
        <f t="shared" si="55"/>
        <v>887.01237708402641</v>
      </c>
      <c r="S116" s="59">
        <f ca="1">AVERAGE(OFFSET($R$3,0,0,'Données projet'!$E$9+1,1))-AVERAGE(OFFSET($H$3,0,0,'Données projet'!$E$9+1,1))</f>
        <v>465.40148250851843</v>
      </c>
      <c r="T116" s="59">
        <f t="shared" si="88"/>
        <v>290.8428650572356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0.34854478072507072</v>
      </c>
      <c r="AB116" s="21">
        <f>EXP(-LN(2)/2)*AB115+(1-EXP(-LN(2)/2))/(LN(2)/2)*V116*Y116*VLOOKUP('Données projet'!$B$9,Paramètres!$A$1:$I$89,3,0)*0.475*44/12</f>
        <v>2.2304137547089705E-12</v>
      </c>
      <c r="AC116" s="22">
        <f t="shared" si="57"/>
        <v>0.34854478072730116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298.27043999999995</v>
      </c>
      <c r="AK116" s="13">
        <f t="shared" si="89"/>
        <v>70.813759345855971</v>
      </c>
      <c r="AL116" s="20">
        <f t="shared" si="58"/>
        <v>642.82164719403238</v>
      </c>
      <c r="AM116" s="59">
        <f t="shared" si="59"/>
        <v>923.46695332292006</v>
      </c>
      <c r="AN116" s="59">
        <f ca="1">AVERAGE(OFFSET($AM$3,0,0,'Données projet'!$E$10+1,1))-AVERAGE(OFFSET($H$3,0,0,'Données projet'!$E$10+1,1))</f>
        <v>489.34829722967373</v>
      </c>
      <c r="AO116" s="59">
        <f t="shared" si="90"/>
        <v>304.94365539329362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0.36999369030815238</v>
      </c>
      <c r="AW116" s="21">
        <f>EXP(-LN(2)/2)*AW115+(1-EXP(-LN(2)/2))/(LN(2)/2)*AQ116*AT116*VLOOKUP('Données projet'!$B$10,Paramètres!$A$1:$I$89,3,0)*0.475*44/12</f>
        <v>2.3676699857679885E-12</v>
      </c>
      <c r="AX116" s="21">
        <f t="shared" si="60"/>
        <v>0.36999369031052004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5.6843418860808015E-14</v>
      </c>
      <c r="BE116" s="13">
        <f>BD116*VLOOKUP('Données projet'!$B$11,Paramètres!$A$1:$I$89,3,0)*VLOOKUP('Données projet'!$B$11,Paramètres!$A$1:$I$89,5,0)</f>
        <v>4.9658410716801891E-14</v>
      </c>
      <c r="BF116" s="13">
        <f t="shared" si="91"/>
        <v>8.0934058173791862E-13</v>
      </c>
      <c r="BG116" s="20">
        <f t="shared" si="61"/>
        <v>1.4960899118586383E-12</v>
      </c>
      <c r="BH116" s="59">
        <f t="shared" si="62"/>
        <v>280.6453061288891</v>
      </c>
      <c r="BI116" s="59">
        <f ca="1">AVERAGE(OFFSET($BH$3,0,0,'Données projet'!$E$11+1,1))-AVERAGE(OFFSET($H$3,0,0,'Données projet'!$E$11+1,1))</f>
        <v>360.3011551173708</v>
      </c>
      <c r="BJ116" s="59">
        <f t="shared" si="92"/>
        <v>388.50312617855309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1.1306211551227623</v>
      </c>
      <c r="BR116" s="21">
        <f>EXP(-LN(2)/2)*BR115+(1-EXP(-LN(2)/2))/(LN(2)/2)*BL116*BO116*VLOOKUP('Données projet'!$B$11,Paramètres!$A$1:$I$89,3,0)*0.475*44/12</f>
        <v>3.7996902757608403E-12</v>
      </c>
      <c r="BS116" s="22">
        <f t="shared" si="63"/>
        <v>1.1306211551265619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-4.5474735088646412E-13</v>
      </c>
      <c r="DP116" s="17">
        <f>DO116*VLOOKUP('Données projet'!$B$14,Paramètres!$A$1:$I$89,3,0)*VLOOKUP('Données projet'!$B$14,Paramètres!$A$1:$I$89,5,0)</f>
        <v>-2.7193891583010558E-13</v>
      </c>
      <c r="DQ116" s="13" t="e">
        <f t="shared" si="97"/>
        <v>#NUM!</v>
      </c>
      <c r="DR116" s="20" t="e">
        <f t="shared" si="70"/>
        <v>#NUM!</v>
      </c>
      <c r="DS116" s="59" t="e">
        <f t="shared" si="71"/>
        <v>#NUM!</v>
      </c>
      <c r="DT116" s="59">
        <f ca="1">AVERAGE(OFFSET($DS$3,0,0,'Données projet'!$E$14+1,1))-AVERAGE(OFFSET($H$3,0,0,'Données projet'!$E$14+1,1))</f>
        <v>350.88566459278962</v>
      </c>
      <c r="DU116" s="59">
        <f t="shared" si="98"/>
        <v>342.18151800581552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1.2866447475746841</v>
      </c>
      <c r="EC116" s="21">
        <f>EXP(-LN(2)/2)*EC115+(1-EXP(-LN(2)/2))/(LN(2)/2)*DW116*DZ116*VLOOKUP('Données projet'!$B$14,Paramètres!$A$1:$I$89,3,0)*0.475*44/12</f>
        <v>7.6302927845942359E-12</v>
      </c>
      <c r="ED116" s="22">
        <f t="shared" si="72"/>
        <v>1.2866447475823144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3.7</v>
      </c>
      <c r="N117" s="13">
        <f>IF('Données projet'!$A$36&gt;35,N116+M117-V116,IF(A117&lt;'Données projet'!$A$36,$K$205^A117,IF(A117='Données projet'!$A$36,'Données projet'!$B$36,N116+M117-V116)))</f>
        <v>280.79999999999995</v>
      </c>
      <c r="O117" s="13">
        <f>N117*VLOOKUP('Données projet'!$B$9,Paramètres!$A$1:$I$89,3,0)*VLOOKUP('Données projet'!$B$9,Paramètres!$A$1:$I$89,5,0)</f>
        <v>284.7312</v>
      </c>
      <c r="P117" s="13">
        <f t="shared" si="87"/>
        <v>67.96587032005101</v>
      </c>
      <c r="Q117" s="20">
        <f t="shared" si="107"/>
        <v>614.28073080742217</v>
      </c>
      <c r="R117" s="59">
        <f t="shared" si="55"/>
        <v>895.14614584212768</v>
      </c>
      <c r="S117" s="59">
        <f ca="1">AVERAGE(OFFSET($R$3,0,0,'Données projet'!$E$9+1,1))-AVERAGE(OFFSET($H$3,0,0,'Données projet'!$E$9+1,1))</f>
        <v>465.40148250851843</v>
      </c>
      <c r="T117" s="59">
        <f t="shared" si="88"/>
        <v>290.8428650572356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0.33901380536697023</v>
      </c>
      <c r="AB117" s="21">
        <f>EXP(-LN(2)/2)*AB116+(1-EXP(-LN(2)/2))/(LN(2)/2)*V117*Y117*VLOOKUP('Données projet'!$B$9,Paramètres!$A$1:$I$89,3,0)*0.475*44/12</f>
        <v>1.5771406908064619E-12</v>
      </c>
      <c r="AC117" s="22">
        <f t="shared" si="57"/>
        <v>0.33901380536854736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302.25311999999991</v>
      </c>
      <c r="AK117" s="13">
        <f t="shared" si="89"/>
        <v>71.648598083211411</v>
      </c>
      <c r="AL117" s="20">
        <f t="shared" si="58"/>
        <v>651.21215899492643</v>
      </c>
      <c r="AM117" s="59">
        <f t="shared" si="59"/>
        <v>932.07757402963193</v>
      </c>
      <c r="AN117" s="59">
        <f ca="1">AVERAGE(OFFSET($AM$3,0,0,'Données projet'!$E$10+1,1))-AVERAGE(OFFSET($H$3,0,0,'Données projet'!$E$10+1,1))</f>
        <v>489.34829722967373</v>
      </c>
      <c r="AO117" s="59">
        <f t="shared" si="90"/>
        <v>304.94365539329362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0.3598761933895534</v>
      </c>
      <c r="AW117" s="21">
        <f>EXP(-LN(2)/2)*AW116+(1-EXP(-LN(2)/2))/(LN(2)/2)*AQ117*AT117*VLOOKUP('Données projet'!$B$10,Paramètres!$A$1:$I$89,3,0)*0.475*44/12</f>
        <v>1.6741955025484012E-12</v>
      </c>
      <c r="AX117" s="21">
        <f t="shared" si="60"/>
        <v>0.35987619339122762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5.6843418860808015E-14</v>
      </c>
      <c r="BE117" s="13">
        <f>BD117*VLOOKUP('Données projet'!$B$11,Paramètres!$A$1:$I$89,3,0)*VLOOKUP('Données projet'!$B$11,Paramètres!$A$1:$I$89,5,0)</f>
        <v>4.9658410716801891E-14</v>
      </c>
      <c r="BF117" s="13">
        <f t="shared" si="91"/>
        <v>8.0934058173791862E-13</v>
      </c>
      <c r="BG117" s="20">
        <f t="shared" si="61"/>
        <v>1.4960899118586383E-12</v>
      </c>
      <c r="BH117" s="59">
        <f t="shared" si="62"/>
        <v>280.86541503470693</v>
      </c>
      <c r="BI117" s="59">
        <f ca="1">AVERAGE(OFFSET($BH$3,0,0,'Données projet'!$E$11+1,1))-AVERAGE(OFFSET($H$3,0,0,'Données projet'!$E$11+1,1))</f>
        <v>360.3011551173708</v>
      </c>
      <c r="BJ117" s="59">
        <f t="shared" si="92"/>
        <v>388.50312617855309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1.0997042601791478</v>
      </c>
      <c r="BR117" s="21">
        <f>EXP(-LN(2)/2)*BR116+(1-EXP(-LN(2)/2))/(LN(2)/2)*BL117*BO117*VLOOKUP('Données projet'!$B$11,Paramètres!$A$1:$I$89,3,0)*0.475*44/12</f>
        <v>2.686786760399073E-12</v>
      </c>
      <c r="BS117" s="22">
        <f t="shared" si="63"/>
        <v>1.0997042601818345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-4.5474735088646412E-13</v>
      </c>
      <c r="DP117" s="17">
        <f>DO117*VLOOKUP('Données projet'!$B$14,Paramètres!$A$1:$I$89,3,0)*VLOOKUP('Données projet'!$B$14,Paramètres!$A$1:$I$89,5,0)</f>
        <v>-2.7193891583010558E-13</v>
      </c>
      <c r="DQ117" s="13" t="e">
        <f t="shared" si="97"/>
        <v>#NUM!</v>
      </c>
      <c r="DR117" s="20" t="e">
        <f t="shared" si="70"/>
        <v>#NUM!</v>
      </c>
      <c r="DS117" s="59" t="e">
        <f t="shared" si="71"/>
        <v>#NUM!</v>
      </c>
      <c r="DT117" s="59">
        <f ca="1">AVERAGE(OFFSET($DS$3,0,0,'Données projet'!$E$14+1,1))-AVERAGE(OFFSET($H$3,0,0,'Données projet'!$E$14+1,1))</f>
        <v>350.88566459278962</v>
      </c>
      <c r="DU117" s="59">
        <f t="shared" si="98"/>
        <v>342.18151800581552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1.2514613792905478</v>
      </c>
      <c r="EC117" s="21">
        <f>EXP(-LN(2)/2)*EC116+(1-EXP(-LN(2)/2))/(LN(2)/2)*DW117*DZ117*VLOOKUP('Données projet'!$B$14,Paramètres!$A$1:$I$89,3,0)*0.475*44/12</f>
        <v>5.3954317704253689E-12</v>
      </c>
      <c r="ED117" s="22">
        <f t="shared" si="72"/>
        <v>1.2514613792959433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3.7</v>
      </c>
      <c r="N118" s="13">
        <f>IF('Données projet'!$A$36&gt;35,N117+M118-V117,IF(A118&lt;'Données projet'!$A$36,$K$205^A118,IF(A118='Données projet'!$A$36,'Données projet'!$B$36,N117+M118-V117)))</f>
        <v>284.49999999999994</v>
      </c>
      <c r="O118" s="13">
        <f>N118*VLOOKUP('Données projet'!$B$9,Paramètres!$A$1:$I$89,3,0)*VLOOKUP('Données projet'!$B$9,Paramètres!$A$1:$I$89,5,0)</f>
        <v>288.483</v>
      </c>
      <c r="P118" s="13">
        <f t="shared" si="87"/>
        <v>68.756584730508692</v>
      </c>
      <c r="Q118" s="20">
        <f t="shared" si="107"/>
        <v>622.19227673896933</v>
      </c>
      <c r="R118" s="59">
        <f t="shared" si="55"/>
        <v>903.27398228206653</v>
      </c>
      <c r="S118" s="59">
        <f ca="1">AVERAGE(OFFSET($R$3,0,0,'Données projet'!$E$9+1,1))-AVERAGE(OFFSET($H$3,0,0,'Données projet'!$E$9+1,1))</f>
        <v>465.40148250851843</v>
      </c>
      <c r="T118" s="59">
        <f t="shared" si="88"/>
        <v>290.8428650572356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0.32974345503124924</v>
      </c>
      <c r="AB118" s="21">
        <f>EXP(-LN(2)/2)*AB117+(1-EXP(-LN(2)/2))/(LN(2)/2)*V118*Y118*VLOOKUP('Données projet'!$B$9,Paramètres!$A$1:$I$89,3,0)*0.475*44/12</f>
        <v>1.1152068773544853E-12</v>
      </c>
      <c r="AC118" s="22">
        <f t="shared" si="57"/>
        <v>0.32974345503236446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306.23579999999993</v>
      </c>
      <c r="AK118" s="13">
        <f t="shared" si="89"/>
        <v>72.482157320027014</v>
      </c>
      <c r="AL118" s="20">
        <f t="shared" si="58"/>
        <v>659.60044233238023</v>
      </c>
      <c r="AM118" s="59">
        <f t="shared" si="59"/>
        <v>940.68214787547754</v>
      </c>
      <c r="AN118" s="59">
        <f ca="1">AVERAGE(OFFSET($AM$3,0,0,'Données projet'!$E$10+1,1))-AVERAGE(OFFSET($H$3,0,0,'Données projet'!$E$10+1,1))</f>
        <v>489.34829722967373</v>
      </c>
      <c r="AO118" s="59">
        <f t="shared" si="90"/>
        <v>304.94365539329362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0.35003535995624957</v>
      </c>
      <c r="AW118" s="21">
        <f>EXP(-LN(2)/2)*AW117+(1-EXP(-LN(2)/2))/(LN(2)/2)*AQ118*AT118*VLOOKUP('Données projet'!$B$10,Paramètres!$A$1:$I$89,3,0)*0.475*44/12</f>
        <v>1.1838349928839943E-12</v>
      </c>
      <c r="AX118" s="21">
        <f t="shared" si="60"/>
        <v>0.3500353599574334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5.6843418860808015E-14</v>
      </c>
      <c r="BE118" s="13">
        <f>BD118*VLOOKUP('Données projet'!$B$11,Paramètres!$A$1:$I$89,3,0)*VLOOKUP('Données projet'!$B$11,Paramètres!$A$1:$I$89,5,0)</f>
        <v>4.9658410716801891E-14</v>
      </c>
      <c r="BF118" s="13">
        <f t="shared" si="91"/>
        <v>8.0934058173791862E-13</v>
      </c>
      <c r="BG118" s="20">
        <f t="shared" si="61"/>
        <v>1.4960899118586383E-12</v>
      </c>
      <c r="BH118" s="59">
        <f t="shared" si="62"/>
        <v>281.08170554309874</v>
      </c>
      <c r="BI118" s="59">
        <f ca="1">AVERAGE(OFFSET($BH$3,0,0,'Données projet'!$E$11+1,1))-AVERAGE(OFFSET($H$3,0,0,'Données projet'!$E$11+1,1))</f>
        <v>360.3011551173708</v>
      </c>
      <c r="BJ118" s="59">
        <f t="shared" si="92"/>
        <v>388.50312617855309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1.0696327893536153</v>
      </c>
      <c r="BR118" s="21">
        <f>EXP(-LN(2)/2)*BR117+(1-EXP(-LN(2)/2))/(LN(2)/2)*BL118*BO118*VLOOKUP('Données projet'!$B$11,Paramètres!$A$1:$I$89,3,0)*0.475*44/12</f>
        <v>1.8998451378804201E-12</v>
      </c>
      <c r="BS118" s="22">
        <f t="shared" si="63"/>
        <v>1.0696327893555151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-4.5474735088646412E-13</v>
      </c>
      <c r="DP118" s="17">
        <f>DO118*VLOOKUP('Données projet'!$B$14,Paramètres!$A$1:$I$89,3,0)*VLOOKUP('Données projet'!$B$14,Paramètres!$A$1:$I$89,5,0)</f>
        <v>-2.7193891583010558E-13</v>
      </c>
      <c r="DQ118" s="13" t="e">
        <f t="shared" si="97"/>
        <v>#NUM!</v>
      </c>
      <c r="DR118" s="20" t="e">
        <f t="shared" si="70"/>
        <v>#NUM!</v>
      </c>
      <c r="DS118" s="59" t="e">
        <f t="shared" si="71"/>
        <v>#NUM!</v>
      </c>
      <c r="DT118" s="59">
        <f ca="1">AVERAGE(OFFSET($DS$3,0,0,'Données projet'!$E$14+1,1))-AVERAGE(OFFSET($H$3,0,0,'Données projet'!$E$14+1,1))</f>
        <v>350.88566459278962</v>
      </c>
      <c r="DU118" s="59">
        <f t="shared" si="98"/>
        <v>342.18151800581552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1.217240102062354</v>
      </c>
      <c r="EC118" s="21">
        <f>EXP(-LN(2)/2)*EC117+(1-EXP(-LN(2)/2))/(LN(2)/2)*DW118*DZ118*VLOOKUP('Données projet'!$B$14,Paramètres!$A$1:$I$89,3,0)*0.475*44/12</f>
        <v>3.8151463922971179E-12</v>
      </c>
      <c r="ED118" s="22">
        <f t="shared" si="72"/>
        <v>1.2172401020661692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3.7</v>
      </c>
      <c r="N119" s="13">
        <f>IF('Données projet'!$A$36&gt;35,N118+M119-V118,IF(A119&lt;'Données projet'!$A$36,$K$205^A119,IF(A119='Données projet'!$A$36,'Données projet'!$B$36,N118+M119-V118)))</f>
        <v>288.19999999999993</v>
      </c>
      <c r="O119" s="13">
        <f>N119*VLOOKUP('Données projet'!$B$9,Paramètres!$A$1:$I$89,3,0)*VLOOKUP('Données projet'!$B$9,Paramètres!$A$1:$I$89,5,0)</f>
        <v>292.23479999999995</v>
      </c>
      <c r="P119" s="13">
        <f t="shared" si="87"/>
        <v>69.546103016553758</v>
      </c>
      <c r="Q119" s="20">
        <f t="shared" si="107"/>
        <v>630.10173942049767</v>
      </c>
      <c r="R119" s="59">
        <f t="shared" si="55"/>
        <v>911.39598331521915</v>
      </c>
      <c r="S119" s="59">
        <f ca="1">AVERAGE(OFFSET($R$3,0,0,'Données projet'!$E$9+1,1))-AVERAGE(OFFSET($H$3,0,0,'Données projet'!$E$9+1,1))</f>
        <v>465.40148250851843</v>
      </c>
      <c r="T119" s="59">
        <f t="shared" si="88"/>
        <v>290.8428650572356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0.32072660291296506</v>
      </c>
      <c r="AB119" s="21">
        <f>EXP(-LN(2)/2)*AB118+(1-EXP(-LN(2)/2))/(LN(2)/2)*V119*Y119*VLOOKUP('Données projet'!$B$9,Paramètres!$A$1:$I$89,3,0)*0.475*44/12</f>
        <v>7.8857034540323096E-13</v>
      </c>
      <c r="AC119" s="22">
        <f t="shared" si="57"/>
        <v>0.32072660291375366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310.21847999999994</v>
      </c>
      <c r="AK119" s="13">
        <f t="shared" si="89"/>
        <v>73.314455620479976</v>
      </c>
      <c r="AL119" s="20">
        <f t="shared" si="58"/>
        <v>667.98652953900239</v>
      </c>
      <c r="AM119" s="59">
        <f t="shared" si="59"/>
        <v>949.28077343372388</v>
      </c>
      <c r="AN119" s="59">
        <f ca="1">AVERAGE(OFFSET($AM$3,0,0,'Données projet'!$E$10+1,1))-AVERAGE(OFFSET($H$3,0,0,'Données projet'!$E$10+1,1))</f>
        <v>489.34829722967373</v>
      </c>
      <c r="AO119" s="59">
        <f t="shared" si="90"/>
        <v>304.94365539329362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0.34046362463068636</v>
      </c>
      <c r="AW119" s="21">
        <f>EXP(-LN(2)/2)*AW118+(1-EXP(-LN(2)/2))/(LN(2)/2)*AQ119*AT119*VLOOKUP('Données projet'!$B$10,Paramètres!$A$1:$I$89,3,0)*0.475*44/12</f>
        <v>8.370977512742006E-13</v>
      </c>
      <c r="AX119" s="21">
        <f t="shared" si="60"/>
        <v>0.34046362463152346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5.6843418860808015E-14</v>
      </c>
      <c r="BE119" s="13">
        <f>BD119*VLOOKUP('Données projet'!$B$11,Paramètres!$A$1:$I$89,3,0)*VLOOKUP('Données projet'!$B$11,Paramètres!$A$1:$I$89,5,0)</f>
        <v>4.9658410716801891E-14</v>
      </c>
      <c r="BF119" s="13">
        <f t="shared" si="91"/>
        <v>8.0934058173791862E-13</v>
      </c>
      <c r="BG119" s="20">
        <f t="shared" si="61"/>
        <v>1.4960899118586383E-12</v>
      </c>
      <c r="BH119" s="59">
        <f t="shared" si="62"/>
        <v>281.29424389472297</v>
      </c>
      <c r="BI119" s="59">
        <f ca="1">AVERAGE(OFFSET($BH$3,0,0,'Données projet'!$E$11+1,1))-AVERAGE(OFFSET($H$3,0,0,'Données projet'!$E$11+1,1))</f>
        <v>360.3011551173708</v>
      </c>
      <c r="BJ119" s="59">
        <f t="shared" si="92"/>
        <v>388.50312617855309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1.0403836244791969</v>
      </c>
      <c r="BR119" s="21">
        <f>EXP(-LN(2)/2)*BR118+(1-EXP(-LN(2)/2))/(LN(2)/2)*BL119*BO119*VLOOKUP('Données projet'!$B$11,Paramètres!$A$1:$I$89,3,0)*0.475*44/12</f>
        <v>1.3433933801995365E-12</v>
      </c>
      <c r="BS119" s="22">
        <f t="shared" si="63"/>
        <v>1.0403836244805402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-4.5474735088646412E-13</v>
      </c>
      <c r="DP119" s="17">
        <f>DO119*VLOOKUP('Données projet'!$B$14,Paramètres!$A$1:$I$89,3,0)*VLOOKUP('Données projet'!$B$14,Paramètres!$A$1:$I$89,5,0)</f>
        <v>-2.7193891583010558E-13</v>
      </c>
      <c r="DQ119" s="13" t="e">
        <f t="shared" si="97"/>
        <v>#NUM!</v>
      </c>
      <c r="DR119" s="20" t="e">
        <f t="shared" si="70"/>
        <v>#NUM!</v>
      </c>
      <c r="DS119" s="59" t="e">
        <f t="shared" si="71"/>
        <v>#NUM!</v>
      </c>
      <c r="DT119" s="59">
        <f ca="1">AVERAGE(OFFSET($DS$3,0,0,'Données projet'!$E$14+1,1))-AVERAGE(OFFSET($H$3,0,0,'Données projet'!$E$14+1,1))</f>
        <v>350.88566459278962</v>
      </c>
      <c r="DU119" s="59">
        <f t="shared" si="98"/>
        <v>342.18151800581552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1.1839546074595839</v>
      </c>
      <c r="EC119" s="21">
        <f>EXP(-LN(2)/2)*EC118+(1-EXP(-LN(2)/2))/(LN(2)/2)*DW119*DZ119*VLOOKUP('Données projet'!$B$14,Paramètres!$A$1:$I$89,3,0)*0.475*44/12</f>
        <v>2.6977158852126844E-12</v>
      </c>
      <c r="ED119" s="22">
        <f t="shared" si="72"/>
        <v>1.1839546074622815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3.7</v>
      </c>
      <c r="N120" s="13">
        <f>IF('Données projet'!$A$36&gt;35,N119+M120-V119,IF(A120&lt;'Données projet'!$A$36,$K$205^A120,IF(A120='Données projet'!$A$36,'Données projet'!$B$36,N119+M120-V119)))</f>
        <v>291.89999999999992</v>
      </c>
      <c r="O120" s="13">
        <f>N120*VLOOKUP('Données projet'!$B$9,Paramètres!$A$1:$I$89,3,0)*VLOOKUP('Données projet'!$B$9,Paramètres!$A$1:$I$89,5,0)</f>
        <v>295.98659999999995</v>
      </c>
      <c r="P120" s="13">
        <f t="shared" si="87"/>
        <v>70.334442310004732</v>
      </c>
      <c r="Q120" s="20">
        <f t="shared" si="107"/>
        <v>638.00914868992481</v>
      </c>
      <c r="R120" s="59">
        <f t="shared" si="55"/>
        <v>919.51224387103446</v>
      </c>
      <c r="S120" s="59">
        <f ca="1">AVERAGE(OFFSET($R$3,0,0,'Données projet'!$E$9+1,1))-AVERAGE(OFFSET($H$3,0,0,'Données projet'!$E$9+1,1))</f>
        <v>465.40148250851843</v>
      </c>
      <c r="T120" s="59">
        <f t="shared" si="88"/>
        <v>290.8428650572356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0.31195631709003102</v>
      </c>
      <c r="AB120" s="21">
        <f>EXP(-LN(2)/2)*AB119+(1-EXP(-LN(2)/2))/(LN(2)/2)*V120*Y120*VLOOKUP('Données projet'!$B$9,Paramètres!$A$1:$I$89,3,0)*0.475*44/12</f>
        <v>5.5760343867724263E-13</v>
      </c>
      <c r="AC120" s="22">
        <f t="shared" si="57"/>
        <v>0.31195631709058863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314.2011599999999</v>
      </c>
      <c r="AK120" s="13">
        <f t="shared" si="89"/>
        <v>74.145511044675843</v>
      </c>
      <c r="AL120" s="20">
        <f t="shared" si="58"/>
        <v>676.37045206947698</v>
      </c>
      <c r="AM120" s="59">
        <f t="shared" si="59"/>
        <v>957.87354725058663</v>
      </c>
      <c r="AN120" s="59">
        <f ca="1">AVERAGE(OFFSET($AM$3,0,0,'Données projet'!$E$10+1,1))-AVERAGE(OFFSET($H$3,0,0,'Données projet'!$E$10+1,1))</f>
        <v>489.34829722967373</v>
      </c>
      <c r="AO120" s="59">
        <f t="shared" si="90"/>
        <v>304.94365539329362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0.33115362891095634</v>
      </c>
      <c r="AW120" s="21">
        <f>EXP(-LN(2)/2)*AW119+(1-EXP(-LN(2)/2))/(LN(2)/2)*AQ120*AT120*VLOOKUP('Données projet'!$B$10,Paramètres!$A$1:$I$89,3,0)*0.475*44/12</f>
        <v>5.9191749644199714E-13</v>
      </c>
      <c r="AX120" s="21">
        <f t="shared" si="60"/>
        <v>0.33115362891154826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5.6843418860808015E-14</v>
      </c>
      <c r="BE120" s="13">
        <f>BD120*VLOOKUP('Données projet'!$B$11,Paramètres!$A$1:$I$89,3,0)*VLOOKUP('Données projet'!$B$11,Paramètres!$A$1:$I$89,5,0)</f>
        <v>4.9658410716801891E-14</v>
      </c>
      <c r="BF120" s="13">
        <f t="shared" si="91"/>
        <v>8.0934058173791862E-13</v>
      </c>
      <c r="BG120" s="20">
        <f t="shared" si="61"/>
        <v>1.4960899118586383E-12</v>
      </c>
      <c r="BH120" s="59">
        <f t="shared" si="62"/>
        <v>281.50309518111112</v>
      </c>
      <c r="BI120" s="59">
        <f ca="1">AVERAGE(OFFSET($BH$3,0,0,'Données projet'!$E$11+1,1))-AVERAGE(OFFSET($H$3,0,0,'Données projet'!$E$11+1,1))</f>
        <v>360.3011551173708</v>
      </c>
      <c r="BJ120" s="59">
        <f t="shared" si="92"/>
        <v>388.50312617855309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1.0119342795564161</v>
      </c>
      <c r="BR120" s="21">
        <f>EXP(-LN(2)/2)*BR119+(1-EXP(-LN(2)/2))/(LN(2)/2)*BL120*BO120*VLOOKUP('Données projet'!$B$11,Paramètres!$A$1:$I$89,3,0)*0.475*44/12</f>
        <v>9.4992256894021006E-13</v>
      </c>
      <c r="BS120" s="22">
        <f t="shared" si="63"/>
        <v>1.011934279557366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-4.5474735088646412E-13</v>
      </c>
      <c r="DP120" s="17">
        <f>DO120*VLOOKUP('Données projet'!$B$14,Paramètres!$A$1:$I$89,3,0)*VLOOKUP('Données projet'!$B$14,Paramètres!$A$1:$I$89,5,0)</f>
        <v>-2.7193891583010558E-13</v>
      </c>
      <c r="DQ120" s="13" t="e">
        <f t="shared" si="97"/>
        <v>#NUM!</v>
      </c>
      <c r="DR120" s="20" t="e">
        <f t="shared" si="70"/>
        <v>#NUM!</v>
      </c>
      <c r="DS120" s="59" t="e">
        <f t="shared" si="71"/>
        <v>#NUM!</v>
      </c>
      <c r="DT120" s="59">
        <f ca="1">AVERAGE(OFFSET($DS$3,0,0,'Données projet'!$E$14+1,1))-AVERAGE(OFFSET($H$3,0,0,'Données projet'!$E$14+1,1))</f>
        <v>350.88566459278962</v>
      </c>
      <c r="DU120" s="59">
        <f t="shared" si="98"/>
        <v>342.18151800581552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1.1515793064571347</v>
      </c>
      <c r="EC120" s="21">
        <f>EXP(-LN(2)/2)*EC119+(1-EXP(-LN(2)/2))/(LN(2)/2)*DW120*DZ120*VLOOKUP('Données projet'!$B$14,Paramètres!$A$1:$I$89,3,0)*0.475*44/12</f>
        <v>1.907573196148559E-12</v>
      </c>
      <c r="ED120" s="22">
        <f t="shared" si="72"/>
        <v>1.1515793064590423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3.7</v>
      </c>
      <c r="N121" s="13">
        <f>IF('Données projet'!$A$36&gt;35,N120+M121-V120,IF(A121&lt;'Données projet'!$A$36,$K$205^A121,IF(A121='Données projet'!$A$36,'Données projet'!$B$36,N120+M121-V120)))</f>
        <v>295.59999999999991</v>
      </c>
      <c r="O121" s="13">
        <f>N121*VLOOKUP('Données projet'!$B$9,Paramètres!$A$1:$I$89,3,0)*VLOOKUP('Données projet'!$B$9,Paramètres!$A$1:$I$89,5,0)</f>
        <v>299.73839999999996</v>
      </c>
      <c r="P121" s="13">
        <f t="shared" si="87"/>
        <v>71.12161928339448</v>
      </c>
      <c r="Q121" s="20">
        <f t="shared" si="107"/>
        <v>645.91453358524529</v>
      </c>
      <c r="R121" s="59">
        <f t="shared" si="55"/>
        <v>927.62285694984575</v>
      </c>
      <c r="S121" s="59">
        <f ca="1">AVERAGE(OFFSET($R$3,0,0,'Données projet'!$E$9+1,1))-AVERAGE(OFFSET($H$3,0,0,'Données projet'!$E$9+1,1))</f>
        <v>465.40148250851843</v>
      </c>
      <c r="T121" s="59">
        <f t="shared" si="88"/>
        <v>290.8428650572356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0.3034258551941344</v>
      </c>
      <c r="AB121" s="21">
        <f>EXP(-LN(2)/2)*AB120+(1-EXP(-LN(2)/2))/(LN(2)/2)*V121*Y121*VLOOKUP('Données projet'!$B$9,Paramètres!$A$1:$I$89,3,0)*0.475*44/12</f>
        <v>3.9428517270161548E-13</v>
      </c>
      <c r="AC121" s="22">
        <f t="shared" si="57"/>
        <v>0.30342585519452869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318.18383999999986</v>
      </c>
      <c r="AK121" s="13">
        <f t="shared" si="89"/>
        <v>74.975341168547914</v>
      </c>
      <c r="AL121" s="20">
        <f t="shared" si="58"/>
        <v>684.75224053522061</v>
      </c>
      <c r="AM121" s="59">
        <f t="shared" si="59"/>
        <v>966.46056389982095</v>
      </c>
      <c r="AN121" s="59">
        <f ca="1">AVERAGE(OFFSET($AM$3,0,0,'Données projet'!$E$10+1,1))-AVERAGE(OFFSET($H$3,0,0,'Données projet'!$E$10+1,1))</f>
        <v>489.34829722967373</v>
      </c>
      <c r="AO121" s="59">
        <f t="shared" si="90"/>
        <v>304.94365539329362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0.32209821551377377</v>
      </c>
      <c r="AW121" s="21">
        <f>EXP(-LN(2)/2)*AW120+(1-EXP(-LN(2)/2))/(LN(2)/2)*AQ121*AT121*VLOOKUP('Données projet'!$B$10,Paramètres!$A$1:$I$89,3,0)*0.475*44/12</f>
        <v>4.185488756371003E-13</v>
      </c>
      <c r="AX121" s="21">
        <f t="shared" si="60"/>
        <v>0.32209821551419232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5.6843418860808015E-14</v>
      </c>
      <c r="BE121" s="13">
        <f>BD121*VLOOKUP('Données projet'!$B$11,Paramètres!$A$1:$I$89,3,0)*VLOOKUP('Données projet'!$B$11,Paramètres!$A$1:$I$89,5,0)</f>
        <v>4.9658410716801891E-14</v>
      </c>
      <c r="BF121" s="13">
        <f t="shared" si="91"/>
        <v>8.0934058173791862E-13</v>
      </c>
      <c r="BG121" s="20">
        <f t="shared" si="61"/>
        <v>1.4960899118586383E-12</v>
      </c>
      <c r="BH121" s="59">
        <f t="shared" si="62"/>
        <v>281.70832336460188</v>
      </c>
      <c r="BI121" s="59">
        <f ca="1">AVERAGE(OFFSET($BH$3,0,0,'Données projet'!$E$11+1,1))-AVERAGE(OFFSET($H$3,0,0,'Données projet'!$E$11+1,1))</f>
        <v>360.3011551173708</v>
      </c>
      <c r="BJ121" s="59">
        <f t="shared" si="92"/>
        <v>388.50312617855309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0.98426288346663493</v>
      </c>
      <c r="BR121" s="21">
        <f>EXP(-LN(2)/2)*BR120+(1-EXP(-LN(2)/2))/(LN(2)/2)*BL121*BO121*VLOOKUP('Données projet'!$B$11,Paramètres!$A$1:$I$89,3,0)*0.475*44/12</f>
        <v>6.7169669009976824E-13</v>
      </c>
      <c r="BS121" s="22">
        <f t="shared" si="63"/>
        <v>0.98426288346730662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-4.5474735088646412E-13</v>
      </c>
      <c r="DP121" s="17">
        <f>DO121*VLOOKUP('Données projet'!$B$14,Paramètres!$A$1:$I$89,3,0)*VLOOKUP('Données projet'!$B$14,Paramètres!$A$1:$I$89,5,0)</f>
        <v>-2.7193891583010558E-13</v>
      </c>
      <c r="DQ121" s="13" t="e">
        <f t="shared" si="97"/>
        <v>#NUM!</v>
      </c>
      <c r="DR121" s="20" t="e">
        <f t="shared" si="70"/>
        <v>#NUM!</v>
      </c>
      <c r="DS121" s="59" t="e">
        <f t="shared" si="71"/>
        <v>#NUM!</v>
      </c>
      <c r="DT121" s="59">
        <f ca="1">AVERAGE(OFFSET($DS$3,0,0,'Données projet'!$E$14+1,1))-AVERAGE(OFFSET($H$3,0,0,'Données projet'!$E$14+1,1))</f>
        <v>350.88566459278962</v>
      </c>
      <c r="DU121" s="59">
        <f t="shared" si="98"/>
        <v>342.18151800581552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1.1200893097631406</v>
      </c>
      <c r="EC121" s="21">
        <f>EXP(-LN(2)/2)*EC120+(1-EXP(-LN(2)/2))/(LN(2)/2)*DW121*DZ121*VLOOKUP('Données projet'!$B$14,Paramètres!$A$1:$I$89,3,0)*0.475*44/12</f>
        <v>1.3488579426063422E-12</v>
      </c>
      <c r="ED121" s="22">
        <f t="shared" si="72"/>
        <v>1.1200893097644895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3.7</v>
      </c>
      <c r="N122" s="13">
        <f>IF('Données projet'!$A$36&gt;35,N121+M122-V121,IF(A122&lt;'Données projet'!$A$36,$K$205^A122,IF(A122='Données projet'!$A$36,'Données projet'!$B$36,N121+M122-V121)))</f>
        <v>299.2999999999999</v>
      </c>
      <c r="O122" s="13">
        <f>N122*VLOOKUP('Données projet'!$B$9,Paramètres!$A$1:$I$89,3,0)*VLOOKUP('Données projet'!$B$9,Paramètres!$A$1:$I$89,5,0)</f>
        <v>303.4901999999999</v>
      </c>
      <c r="P122" s="13">
        <f t="shared" si="87"/>
        <v>71.907650167874195</v>
      </c>
      <c r="Q122" s="20">
        <f t="shared" si="107"/>
        <v>653.81792237571403</v>
      </c>
      <c r="R122" s="59">
        <f t="shared" si="55"/>
        <v>935.72791367364312</v>
      </c>
      <c r="S122" s="59">
        <f ca="1">AVERAGE(OFFSET($R$3,0,0,'Données projet'!$E$9+1,1))-AVERAGE(OFFSET($H$3,0,0,'Données projet'!$E$9+1,1))</f>
        <v>465.40148250851843</v>
      </c>
      <c r="T122" s="59">
        <f t="shared" si="88"/>
        <v>290.8428650572356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0.29512865922737858</v>
      </c>
      <c r="AB122" s="21">
        <f>EXP(-LN(2)/2)*AB121+(1-EXP(-LN(2)/2))/(LN(2)/2)*V122*Y122*VLOOKUP('Données projet'!$B$9,Paramètres!$A$1:$I$89,3,0)*0.475*44/12</f>
        <v>2.7880171933862132E-13</v>
      </c>
      <c r="AC122" s="22">
        <f t="shared" si="57"/>
        <v>0.29512865922765735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322.16651999999988</v>
      </c>
      <c r="AK122" s="13">
        <f t="shared" si="89"/>
        <v>75.803963102731601</v>
      </c>
      <c r="AL122" s="20">
        <f t="shared" si="58"/>
        <v>693.13192473725724</v>
      </c>
      <c r="AM122" s="59">
        <f t="shared" si="59"/>
        <v>975.04191603518643</v>
      </c>
      <c r="AN122" s="59">
        <f ca="1">AVERAGE(OFFSET($AM$3,0,0,'Données projet'!$E$10+1,1))-AVERAGE(OFFSET($H$3,0,0,'Données projet'!$E$10+1,1))</f>
        <v>489.34829722967373</v>
      </c>
      <c r="AO122" s="59">
        <f t="shared" si="90"/>
        <v>304.94365539329362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0.31329042287214065</v>
      </c>
      <c r="AW122" s="21">
        <f>EXP(-LN(2)/2)*AW121+(1-EXP(-LN(2)/2))/(LN(2)/2)*AQ122*AT122*VLOOKUP('Données projet'!$B$10,Paramètres!$A$1:$I$89,3,0)*0.475*44/12</f>
        <v>2.9595874822099857E-13</v>
      </c>
      <c r="AX122" s="21">
        <f t="shared" si="60"/>
        <v>0.31329042287243664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5.6843418860808015E-14</v>
      </c>
      <c r="BE122" s="13">
        <f>BD122*VLOOKUP('Données projet'!$B$11,Paramètres!$A$1:$I$89,3,0)*VLOOKUP('Données projet'!$B$11,Paramètres!$A$1:$I$89,5,0)</f>
        <v>4.9658410716801891E-14</v>
      </c>
      <c r="BF122" s="13">
        <f t="shared" si="91"/>
        <v>8.0934058173791862E-13</v>
      </c>
      <c r="BG122" s="20">
        <f t="shared" si="61"/>
        <v>1.4960899118586383E-12</v>
      </c>
      <c r="BH122" s="59">
        <f t="shared" si="62"/>
        <v>281.90999129793062</v>
      </c>
      <c r="BI122" s="59">
        <f ca="1">AVERAGE(OFFSET($BH$3,0,0,'Données projet'!$E$11+1,1))-AVERAGE(OFFSET($H$3,0,0,'Données projet'!$E$11+1,1))</f>
        <v>360.3011551173708</v>
      </c>
      <c r="BJ122" s="59">
        <f t="shared" si="92"/>
        <v>388.50312617855309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0.95734816315810434</v>
      </c>
      <c r="BR122" s="21">
        <f>EXP(-LN(2)/2)*BR121+(1-EXP(-LN(2)/2))/(LN(2)/2)*BL122*BO122*VLOOKUP('Données projet'!$B$11,Paramètres!$A$1:$I$89,3,0)*0.475*44/12</f>
        <v>4.7496128447010503E-13</v>
      </c>
      <c r="BS122" s="22">
        <f t="shared" si="63"/>
        <v>0.95734816315857929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-4.5474735088646412E-13</v>
      </c>
      <c r="DP122" s="17">
        <f>DO122*VLOOKUP('Données projet'!$B$14,Paramètres!$A$1:$I$89,3,0)*VLOOKUP('Données projet'!$B$14,Paramètres!$A$1:$I$89,5,0)</f>
        <v>-2.7193891583010558E-13</v>
      </c>
      <c r="DQ122" s="13" t="e">
        <f t="shared" si="97"/>
        <v>#NUM!</v>
      </c>
      <c r="DR122" s="20" t="e">
        <f t="shared" si="70"/>
        <v>#NUM!</v>
      </c>
      <c r="DS122" s="59" t="e">
        <f t="shared" si="71"/>
        <v>#NUM!</v>
      </c>
      <c r="DT122" s="59">
        <f ca="1">AVERAGE(OFFSET($DS$3,0,0,'Données projet'!$E$14+1,1))-AVERAGE(OFFSET($H$3,0,0,'Données projet'!$E$14+1,1))</f>
        <v>350.88566459278962</v>
      </c>
      <c r="DU122" s="59">
        <f t="shared" si="98"/>
        <v>342.18151800581552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1.0894604086847306</v>
      </c>
      <c r="EC122" s="21">
        <f>EXP(-LN(2)/2)*EC121+(1-EXP(-LN(2)/2))/(LN(2)/2)*DW122*DZ122*VLOOKUP('Données projet'!$B$14,Paramètres!$A$1:$I$89,3,0)*0.475*44/12</f>
        <v>9.5378659807427948E-13</v>
      </c>
      <c r="ED122" s="22">
        <f t="shared" si="72"/>
        <v>1.0894604086856843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>
        <f>VLOOKUP(A123,'Données projet'!$A$35:$I$55,2,0)</f>
        <v>303</v>
      </c>
      <c r="L123" s="12">
        <f>VLOOKUP(A123,'Données projet'!$A$35:$I$55,9,0)</f>
        <v>3.7</v>
      </c>
      <c r="M123" s="12">
        <f t="array" ref="M123">INDEX(L:L,MIN(IF(ISNUMBER(L123:L319),ROW(L123:L319),"")))</f>
        <v>3.7</v>
      </c>
      <c r="N123" s="13">
        <f>IF('Données projet'!$A$36&gt;35,N122+M123-V122,IF(A123&lt;'Données projet'!$A$36,$K$205^A123,IF(A123='Données projet'!$A$36,'Données projet'!$B$36,N122+M123-V122)))</f>
        <v>302.99999999999989</v>
      </c>
      <c r="O123" s="13">
        <f>N123*VLOOKUP('Données projet'!$B$9,Paramètres!$A$1:$I$89,3,0)*VLOOKUP('Données projet'!$B$9,Paramètres!$A$1:$I$89,5,0)</f>
        <v>307.2419999999999</v>
      </c>
      <c r="P123" s="13">
        <f t="shared" si="87"/>
        <v>72.692550770207774</v>
      </c>
      <c r="Q123" s="20">
        <f t="shared" si="107"/>
        <v>661.71934259144507</v>
      </c>
      <c r="R123" s="59">
        <f t="shared" si="55"/>
        <v>943.82750333492163</v>
      </c>
      <c r="S123" s="59">
        <f ca="1">AVERAGE(OFFSET($R$3,0,0,'Données projet'!$E$9+1,1))-AVERAGE(OFFSET($H$3,0,0,'Données projet'!$E$9+1,1))</f>
        <v>465.40148250851843</v>
      </c>
      <c r="T123" s="59">
        <f t="shared" si="88"/>
        <v>290.8428650572356</v>
      </c>
      <c r="U123" s="15">
        <f>IF(ISNA(VLOOKUP(A123,'Données projet'!$A$35:$I$55,3,0)),0,VLOOKUP(A123,'Données projet'!$A$35:$I$55,3,0))</f>
        <v>10</v>
      </c>
      <c r="V123" s="15">
        <f>IF(ISNA(VLOOKUP(A123,'Données projet'!$A$35:$I$55,4,0)),0,VLOOKUP(A123,'Données projet'!$A$35:$I$55,4,0))</f>
        <v>303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0.28705835052066425</v>
      </c>
      <c r="AB123" s="21">
        <f>EXP(-LN(2)/2)*AB122+(1-EXP(-LN(2)/2))/(LN(2)/2)*V123*Y123*VLOOKUP('Données projet'!$B$9,Paramètres!$A$1:$I$89,3,0)*0.475*44/12</f>
        <v>1.9714258635080774E-13</v>
      </c>
      <c r="AC123" s="22">
        <f t="shared" si="57"/>
        <v>0.28705835052086137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326.14919999999989</v>
      </c>
      <c r="AK123" s="13">
        <f t="shared" si="89"/>
        <v>76.631393510479626</v>
      </c>
      <c r="AL123" s="20">
        <f t="shared" si="58"/>
        <v>701.50953369741853</v>
      </c>
      <c r="AM123" s="59">
        <f t="shared" si="59"/>
        <v>983.61769444089509</v>
      </c>
      <c r="AN123" s="59">
        <f ca="1">AVERAGE(OFFSET($AM$3,0,0,'Données projet'!$E$10+1,1))-AVERAGE(OFFSET($H$3,0,0,'Données projet'!$E$10+1,1))</f>
        <v>489.34829722967373</v>
      </c>
      <c r="AO123" s="59">
        <f t="shared" si="90"/>
        <v>304.94365539329362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0.30472347978347464</v>
      </c>
      <c r="AW123" s="21">
        <f>EXP(-LN(2)/2)*AW122+(1-EXP(-LN(2)/2))/(LN(2)/2)*AQ123*AT123*VLOOKUP('Données projet'!$B$10,Paramètres!$A$1:$I$89,3,0)*0.475*44/12</f>
        <v>2.0927443781855015E-13</v>
      </c>
      <c r="AX123" s="21">
        <f t="shared" si="60"/>
        <v>0.30472347978368391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5.6843418860808015E-14</v>
      </c>
      <c r="BE123" s="13">
        <f>BD123*VLOOKUP('Données projet'!$B$11,Paramètres!$A$1:$I$89,3,0)*VLOOKUP('Données projet'!$B$11,Paramètres!$A$1:$I$89,5,0)</f>
        <v>4.9658410716801891E-14</v>
      </c>
      <c r="BF123" s="13">
        <f t="shared" si="91"/>
        <v>8.0934058173791862E-13</v>
      </c>
      <c r="BG123" s="20">
        <f t="shared" si="61"/>
        <v>1.4960899118586383E-12</v>
      </c>
      <c r="BH123" s="59">
        <f t="shared" si="62"/>
        <v>282.10816074347809</v>
      </c>
      <c r="BI123" s="59">
        <f ca="1">AVERAGE(OFFSET($BH$3,0,0,'Données projet'!$E$11+1,1))-AVERAGE(OFFSET($H$3,0,0,'Données projet'!$E$11+1,1))</f>
        <v>360.3011551173708</v>
      </c>
      <c r="BJ123" s="59">
        <f t="shared" si="92"/>
        <v>388.50312617855309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0.93116942729179408</v>
      </c>
      <c r="BR123" s="21">
        <f>EXP(-LN(2)/2)*BR122+(1-EXP(-LN(2)/2))/(LN(2)/2)*BL123*BO123*VLOOKUP('Données projet'!$B$11,Paramètres!$A$1:$I$89,3,0)*0.475*44/12</f>
        <v>3.3584834504988412E-13</v>
      </c>
      <c r="BS123" s="22">
        <f t="shared" si="63"/>
        <v>0.93116942729212993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-4.5474735088646412E-13</v>
      </c>
      <c r="DP123" s="17">
        <f>DO123*VLOOKUP('Données projet'!$B$14,Paramètres!$A$1:$I$89,3,0)*VLOOKUP('Données projet'!$B$14,Paramètres!$A$1:$I$89,5,0)</f>
        <v>-2.7193891583010558E-13</v>
      </c>
      <c r="DQ123" s="13" t="e">
        <f t="shared" si="97"/>
        <v>#NUM!</v>
      </c>
      <c r="DR123" s="20" t="e">
        <f t="shared" si="70"/>
        <v>#NUM!</v>
      </c>
      <c r="DS123" s="59" t="e">
        <f t="shared" si="71"/>
        <v>#NUM!</v>
      </c>
      <c r="DT123" s="59">
        <f ca="1">AVERAGE(OFFSET($DS$3,0,0,'Données projet'!$E$14+1,1))-AVERAGE(OFFSET($H$3,0,0,'Données projet'!$E$14+1,1))</f>
        <v>350.88566459278962</v>
      </c>
      <c r="DU123" s="59">
        <f t="shared" si="98"/>
        <v>342.18151800581552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1.0596690565170137</v>
      </c>
      <c r="EC123" s="21">
        <f>EXP(-LN(2)/2)*EC122+(1-EXP(-LN(2)/2))/(LN(2)/2)*DW123*DZ123*VLOOKUP('Données projet'!$B$14,Paramètres!$A$1:$I$89,3,0)*0.475*44/12</f>
        <v>6.7442897130317111E-13</v>
      </c>
      <c r="ED123" s="22">
        <f t="shared" si="72"/>
        <v>1.0596690565176881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-1.1527845344971866E-13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465.40148250851843</v>
      </c>
      <c r="T124" s="59">
        <f t="shared" si="88"/>
        <v>290.8428650572356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0.27920872482993414</v>
      </c>
      <c r="AB124" s="21">
        <f>EXP(-LN(2)/2)*AB123+(1-EXP(-LN(2)/2))/(LN(2)/2)*V124*Y124*VLOOKUP('Données projet'!$B$9,Paramètres!$A$1:$I$89,3,0)*0.475*44/12</f>
        <v>1.3940085966931066E-13</v>
      </c>
      <c r="AC124" s="22">
        <f t="shared" si="57"/>
        <v>0.27920872483007353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-1.223725121235475E-13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489.34829722967373</v>
      </c>
      <c r="AO124" s="59">
        <f t="shared" si="90"/>
        <v>304.94365539329362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0.2963908002040842</v>
      </c>
      <c r="AW124" s="21">
        <f>EXP(-LN(2)/2)*AW123+(1-EXP(-LN(2)/2))/(LN(2)/2)*AQ124*AT124*VLOOKUP('Données projet'!$B$10,Paramètres!$A$1:$I$89,3,0)*0.475*44/12</f>
        <v>1.4797937411049928E-13</v>
      </c>
      <c r="AX124" s="21">
        <f t="shared" si="60"/>
        <v>0.2963908002042322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5.6843418860808015E-14</v>
      </c>
      <c r="BE124" s="13">
        <f>BD124*VLOOKUP('Données projet'!$B$11,Paramètres!$A$1:$I$89,3,0)*VLOOKUP('Données projet'!$B$11,Paramètres!$A$1:$I$89,5,0)</f>
        <v>4.9658410716801891E-14</v>
      </c>
      <c r="BF124" s="13">
        <f t="shared" si="91"/>
        <v>8.0934058173791862E-13</v>
      </c>
      <c r="BG124" s="20">
        <f t="shared" si="61"/>
        <v>1.4960899118586383E-12</v>
      </c>
      <c r="BH124" s="59">
        <f t="shared" si="62"/>
        <v>282.30289239218587</v>
      </c>
      <c r="BI124" s="59">
        <f ca="1">AVERAGE(OFFSET($BH$3,0,0,'Données projet'!$E$11+1,1))-AVERAGE(OFFSET($H$3,0,0,'Données projet'!$E$11+1,1))</f>
        <v>360.3011551173708</v>
      </c>
      <c r="BJ124" s="59">
        <f t="shared" si="92"/>
        <v>388.50312617855309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0.90570655033442804</v>
      </c>
      <c r="BR124" s="21">
        <f>EXP(-LN(2)/2)*BR123+(1-EXP(-LN(2)/2))/(LN(2)/2)*BL124*BO124*VLOOKUP('Données projet'!$B$11,Paramètres!$A$1:$I$89,3,0)*0.475*44/12</f>
        <v>2.3748064223505252E-13</v>
      </c>
      <c r="BS124" s="22">
        <f t="shared" si="63"/>
        <v>0.90570655033466552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-4.5474735088646412E-13</v>
      </c>
      <c r="DP124" s="17">
        <f>DO124*VLOOKUP('Données projet'!$B$14,Paramètres!$A$1:$I$89,3,0)*VLOOKUP('Données projet'!$B$14,Paramètres!$A$1:$I$89,5,0)</f>
        <v>-2.7193891583010558E-13</v>
      </c>
      <c r="DQ124" s="13" t="e">
        <f t="shared" si="97"/>
        <v>#NUM!</v>
      </c>
      <c r="DR124" s="20" t="e">
        <f t="shared" si="70"/>
        <v>#NUM!</v>
      </c>
      <c r="DS124" s="59" t="e">
        <f t="shared" si="71"/>
        <v>#NUM!</v>
      </c>
      <c r="DT124" s="59">
        <f ca="1">AVERAGE(OFFSET($DS$3,0,0,'Données projet'!$E$14+1,1))-AVERAGE(OFFSET($H$3,0,0,'Données projet'!$E$14+1,1))</f>
        <v>350.88566459278962</v>
      </c>
      <c r="DU124" s="59">
        <f t="shared" si="98"/>
        <v>342.18151800581552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1.0306923504409822</v>
      </c>
      <c r="EC124" s="21">
        <f>EXP(-LN(2)/2)*EC123+(1-EXP(-LN(2)/2))/(LN(2)/2)*DW124*DZ124*VLOOKUP('Données projet'!$B$14,Paramètres!$A$1:$I$89,3,0)*0.475*44/12</f>
        <v>4.7689329903713974E-13</v>
      </c>
      <c r="ED124" s="22">
        <f t="shared" si="72"/>
        <v>1.0306923504414591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-1.1527845344971866E-13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465.40148250851843</v>
      </c>
      <c r="T125" s="59">
        <f t="shared" si="88"/>
        <v>290.8428650572356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0.27157374756651087</v>
      </c>
      <c r="AB125" s="21">
        <f>EXP(-LN(2)/2)*AB124+(1-EXP(-LN(2)/2))/(LN(2)/2)*V125*Y125*VLOOKUP('Données projet'!$B$9,Paramètres!$A$1:$I$89,3,0)*0.475*44/12</f>
        <v>9.857129317540387E-14</v>
      </c>
      <c r="AC125" s="22">
        <f t="shared" si="57"/>
        <v>0.27157374756660946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-1.223725121235475E-13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489.34829722967373</v>
      </c>
      <c r="AO125" s="59">
        <f t="shared" si="90"/>
        <v>304.94365539329362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0.28828597818598872</v>
      </c>
      <c r="AW125" s="21">
        <f>EXP(-LN(2)/2)*AW124+(1-EXP(-LN(2)/2))/(LN(2)/2)*AQ125*AT125*VLOOKUP('Données projet'!$B$10,Paramètres!$A$1:$I$89,3,0)*0.475*44/12</f>
        <v>1.0463721890927507E-13</v>
      </c>
      <c r="AX125" s="21">
        <f t="shared" si="60"/>
        <v>0.28828597818609336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5.6843418860808015E-14</v>
      </c>
      <c r="BE125" s="13">
        <f>BD125*VLOOKUP('Données projet'!$B$11,Paramètres!$A$1:$I$89,3,0)*VLOOKUP('Données projet'!$B$11,Paramètres!$A$1:$I$89,5,0)</f>
        <v>4.9658410716801891E-14</v>
      </c>
      <c r="BF125" s="13">
        <f t="shared" si="91"/>
        <v>8.0934058173791862E-13</v>
      </c>
      <c r="BG125" s="20">
        <f t="shared" si="61"/>
        <v>1.4960899118586383E-12</v>
      </c>
      <c r="BH125" s="59">
        <f t="shared" si="62"/>
        <v>282.49424588214328</v>
      </c>
      <c r="BI125" s="59">
        <f ca="1">AVERAGE(OFFSET($BH$3,0,0,'Données projet'!$E$11+1,1))-AVERAGE(OFFSET($H$3,0,0,'Données projet'!$E$11+1,1))</f>
        <v>360.3011551173708</v>
      </c>
      <c r="BJ125" s="59">
        <f t="shared" si="92"/>
        <v>388.50312617855309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0.88093995708649564</v>
      </c>
      <c r="BR125" s="21">
        <f>EXP(-LN(2)/2)*BR124+(1-EXP(-LN(2)/2))/(LN(2)/2)*BL125*BO125*VLOOKUP('Données projet'!$B$11,Paramètres!$A$1:$I$89,3,0)*0.475*44/12</f>
        <v>1.6792417252494206E-13</v>
      </c>
      <c r="BS125" s="22">
        <f t="shared" si="63"/>
        <v>0.88093995708666362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-4.5474735088646412E-13</v>
      </c>
      <c r="DP125" s="17">
        <f>DO125*VLOOKUP('Données projet'!$B$14,Paramètres!$A$1:$I$89,3,0)*VLOOKUP('Données projet'!$B$14,Paramètres!$A$1:$I$89,5,0)</f>
        <v>-2.7193891583010558E-13</v>
      </c>
      <c r="DQ125" s="13" t="e">
        <f t="shared" si="97"/>
        <v>#NUM!</v>
      </c>
      <c r="DR125" s="20" t="e">
        <f t="shared" si="70"/>
        <v>#NUM!</v>
      </c>
      <c r="DS125" s="59" t="e">
        <f t="shared" si="71"/>
        <v>#NUM!</v>
      </c>
      <c r="DT125" s="59">
        <f ca="1">AVERAGE(OFFSET($DS$3,0,0,'Données projet'!$E$14+1,1))-AVERAGE(OFFSET($H$3,0,0,'Données projet'!$E$14+1,1))</f>
        <v>350.88566459278962</v>
      </c>
      <c r="DU125" s="59">
        <f t="shared" si="98"/>
        <v>342.18151800581552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1.0025080139164184</v>
      </c>
      <c r="EC125" s="21">
        <f>EXP(-LN(2)/2)*EC124+(1-EXP(-LN(2)/2))/(LN(2)/2)*DW125*DZ125*VLOOKUP('Données projet'!$B$14,Paramètres!$A$1:$I$89,3,0)*0.475*44/12</f>
        <v>3.3721448565158556E-13</v>
      </c>
      <c r="ED125" s="22">
        <f t="shared" si="72"/>
        <v>1.0025080139167557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-1.1527845344971866E-13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465.40148250851843</v>
      </c>
      <c r="T126" s="59">
        <f t="shared" si="88"/>
        <v>290.8428650572356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0.26414754915786193</v>
      </c>
      <c r="AB126" s="21">
        <f>EXP(-LN(2)/2)*AB125+(1-EXP(-LN(2)/2))/(LN(2)/2)*V126*Y126*VLOOKUP('Données projet'!$B$9,Paramètres!$A$1:$I$89,3,0)*0.475*44/12</f>
        <v>6.9700429834655329E-14</v>
      </c>
      <c r="AC126" s="22">
        <f t="shared" si="57"/>
        <v>0.26414754915793165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-1.223725121235475E-13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489.34829722967373</v>
      </c>
      <c r="AO126" s="59">
        <f t="shared" si="90"/>
        <v>304.94365539329362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0.28040278295219218</v>
      </c>
      <c r="AW126" s="21">
        <f>EXP(-LN(2)/2)*AW125+(1-EXP(-LN(2)/2))/(LN(2)/2)*AQ126*AT126*VLOOKUP('Données projet'!$B$10,Paramètres!$A$1:$I$89,3,0)*0.475*44/12</f>
        <v>7.3989687055249642E-14</v>
      </c>
      <c r="AX126" s="21">
        <f t="shared" si="60"/>
        <v>0.28040278295226617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5.6843418860808015E-14</v>
      </c>
      <c r="BE126" s="13">
        <f>BD126*VLOOKUP('Données projet'!$B$11,Paramètres!$A$1:$I$89,3,0)*VLOOKUP('Données projet'!$B$11,Paramètres!$A$1:$I$89,5,0)</f>
        <v>4.9658410716801891E-14</v>
      </c>
      <c r="BF126" s="13">
        <f t="shared" si="91"/>
        <v>8.0934058173791862E-13</v>
      </c>
      <c r="BG126" s="20">
        <f t="shared" si="61"/>
        <v>1.4960899118586383E-12</v>
      </c>
      <c r="BH126" s="59">
        <f t="shared" si="62"/>
        <v>282.68227981685214</v>
      </c>
      <c r="BI126" s="59">
        <f ca="1">AVERAGE(OFFSET($BH$3,0,0,'Données projet'!$E$11+1,1))-AVERAGE(OFFSET($H$3,0,0,'Données projet'!$E$11+1,1))</f>
        <v>360.3011551173708</v>
      </c>
      <c r="BJ126" s="59">
        <f t="shared" si="92"/>
        <v>388.50312617855309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0.85685060763334653</v>
      </c>
      <c r="BR126" s="21">
        <f>EXP(-LN(2)/2)*BR125+(1-EXP(-LN(2)/2))/(LN(2)/2)*BL126*BO126*VLOOKUP('Données projet'!$B$11,Paramètres!$A$1:$I$89,3,0)*0.475*44/12</f>
        <v>1.1874032111752626E-13</v>
      </c>
      <c r="BS126" s="22">
        <f t="shared" si="63"/>
        <v>0.85685060763346532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-4.5474735088646412E-13</v>
      </c>
      <c r="DP126" s="17">
        <f>DO126*VLOOKUP('Données projet'!$B$14,Paramètres!$A$1:$I$89,3,0)*VLOOKUP('Données projet'!$B$14,Paramètres!$A$1:$I$89,5,0)</f>
        <v>-2.7193891583010558E-13</v>
      </c>
      <c r="DQ126" s="13" t="e">
        <f t="shared" si="97"/>
        <v>#NUM!</v>
      </c>
      <c r="DR126" s="20" t="e">
        <f t="shared" si="70"/>
        <v>#NUM!</v>
      </c>
      <c r="DS126" s="59" t="e">
        <f t="shared" si="71"/>
        <v>#NUM!</v>
      </c>
      <c r="DT126" s="59">
        <f ca="1">AVERAGE(OFFSET($DS$3,0,0,'Données projet'!$E$14+1,1))-AVERAGE(OFFSET($H$3,0,0,'Données projet'!$E$14+1,1))</f>
        <v>350.88566459278962</v>
      </c>
      <c r="DU126" s="59">
        <f t="shared" si="98"/>
        <v>342.18151800581552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0.97509437955626876</v>
      </c>
      <c r="EC126" s="21">
        <f>EXP(-LN(2)/2)*EC125+(1-EXP(-LN(2)/2))/(LN(2)/2)*DW126*DZ126*VLOOKUP('Données projet'!$B$14,Paramètres!$A$1:$I$89,3,0)*0.475*44/12</f>
        <v>2.3844664951856987E-13</v>
      </c>
      <c r="ED126" s="22">
        <f t="shared" si="72"/>
        <v>0.97509437955650724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-1.1527845344971866E-13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465.40148250851843</v>
      </c>
      <c r="T127" s="59">
        <f t="shared" si="88"/>
        <v>290.8428650572356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0.2569244205352243</v>
      </c>
      <c r="AB127" s="21">
        <f>EXP(-LN(2)/2)*AB126+(1-EXP(-LN(2)/2))/(LN(2)/2)*V127*Y127*VLOOKUP('Données projet'!$B$9,Paramètres!$A$1:$I$89,3,0)*0.475*44/12</f>
        <v>4.9285646587701935E-14</v>
      </c>
      <c r="AC127" s="22">
        <f t="shared" si="57"/>
        <v>0.25692442053527359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-1.223725121235475E-13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489.34829722967373</v>
      </c>
      <c r="AO127" s="59">
        <f t="shared" si="90"/>
        <v>304.94365539329362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0.27273515410662297</v>
      </c>
      <c r="AW127" s="21">
        <f>EXP(-LN(2)/2)*AW126+(1-EXP(-LN(2)/2))/(LN(2)/2)*AQ127*AT127*VLOOKUP('Données projet'!$B$10,Paramètres!$A$1:$I$89,3,0)*0.475*44/12</f>
        <v>5.2318609454637537E-14</v>
      </c>
      <c r="AX127" s="21">
        <f t="shared" si="60"/>
        <v>0.27273515410667526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5.6843418860808015E-14</v>
      </c>
      <c r="BE127" s="13">
        <f>BD127*VLOOKUP('Données projet'!$B$11,Paramètres!$A$1:$I$89,3,0)*VLOOKUP('Données projet'!$B$11,Paramètres!$A$1:$I$89,5,0)</f>
        <v>4.9658410716801891E-14</v>
      </c>
      <c r="BF127" s="13">
        <f t="shared" si="91"/>
        <v>8.0934058173791862E-13</v>
      </c>
      <c r="BG127" s="20">
        <f t="shared" si="61"/>
        <v>1.4960899118586383E-12</v>
      </c>
      <c r="BH127" s="59">
        <f t="shared" si="62"/>
        <v>282.86705178317482</v>
      </c>
      <c r="BI127" s="59">
        <f ca="1">AVERAGE(OFFSET($BH$3,0,0,'Données projet'!$E$11+1,1))-AVERAGE(OFFSET($H$3,0,0,'Données projet'!$E$11+1,1))</f>
        <v>360.3011551173708</v>
      </c>
      <c r="BJ127" s="59">
        <f t="shared" si="92"/>
        <v>388.50312617855309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0.8334199827077976</v>
      </c>
      <c r="BR127" s="21">
        <f>EXP(-LN(2)/2)*BR126+(1-EXP(-LN(2)/2))/(LN(2)/2)*BL127*BO127*VLOOKUP('Données projet'!$B$11,Paramètres!$A$1:$I$89,3,0)*0.475*44/12</f>
        <v>8.3962086262471031E-14</v>
      </c>
      <c r="BS127" s="22">
        <f t="shared" si="63"/>
        <v>0.83341998270788153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-4.5474735088646412E-13</v>
      </c>
      <c r="DP127" s="17">
        <f>DO127*VLOOKUP('Données projet'!$B$14,Paramètres!$A$1:$I$89,3,0)*VLOOKUP('Données projet'!$B$14,Paramètres!$A$1:$I$89,5,0)</f>
        <v>-2.7193891583010558E-13</v>
      </c>
      <c r="DQ127" s="13" t="e">
        <f t="shared" si="97"/>
        <v>#NUM!</v>
      </c>
      <c r="DR127" s="20" t="e">
        <f t="shared" si="70"/>
        <v>#NUM!</v>
      </c>
      <c r="DS127" s="59" t="e">
        <f t="shared" si="71"/>
        <v>#NUM!</v>
      </c>
      <c r="DT127" s="59">
        <f ca="1">AVERAGE(OFFSET($DS$3,0,0,'Données projet'!$E$14+1,1))-AVERAGE(OFFSET($H$3,0,0,'Données projet'!$E$14+1,1))</f>
        <v>350.88566459278962</v>
      </c>
      <c r="DU127" s="59">
        <f t="shared" si="98"/>
        <v>342.18151800581552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0.94843037246931783</v>
      </c>
      <c r="EC127" s="21">
        <f>EXP(-LN(2)/2)*EC126+(1-EXP(-LN(2)/2))/(LN(2)/2)*DW127*DZ127*VLOOKUP('Données projet'!$B$14,Paramètres!$A$1:$I$89,3,0)*0.475*44/12</f>
        <v>1.6860724282579278E-13</v>
      </c>
      <c r="ED127" s="22">
        <f t="shared" si="72"/>
        <v>0.94843037246948647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-1.1527845344971866E-13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465.40148250851843</v>
      </c>
      <c r="T128" s="59">
        <f t="shared" si="88"/>
        <v>290.8428650572356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0.24989880874462053</v>
      </c>
      <c r="AB128" s="21">
        <f>EXP(-LN(2)/2)*AB127+(1-EXP(-LN(2)/2))/(LN(2)/2)*V128*Y128*VLOOKUP('Données projet'!$B$9,Paramètres!$A$1:$I$89,3,0)*0.475*44/12</f>
        <v>3.4850214917327665E-14</v>
      </c>
      <c r="AC128" s="22">
        <f t="shared" si="57"/>
        <v>0.24989880874465539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-1.223725121235475E-13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489.34829722967373</v>
      </c>
      <c r="AO128" s="59">
        <f t="shared" si="90"/>
        <v>304.94365539329362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0.26527719697505897</v>
      </c>
      <c r="AW128" s="21">
        <f>EXP(-LN(2)/2)*AW127+(1-EXP(-LN(2)/2))/(LN(2)/2)*AQ128*AT128*VLOOKUP('Données projet'!$B$10,Paramètres!$A$1:$I$89,3,0)*0.475*44/12</f>
        <v>3.6994843527624821E-14</v>
      </c>
      <c r="AX128" s="21">
        <f t="shared" si="60"/>
        <v>0.26527719697509594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5.6843418860808015E-14</v>
      </c>
      <c r="BE128" s="13">
        <f>BD128*VLOOKUP('Données projet'!$B$11,Paramètres!$A$1:$I$89,3,0)*VLOOKUP('Données projet'!$B$11,Paramètres!$A$1:$I$89,5,0)</f>
        <v>4.9658410716801891E-14</v>
      </c>
      <c r="BF128" s="13">
        <f t="shared" si="91"/>
        <v>8.0934058173791862E-13</v>
      </c>
      <c r="BG128" s="20">
        <f t="shared" si="61"/>
        <v>1.4960899118586383E-12</v>
      </c>
      <c r="BH128" s="59">
        <f t="shared" si="62"/>
        <v>283.04861836896998</v>
      </c>
      <c r="BI128" s="59">
        <f ca="1">AVERAGE(OFFSET($BH$3,0,0,'Données projet'!$E$11+1,1))-AVERAGE(OFFSET($H$3,0,0,'Données projet'!$E$11+1,1))</f>
        <v>360.3011551173708</v>
      </c>
      <c r="BJ128" s="59">
        <f t="shared" si="92"/>
        <v>388.50312617855309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0.81063006945300076</v>
      </c>
      <c r="BR128" s="21">
        <f>EXP(-LN(2)/2)*BR127+(1-EXP(-LN(2)/2))/(LN(2)/2)*BL128*BO128*VLOOKUP('Données projet'!$B$11,Paramètres!$A$1:$I$89,3,0)*0.475*44/12</f>
        <v>5.9370160558763129E-14</v>
      </c>
      <c r="BS128" s="22">
        <f t="shared" si="63"/>
        <v>0.81063006945306015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-4.5474735088646412E-13</v>
      </c>
      <c r="DP128" s="17">
        <f>DO128*VLOOKUP('Données projet'!$B$14,Paramètres!$A$1:$I$89,3,0)*VLOOKUP('Données projet'!$B$14,Paramètres!$A$1:$I$89,5,0)</f>
        <v>-2.7193891583010558E-13</v>
      </c>
      <c r="DQ128" s="13" t="e">
        <f t="shared" si="97"/>
        <v>#NUM!</v>
      </c>
      <c r="DR128" s="20" t="e">
        <f t="shared" si="70"/>
        <v>#NUM!</v>
      </c>
      <c r="DS128" s="59" t="e">
        <f t="shared" si="71"/>
        <v>#NUM!</v>
      </c>
      <c r="DT128" s="59">
        <f ca="1">AVERAGE(OFFSET($DS$3,0,0,'Données projet'!$E$14+1,1))-AVERAGE(OFFSET($H$3,0,0,'Données projet'!$E$14+1,1))</f>
        <v>350.88566459278962</v>
      </c>
      <c r="DU128" s="59">
        <f t="shared" si="98"/>
        <v>342.18151800581552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0.92249549405835873</v>
      </c>
      <c r="EC128" s="21">
        <f>EXP(-LN(2)/2)*EC127+(1-EXP(-LN(2)/2))/(LN(2)/2)*DW128*DZ128*VLOOKUP('Données projet'!$B$14,Paramètres!$A$1:$I$89,3,0)*0.475*44/12</f>
        <v>1.1922332475928494E-13</v>
      </c>
      <c r="ED128" s="22">
        <f t="shared" si="72"/>
        <v>0.92249549405847797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-1.1527845344971866E-13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465.40148250851843</v>
      </c>
      <c r="T129" s="59">
        <f t="shared" si="88"/>
        <v>290.8428650572356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0.24306531267789169</v>
      </c>
      <c r="AB129" s="21">
        <f>EXP(-LN(2)/2)*AB128+(1-EXP(-LN(2)/2))/(LN(2)/2)*V129*Y129*VLOOKUP('Données projet'!$B$9,Paramètres!$A$1:$I$89,3,0)*0.475*44/12</f>
        <v>2.4642823293850967E-14</v>
      </c>
      <c r="AC129" s="22">
        <f t="shared" si="57"/>
        <v>0.24306531267791634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-1.223725121235475E-13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489.34829722967373</v>
      </c>
      <c r="AO129" s="59">
        <f t="shared" si="90"/>
        <v>304.94365539329362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0.25802317807345448</v>
      </c>
      <c r="AW129" s="21">
        <f>EXP(-LN(2)/2)*AW128+(1-EXP(-LN(2)/2))/(LN(2)/2)*AQ129*AT129*VLOOKUP('Données projet'!$B$10,Paramètres!$A$1:$I$89,3,0)*0.475*44/12</f>
        <v>2.6159304727318769E-14</v>
      </c>
      <c r="AX129" s="21">
        <f t="shared" si="60"/>
        <v>0.25802317807348063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5.6843418860808015E-14</v>
      </c>
      <c r="BE129" s="13">
        <f>BD129*VLOOKUP('Données projet'!$B$11,Paramètres!$A$1:$I$89,3,0)*VLOOKUP('Données projet'!$B$11,Paramètres!$A$1:$I$89,5,0)</f>
        <v>4.9658410716801891E-14</v>
      </c>
      <c r="BF129" s="13">
        <f t="shared" si="91"/>
        <v>8.0934058173791862E-13</v>
      </c>
      <c r="BG129" s="20">
        <f t="shared" si="61"/>
        <v>1.4960899118586383E-12</v>
      </c>
      <c r="BH129" s="59">
        <f t="shared" si="62"/>
        <v>283.22703518042368</v>
      </c>
      <c r="BI129" s="59">
        <f ca="1">AVERAGE(OFFSET($BH$3,0,0,'Données projet'!$E$11+1,1))-AVERAGE(OFFSET($H$3,0,0,'Données projet'!$E$11+1,1))</f>
        <v>360.3011551173708</v>
      </c>
      <c r="BJ129" s="59">
        <f t="shared" si="92"/>
        <v>388.50312617855309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0.78846334757462577</v>
      </c>
      <c r="BR129" s="21">
        <f>EXP(-LN(2)/2)*BR128+(1-EXP(-LN(2)/2))/(LN(2)/2)*BL129*BO129*VLOOKUP('Données projet'!$B$11,Paramètres!$A$1:$I$89,3,0)*0.475*44/12</f>
        <v>4.1981043131235515E-14</v>
      </c>
      <c r="BS129" s="22">
        <f t="shared" si="63"/>
        <v>0.78846334757466774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-4.5474735088646412E-13</v>
      </c>
      <c r="DP129" s="17">
        <f>DO129*VLOOKUP('Données projet'!$B$14,Paramètres!$A$1:$I$89,3,0)*VLOOKUP('Données projet'!$B$14,Paramètres!$A$1:$I$89,5,0)</f>
        <v>-2.7193891583010558E-13</v>
      </c>
      <c r="DQ129" s="13" t="e">
        <f t="shared" si="97"/>
        <v>#NUM!</v>
      </c>
      <c r="DR129" s="20" t="e">
        <f t="shared" si="70"/>
        <v>#NUM!</v>
      </c>
      <c r="DS129" s="59" t="e">
        <f t="shared" si="71"/>
        <v>#NUM!</v>
      </c>
      <c r="DT129" s="59">
        <f ca="1">AVERAGE(OFFSET($DS$3,0,0,'Données projet'!$E$14+1,1))-AVERAGE(OFFSET($H$3,0,0,'Données projet'!$E$14+1,1))</f>
        <v>350.88566459278962</v>
      </c>
      <c r="DU129" s="59">
        <f t="shared" si="98"/>
        <v>342.18151800581552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0.89726980626140329</v>
      </c>
      <c r="EC129" s="21">
        <f>EXP(-LN(2)/2)*EC128+(1-EXP(-LN(2)/2))/(LN(2)/2)*DW129*DZ129*VLOOKUP('Données projet'!$B$14,Paramètres!$A$1:$I$89,3,0)*0.475*44/12</f>
        <v>8.4303621412896389E-14</v>
      </c>
      <c r="ED129" s="22">
        <f t="shared" si="72"/>
        <v>0.89726980626148756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-1.1527845344971866E-13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465.40148250851843</v>
      </c>
      <c r="T130" s="59">
        <f t="shared" si="88"/>
        <v>290.8428650572356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0.23641867892046547</v>
      </c>
      <c r="AB130" s="21">
        <f>EXP(-LN(2)/2)*AB129+(1-EXP(-LN(2)/2))/(LN(2)/2)*V130*Y130*VLOOKUP('Données projet'!$B$9,Paramètres!$A$1:$I$89,3,0)*0.475*44/12</f>
        <v>1.7425107458663832E-14</v>
      </c>
      <c r="AC130" s="22">
        <f t="shared" si="57"/>
        <v>0.23641867892048291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-1.223725121235475E-13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489.34829722967373</v>
      </c>
      <c r="AO130" s="59">
        <f t="shared" si="90"/>
        <v>304.94365539329362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0.25096752070018663</v>
      </c>
      <c r="AW130" s="21">
        <f>EXP(-LN(2)/2)*AW129+(1-EXP(-LN(2)/2))/(LN(2)/2)*AQ130*AT130*VLOOKUP('Données projet'!$B$10,Paramètres!$A$1:$I$89,3,0)*0.475*44/12</f>
        <v>1.8497421763812411E-14</v>
      </c>
      <c r="AX130" s="21">
        <f t="shared" si="60"/>
        <v>0.25096752070020512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5.6843418860808015E-14</v>
      </c>
      <c r="BE130" s="13">
        <f>BD130*VLOOKUP('Données projet'!$B$11,Paramètres!$A$1:$I$89,3,0)*VLOOKUP('Données projet'!$B$11,Paramètres!$A$1:$I$89,5,0)</f>
        <v>4.9658410716801891E-14</v>
      </c>
      <c r="BF130" s="13">
        <f t="shared" si="91"/>
        <v>8.0934058173791862E-13</v>
      </c>
      <c r="BG130" s="20">
        <f t="shared" si="61"/>
        <v>1.4960899118586383E-12</v>
      </c>
      <c r="BH130" s="59">
        <f t="shared" si="62"/>
        <v>283.40235685907891</v>
      </c>
      <c r="BI130" s="59">
        <f ca="1">AVERAGE(OFFSET($BH$3,0,0,'Données projet'!$E$11+1,1))-AVERAGE(OFFSET($H$3,0,0,'Données projet'!$E$11+1,1))</f>
        <v>360.3011551173708</v>
      </c>
      <c r="BJ130" s="59">
        <f t="shared" si="92"/>
        <v>388.50312617855309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0.76690277587171229</v>
      </c>
      <c r="BR130" s="21">
        <f>EXP(-LN(2)/2)*BR129+(1-EXP(-LN(2)/2))/(LN(2)/2)*BL130*BO130*VLOOKUP('Données projet'!$B$11,Paramètres!$A$1:$I$89,3,0)*0.475*44/12</f>
        <v>2.9685080279381565E-14</v>
      </c>
      <c r="BS130" s="22">
        <f t="shared" si="63"/>
        <v>0.76690277587174194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-4.5474735088646412E-13</v>
      </c>
      <c r="DP130" s="17">
        <f>DO130*VLOOKUP('Données projet'!$B$14,Paramètres!$A$1:$I$89,3,0)*VLOOKUP('Données projet'!$B$14,Paramètres!$A$1:$I$89,5,0)</f>
        <v>-2.7193891583010558E-13</v>
      </c>
      <c r="DQ130" s="13" t="e">
        <f t="shared" si="97"/>
        <v>#NUM!</v>
      </c>
      <c r="DR130" s="20" t="e">
        <f t="shared" si="70"/>
        <v>#NUM!</v>
      </c>
      <c r="DS130" s="59" t="e">
        <f t="shared" si="71"/>
        <v>#NUM!</v>
      </c>
      <c r="DT130" s="59">
        <f ca="1">AVERAGE(OFFSET($DS$3,0,0,'Données projet'!$E$14+1,1))-AVERAGE(OFFSET($H$3,0,0,'Données projet'!$E$14+1,1))</f>
        <v>350.88566459278962</v>
      </c>
      <c r="DU130" s="59">
        <f t="shared" si="98"/>
        <v>342.18151800581552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0.8727339162238168</v>
      </c>
      <c r="EC130" s="21">
        <f>EXP(-LN(2)/2)*EC129+(1-EXP(-LN(2)/2))/(LN(2)/2)*DW130*DZ130*VLOOKUP('Données projet'!$B$14,Paramètres!$A$1:$I$89,3,0)*0.475*44/12</f>
        <v>5.9611662379642468E-14</v>
      </c>
      <c r="ED130" s="22">
        <f t="shared" si="72"/>
        <v>0.87273391622387642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-1.1527845344971866E-13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465.40148250851843</v>
      </c>
      <c r="T131" s="59">
        <f t="shared" si="88"/>
        <v>290.8428650572356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0.22995379771266736</v>
      </c>
      <c r="AB131" s="21">
        <f>EXP(-LN(2)/2)*AB130+(1-EXP(-LN(2)/2))/(LN(2)/2)*V131*Y131*VLOOKUP('Données projet'!$B$9,Paramètres!$A$1:$I$89,3,0)*0.475*44/12</f>
        <v>1.2321411646925484E-14</v>
      </c>
      <c r="AC131" s="22">
        <f t="shared" si="57"/>
        <v>0.22995379771267968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-1.223725121235475E-13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489.34829722967373</v>
      </c>
      <c r="AO131" s="59">
        <f t="shared" si="90"/>
        <v>304.94365539329362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0.24410480064883172</v>
      </c>
      <c r="AW131" s="21">
        <f>EXP(-LN(2)/2)*AW130+(1-EXP(-LN(2)/2))/(LN(2)/2)*AQ131*AT131*VLOOKUP('Données projet'!$B$10,Paramètres!$A$1:$I$89,3,0)*0.475*44/12</f>
        <v>1.3079652363659384E-14</v>
      </c>
      <c r="AX131" s="21">
        <f t="shared" si="60"/>
        <v>0.24410480064884479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5.6843418860808015E-14</v>
      </c>
      <c r="BE131" s="13">
        <f>BD131*VLOOKUP('Données projet'!$B$11,Paramètres!$A$1:$I$89,3,0)*VLOOKUP('Données projet'!$B$11,Paramètres!$A$1:$I$89,5,0)</f>
        <v>4.9658410716801891E-14</v>
      </c>
      <c r="BF131" s="13">
        <f t="shared" si="91"/>
        <v>8.0934058173791862E-13</v>
      </c>
      <c r="BG131" s="20">
        <f t="shared" si="61"/>
        <v>1.4960899118586383E-12</v>
      </c>
      <c r="BH131" s="59">
        <f t="shared" si="62"/>
        <v>283.57463709857001</v>
      </c>
      <c r="BI131" s="59">
        <f ca="1">AVERAGE(OFFSET($BH$3,0,0,'Données projet'!$E$11+1,1))-AVERAGE(OFFSET($H$3,0,0,'Données projet'!$E$11+1,1))</f>
        <v>360.3011551173708</v>
      </c>
      <c r="BJ131" s="59">
        <f t="shared" si="92"/>
        <v>388.50312617855309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0.74593177913583608</v>
      </c>
      <c r="BR131" s="21">
        <f>EXP(-LN(2)/2)*BR130+(1-EXP(-LN(2)/2))/(LN(2)/2)*BL131*BO131*VLOOKUP('Données projet'!$B$11,Paramètres!$A$1:$I$89,3,0)*0.475*44/12</f>
        <v>2.0990521565617758E-14</v>
      </c>
      <c r="BS131" s="22">
        <f t="shared" si="63"/>
        <v>0.74593177913585706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-4.5474735088646412E-13</v>
      </c>
      <c r="DP131" s="17">
        <f>DO131*VLOOKUP('Données projet'!$B$14,Paramètres!$A$1:$I$89,3,0)*VLOOKUP('Données projet'!$B$14,Paramètres!$A$1:$I$89,5,0)</f>
        <v>-2.7193891583010558E-13</v>
      </c>
      <c r="DQ131" s="13" t="e">
        <f t="shared" si="97"/>
        <v>#NUM!</v>
      </c>
      <c r="DR131" s="20" t="e">
        <f t="shared" si="70"/>
        <v>#NUM!</v>
      </c>
      <c r="DS131" s="59" t="e">
        <f t="shared" si="71"/>
        <v>#NUM!</v>
      </c>
      <c r="DT131" s="59">
        <f ca="1">AVERAGE(OFFSET($DS$3,0,0,'Données projet'!$E$14+1,1))-AVERAGE(OFFSET($H$3,0,0,'Données projet'!$E$14+1,1))</f>
        <v>350.88566459278962</v>
      </c>
      <c r="DU131" s="59">
        <f t="shared" si="98"/>
        <v>342.18151800581552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0.84886896138959456</v>
      </c>
      <c r="EC131" s="21">
        <f>EXP(-LN(2)/2)*EC130+(1-EXP(-LN(2)/2))/(LN(2)/2)*DW131*DZ131*VLOOKUP('Données projet'!$B$14,Paramètres!$A$1:$I$89,3,0)*0.475*44/12</f>
        <v>4.2151810706448194E-14</v>
      </c>
      <c r="ED131" s="22">
        <f t="shared" si="72"/>
        <v>0.84886896138963674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-1.1527845344971866E-13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465.40148250851843</v>
      </c>
      <c r="T132" s="59">
        <f t="shared" si="88"/>
        <v>290.8428650572356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0.22366569902146982</v>
      </c>
      <c r="AB132" s="21">
        <f>EXP(-LN(2)/2)*AB131+(1-EXP(-LN(2)/2))/(LN(2)/2)*V132*Y132*VLOOKUP('Données projet'!$B$9,Paramètres!$A$1:$I$89,3,0)*0.475*44/12</f>
        <v>8.7125537293319161E-15</v>
      </c>
      <c r="AC132" s="22">
        <f t="shared" ref="AC132:AC153" si="111">SUM(Z132:AB132)</f>
        <v>0.22366569902147854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-1.223725121235475E-13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489.34829722967373</v>
      </c>
      <c r="AO132" s="59">
        <f t="shared" si="90"/>
        <v>304.94365539329362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0.23742974203817585</v>
      </c>
      <c r="AW132" s="21">
        <f>EXP(-LN(2)/2)*AW131+(1-EXP(-LN(2)/2))/(LN(2)/2)*AQ132*AT132*VLOOKUP('Données projet'!$B$10,Paramètres!$A$1:$I$89,3,0)*0.475*44/12</f>
        <v>9.2487108819062053E-15</v>
      </c>
      <c r="AX132" s="21">
        <f t="shared" ref="AX132:AX153" si="114">SUM(AU132:AW132)</f>
        <v>0.23742974203818509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5.6843418860808015E-14</v>
      </c>
      <c r="BE132" s="13">
        <f>BD132*VLOOKUP('Données projet'!$B$11,Paramètres!$A$1:$I$89,3,0)*VLOOKUP('Données projet'!$B$11,Paramètres!$A$1:$I$89,5,0)</f>
        <v>4.9658410716801891E-14</v>
      </c>
      <c r="BF132" s="13">
        <f t="shared" si="91"/>
        <v>8.0934058173791862E-13</v>
      </c>
      <c r="BG132" s="20">
        <f t="shared" ref="BG132:BG153" si="115">(BE132+BF132)*0.475*44/12</f>
        <v>1.4960899118586383E-12</v>
      </c>
      <c r="BH132" s="59">
        <f t="shared" ref="BH132:BH195" si="116">BG132+(AY132+AZ132)*44/12</f>
        <v>283.74392866106683</v>
      </c>
      <c r="BI132" s="59">
        <f ca="1">AVERAGE(OFFSET($BH$3,0,0,'Données projet'!$E$11+1,1))-AVERAGE(OFFSET($H$3,0,0,'Données projet'!$E$11+1,1))</f>
        <v>360.3011551173708</v>
      </c>
      <c r="BJ132" s="59">
        <f t="shared" si="92"/>
        <v>388.50312617855309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0.72553423540851925</v>
      </c>
      <c r="BR132" s="21">
        <f>EXP(-LN(2)/2)*BR131+(1-EXP(-LN(2)/2))/(LN(2)/2)*BL132*BO132*VLOOKUP('Données projet'!$B$11,Paramètres!$A$1:$I$89,3,0)*0.475*44/12</f>
        <v>1.4842540139690782E-14</v>
      </c>
      <c r="BS132" s="22">
        <f t="shared" ref="BS132:BS153" si="117">SUM(BP132:BR132)</f>
        <v>0.72553423540853412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-4.5474735088646412E-13</v>
      </c>
      <c r="DP132" s="17">
        <f>DO132*VLOOKUP('Données projet'!$B$14,Paramètres!$A$1:$I$89,3,0)*VLOOKUP('Données projet'!$B$14,Paramètres!$A$1:$I$89,5,0)</f>
        <v>-2.7193891583010558E-13</v>
      </c>
      <c r="DQ132" s="13" t="e">
        <f t="shared" si="97"/>
        <v>#NUM!</v>
      </c>
      <c r="DR132" s="20" t="e">
        <f t="shared" ref="DR132:DR153" si="124">(DP132+DQ132)*0.475*44/12</f>
        <v>#NUM!</v>
      </c>
      <c r="DS132" s="59" t="e">
        <f t="shared" ref="DS132:DS195" si="125">DR132+(DJ132+DK132)*44/12</f>
        <v>#NUM!</v>
      </c>
      <c r="DT132" s="59">
        <f ca="1">AVERAGE(OFFSET($DS$3,0,0,'Données projet'!$E$14+1,1))-AVERAGE(OFFSET($H$3,0,0,'Données projet'!$E$14+1,1))</f>
        <v>350.88566459278962</v>
      </c>
      <c r="DU132" s="59">
        <f t="shared" si="98"/>
        <v>342.18151800581552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0.82565659500031752</v>
      </c>
      <c r="EC132" s="21">
        <f>EXP(-LN(2)/2)*EC131+(1-EXP(-LN(2)/2))/(LN(2)/2)*DW132*DZ132*VLOOKUP('Données projet'!$B$14,Paramètres!$A$1:$I$89,3,0)*0.475*44/12</f>
        <v>2.9805831189821234E-14</v>
      </c>
      <c r="ED132" s="22">
        <f t="shared" ref="ED132:ED153" si="126">SUM(EA132:EC132)</f>
        <v>0.82565659500034727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-1.1527845344971866E-13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465.40148250851843</v>
      </c>
      <c r="T133" s="59">
        <f t="shared" ref="T133:T196" si="142">$T$3</f>
        <v>290.8428650572356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0.21754954871965981</v>
      </c>
      <c r="AB133" s="21">
        <f>EXP(-LN(2)/2)*AB132+(1-EXP(-LN(2)/2))/(LN(2)/2)*V133*Y133*VLOOKUP('Données projet'!$B$9,Paramètres!$A$1:$I$89,3,0)*0.475*44/12</f>
        <v>6.1607058234627419E-15</v>
      </c>
      <c r="AC133" s="22">
        <f t="shared" si="111"/>
        <v>0.21754954871966597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-1.223725121235475E-13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489.34829722967373</v>
      </c>
      <c r="AO133" s="59">
        <f t="shared" ref="AO133:AO196" si="144">$AO$3</f>
        <v>304.94365539329362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0.23093721325625446</v>
      </c>
      <c r="AW133" s="21">
        <f>EXP(-LN(2)/2)*AW132+(1-EXP(-LN(2)/2))/(LN(2)/2)*AQ133*AT133*VLOOKUP('Données projet'!$B$10,Paramètres!$A$1:$I$89,3,0)*0.475*44/12</f>
        <v>6.5398261818296922E-15</v>
      </c>
      <c r="AX133" s="21">
        <f t="shared" si="114"/>
        <v>0.23093721325626101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5.6843418860808015E-14</v>
      </c>
      <c r="BE133" s="13">
        <f>BD133*VLOOKUP('Données projet'!$B$11,Paramètres!$A$1:$I$89,3,0)*VLOOKUP('Données projet'!$B$11,Paramètres!$A$1:$I$89,5,0)</f>
        <v>4.9658410716801891E-14</v>
      </c>
      <c r="BF133" s="13">
        <f t="shared" ref="BF133:BF153" si="145">EXP(-1.0587+0.8836*LN(BE133)+0.284)</f>
        <v>8.0934058173791862E-13</v>
      </c>
      <c r="BG133" s="20">
        <f t="shared" si="115"/>
        <v>1.4960899118586383E-12</v>
      </c>
      <c r="BH133" s="59">
        <f t="shared" si="116"/>
        <v>283.91028339343359</v>
      </c>
      <c r="BI133" s="59">
        <f ca="1">AVERAGE(OFFSET($BH$3,0,0,'Données projet'!$E$11+1,1))-AVERAGE(OFFSET($H$3,0,0,'Données projet'!$E$11+1,1))</f>
        <v>360.3011551173708</v>
      </c>
      <c r="BJ133" s="59">
        <f t="shared" ref="BJ133:BJ196" si="146">$BJ$3</f>
        <v>388.50312617855309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0.7056944635870861</v>
      </c>
      <c r="BR133" s="21">
        <f>EXP(-LN(2)/2)*BR132+(1-EXP(-LN(2)/2))/(LN(2)/2)*BL133*BO133*VLOOKUP('Données projet'!$B$11,Paramètres!$A$1:$I$89,3,0)*0.475*44/12</f>
        <v>1.0495260782808879E-14</v>
      </c>
      <c r="BS133" s="22">
        <f t="shared" si="117"/>
        <v>0.70569446358709664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-4.5474735088646412E-13</v>
      </c>
      <c r="DP133" s="17">
        <f>DO133*VLOOKUP('Données projet'!$B$14,Paramètres!$A$1:$I$89,3,0)*VLOOKUP('Données projet'!$B$14,Paramètres!$A$1:$I$89,5,0)</f>
        <v>-2.7193891583010558E-13</v>
      </c>
      <c r="DQ133" s="13" t="e">
        <f t="shared" ref="DQ133:DQ153" si="151">EXP(-1.0587+0.8836*LN(DP133)+0.284)</f>
        <v>#NUM!</v>
      </c>
      <c r="DR133" s="20" t="e">
        <f t="shared" si="124"/>
        <v>#NUM!</v>
      </c>
      <c r="DS133" s="59" t="e">
        <f t="shared" si="125"/>
        <v>#NUM!</v>
      </c>
      <c r="DT133" s="59">
        <f ca="1">AVERAGE(OFFSET($DS$3,0,0,'Données projet'!$E$14+1,1))-AVERAGE(OFFSET($H$3,0,0,'Données projet'!$E$14+1,1))</f>
        <v>350.88566459278962</v>
      </c>
      <c r="DU133" s="59">
        <f t="shared" ref="DU133:DU196" si="152">$DU$3</f>
        <v>342.18151800581552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0.8030789719906406</v>
      </c>
      <c r="EC133" s="21">
        <f>EXP(-LN(2)/2)*EC132+(1-EXP(-LN(2)/2))/(LN(2)/2)*DW133*DZ133*VLOOKUP('Données projet'!$B$14,Paramètres!$A$1:$I$89,3,0)*0.475*44/12</f>
        <v>2.1075905353224097E-14</v>
      </c>
      <c r="ED133" s="22">
        <f t="shared" si="126"/>
        <v>0.80307897199066169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-1.1527845344971866E-13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465.40148250851843</v>
      </c>
      <c r="T134" s="59">
        <f t="shared" si="142"/>
        <v>290.8428650572356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0.21160064486948715</v>
      </c>
      <c r="AB134" s="21">
        <f>EXP(-LN(2)/2)*AB133+(1-EXP(-LN(2)/2))/(LN(2)/2)*V134*Y134*VLOOKUP('Données projet'!$B$9,Paramètres!$A$1:$I$89,3,0)*0.475*44/12</f>
        <v>4.3562768646659581E-15</v>
      </c>
      <c r="AC134" s="22">
        <f t="shared" si="111"/>
        <v>0.21160064486949151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-1.223725121235475E-13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489.34829722967373</v>
      </c>
      <c r="AO134" s="59">
        <f t="shared" si="144"/>
        <v>304.94365539329362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0.22462222301530196</v>
      </c>
      <c r="AW134" s="21">
        <f>EXP(-LN(2)/2)*AW133+(1-EXP(-LN(2)/2))/(LN(2)/2)*AQ134*AT134*VLOOKUP('Données projet'!$B$10,Paramètres!$A$1:$I$89,3,0)*0.475*44/12</f>
        <v>4.6243554409531026E-15</v>
      </c>
      <c r="AX134" s="21">
        <f t="shared" si="114"/>
        <v>0.2246222230153066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5.6843418860808015E-14</v>
      </c>
      <c r="BE134" s="13">
        <f>BD134*VLOOKUP('Données projet'!$B$11,Paramètres!$A$1:$I$89,3,0)*VLOOKUP('Données projet'!$B$11,Paramètres!$A$1:$I$89,5,0)</f>
        <v>4.9658410716801891E-14</v>
      </c>
      <c r="BF134" s="13">
        <f t="shared" si="145"/>
        <v>8.0934058173791862E-13</v>
      </c>
      <c r="BG134" s="20">
        <f t="shared" si="115"/>
        <v>1.4960899118586383E-12</v>
      </c>
      <c r="BH134" s="59">
        <f t="shared" si="116"/>
        <v>284.07375224310721</v>
      </c>
      <c r="BI134" s="59">
        <f ca="1">AVERAGE(OFFSET($BH$3,0,0,'Données projet'!$E$11+1,1))-AVERAGE(OFFSET($H$3,0,0,'Données projet'!$E$11+1,1))</f>
        <v>360.3011551173708</v>
      </c>
      <c r="BJ134" s="59">
        <f t="shared" si="146"/>
        <v>388.50312617855309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0.68639721136943832</v>
      </c>
      <c r="BR134" s="21">
        <f>EXP(-LN(2)/2)*BR133+(1-EXP(-LN(2)/2))/(LN(2)/2)*BL134*BO134*VLOOKUP('Données projet'!$B$11,Paramètres!$A$1:$I$89,3,0)*0.475*44/12</f>
        <v>7.4212700698453911E-15</v>
      </c>
      <c r="BS134" s="22">
        <f t="shared" si="117"/>
        <v>0.68639721136944576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-4.5474735088646412E-13</v>
      </c>
      <c r="DP134" s="17">
        <f>DO134*VLOOKUP('Données projet'!$B$14,Paramètres!$A$1:$I$89,3,0)*VLOOKUP('Données projet'!$B$14,Paramètres!$A$1:$I$89,5,0)</f>
        <v>-2.7193891583010558E-13</v>
      </c>
      <c r="DQ134" s="13" t="e">
        <f t="shared" si="151"/>
        <v>#NUM!</v>
      </c>
      <c r="DR134" s="20" t="e">
        <f t="shared" si="124"/>
        <v>#NUM!</v>
      </c>
      <c r="DS134" s="59" t="e">
        <f t="shared" si="125"/>
        <v>#NUM!</v>
      </c>
      <c r="DT134" s="59">
        <f ca="1">AVERAGE(OFFSET($DS$3,0,0,'Données projet'!$E$14+1,1))-AVERAGE(OFFSET($H$3,0,0,'Données projet'!$E$14+1,1))</f>
        <v>350.88566459278962</v>
      </c>
      <c r="DU134" s="59">
        <f t="shared" si="152"/>
        <v>342.18151800581552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0.78111873526946884</v>
      </c>
      <c r="EC134" s="21">
        <f>EXP(-LN(2)/2)*EC133+(1-EXP(-LN(2)/2))/(LN(2)/2)*DW134*DZ134*VLOOKUP('Données projet'!$B$14,Paramètres!$A$1:$I$89,3,0)*0.475*44/12</f>
        <v>1.4902915594910617E-14</v>
      </c>
      <c r="ED134" s="22">
        <f t="shared" si="126"/>
        <v>0.78111873526948372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-1.1527845344971866E-13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465.40148250851843</v>
      </c>
      <c r="T135" s="59">
        <f t="shared" si="142"/>
        <v>290.8428650572356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0.20581441410793674</v>
      </c>
      <c r="AB135" s="21">
        <f>EXP(-LN(2)/2)*AB134+(1-EXP(-LN(2)/2))/(LN(2)/2)*V135*Y135*VLOOKUP('Données projet'!$B$9,Paramètres!$A$1:$I$89,3,0)*0.475*44/12</f>
        <v>3.0803529117313709E-15</v>
      </c>
      <c r="AC135" s="22">
        <f t="shared" si="111"/>
        <v>0.20581441410793982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-1.223725121235475E-13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489.34829722967373</v>
      </c>
      <c r="AO135" s="59">
        <f t="shared" si="144"/>
        <v>304.94365539329362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0.21847991651457921</v>
      </c>
      <c r="AW135" s="21">
        <f>EXP(-LN(2)/2)*AW134+(1-EXP(-LN(2)/2))/(LN(2)/2)*AQ135*AT135*VLOOKUP('Données projet'!$B$10,Paramètres!$A$1:$I$89,3,0)*0.475*44/12</f>
        <v>3.2699130909148461E-15</v>
      </c>
      <c r="AX135" s="21">
        <f t="shared" si="114"/>
        <v>0.21847991651458248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5.6843418860808015E-14</v>
      </c>
      <c r="BE135" s="13">
        <f>BD135*VLOOKUP('Données projet'!$B$11,Paramètres!$A$1:$I$89,3,0)*VLOOKUP('Données projet'!$B$11,Paramètres!$A$1:$I$89,5,0)</f>
        <v>4.9658410716801891E-14</v>
      </c>
      <c r="BF135" s="13">
        <f t="shared" si="145"/>
        <v>8.0934058173791862E-13</v>
      </c>
      <c r="BG135" s="20">
        <f t="shared" si="115"/>
        <v>1.4960899118586383E-12</v>
      </c>
      <c r="BH135" s="59">
        <f t="shared" si="116"/>
        <v>284.23438527370064</v>
      </c>
      <c r="BI135" s="59">
        <f ca="1">AVERAGE(OFFSET($BH$3,0,0,'Données projet'!$E$11+1,1))-AVERAGE(OFFSET($H$3,0,0,'Données projet'!$E$11+1,1))</f>
        <v>360.3011551173708</v>
      </c>
      <c r="BJ135" s="59">
        <f t="shared" si="146"/>
        <v>388.50312617855309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0.66762764352848047</v>
      </c>
      <c r="BR135" s="21">
        <f>EXP(-LN(2)/2)*BR134+(1-EXP(-LN(2)/2))/(LN(2)/2)*BL135*BO135*VLOOKUP('Données projet'!$B$11,Paramètres!$A$1:$I$89,3,0)*0.475*44/12</f>
        <v>5.2476303914044394E-15</v>
      </c>
      <c r="BS135" s="22">
        <f t="shared" si="117"/>
        <v>0.66762764352848569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-4.5474735088646412E-13</v>
      </c>
      <c r="DP135" s="17">
        <f>DO135*VLOOKUP('Données projet'!$B$14,Paramètres!$A$1:$I$89,3,0)*VLOOKUP('Données projet'!$B$14,Paramètres!$A$1:$I$89,5,0)</f>
        <v>-2.7193891583010558E-13</v>
      </c>
      <c r="DQ135" s="13" t="e">
        <f t="shared" si="151"/>
        <v>#NUM!</v>
      </c>
      <c r="DR135" s="20" t="e">
        <f t="shared" si="124"/>
        <v>#NUM!</v>
      </c>
      <c r="DS135" s="59" t="e">
        <f t="shared" si="125"/>
        <v>#NUM!</v>
      </c>
      <c r="DT135" s="59">
        <f ca="1">AVERAGE(OFFSET($DS$3,0,0,'Données projet'!$E$14+1,1))-AVERAGE(OFFSET($H$3,0,0,'Données projet'!$E$14+1,1))</f>
        <v>350.88566459278962</v>
      </c>
      <c r="DU135" s="59">
        <f t="shared" si="152"/>
        <v>342.18151800581552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0.75975900237627625</v>
      </c>
      <c r="EC135" s="21">
        <f>EXP(-LN(2)/2)*EC134+(1-EXP(-LN(2)/2))/(LN(2)/2)*DW135*DZ135*VLOOKUP('Données projet'!$B$14,Paramètres!$A$1:$I$89,3,0)*0.475*44/12</f>
        <v>1.0537952676612049E-14</v>
      </c>
      <c r="ED135" s="22">
        <f t="shared" si="126"/>
        <v>0.7597590023762868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-1.1527845344971866E-13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465.40148250851843</v>
      </c>
      <c r="T136" s="59">
        <f t="shared" si="142"/>
        <v>290.8428650572356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0.20018640813084557</v>
      </c>
      <c r="AB136" s="21">
        <f>EXP(-LN(2)/2)*AB135+(1-EXP(-LN(2)/2))/(LN(2)/2)*V136*Y136*VLOOKUP('Données projet'!$B$9,Paramètres!$A$1:$I$89,3,0)*0.475*44/12</f>
        <v>2.178138432332979E-15</v>
      </c>
      <c r="AC136" s="22">
        <f t="shared" si="111"/>
        <v>0.20018640813084773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-1.223725121235475E-13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489.34829722967373</v>
      </c>
      <c r="AO136" s="59">
        <f t="shared" si="144"/>
        <v>304.94365539329362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0.21250557170812856</v>
      </c>
      <c r="AW136" s="21">
        <f>EXP(-LN(2)/2)*AW135+(1-EXP(-LN(2)/2))/(LN(2)/2)*AQ136*AT136*VLOOKUP('Données projet'!$B$10,Paramètres!$A$1:$I$89,3,0)*0.475*44/12</f>
        <v>2.3121777204765513E-15</v>
      </c>
      <c r="AX136" s="21">
        <f t="shared" si="114"/>
        <v>0.21250557170813086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5.6843418860808015E-14</v>
      </c>
      <c r="BE136" s="13">
        <f>BD136*VLOOKUP('Données projet'!$B$11,Paramètres!$A$1:$I$89,3,0)*VLOOKUP('Données projet'!$B$11,Paramètres!$A$1:$I$89,5,0)</f>
        <v>4.9658410716801891E-14</v>
      </c>
      <c r="BF136" s="13">
        <f t="shared" si="145"/>
        <v>8.0934058173791862E-13</v>
      </c>
      <c r="BG136" s="20">
        <f t="shared" si="115"/>
        <v>1.4960899118586383E-12</v>
      </c>
      <c r="BH136" s="59">
        <f t="shared" si="116"/>
        <v>284.39223168033487</v>
      </c>
      <c r="BI136" s="59">
        <f ca="1">AVERAGE(OFFSET($BH$3,0,0,'Données projet'!$E$11+1,1))-AVERAGE(OFFSET($H$3,0,0,'Données projet'!$E$11+1,1))</f>
        <v>360.3011551173708</v>
      </c>
      <c r="BJ136" s="59">
        <f t="shared" si="146"/>
        <v>388.50312617855309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0.64937133050718232</v>
      </c>
      <c r="BR136" s="21">
        <f>EXP(-LN(2)/2)*BR135+(1-EXP(-LN(2)/2))/(LN(2)/2)*BL136*BO136*VLOOKUP('Données projet'!$B$11,Paramètres!$A$1:$I$89,3,0)*0.475*44/12</f>
        <v>3.7106350349226956E-15</v>
      </c>
      <c r="BS136" s="22">
        <f t="shared" si="117"/>
        <v>0.64937133050718598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-4.5474735088646412E-13</v>
      </c>
      <c r="DP136" s="17">
        <f>DO136*VLOOKUP('Données projet'!$B$14,Paramètres!$A$1:$I$89,3,0)*VLOOKUP('Données projet'!$B$14,Paramètres!$A$1:$I$89,5,0)</f>
        <v>-2.7193891583010558E-13</v>
      </c>
      <c r="DQ136" s="13" t="e">
        <f t="shared" si="151"/>
        <v>#NUM!</v>
      </c>
      <c r="DR136" s="20" t="e">
        <f t="shared" si="124"/>
        <v>#NUM!</v>
      </c>
      <c r="DS136" s="59" t="e">
        <f t="shared" si="125"/>
        <v>#NUM!</v>
      </c>
      <c r="DT136" s="59">
        <f ca="1">AVERAGE(OFFSET($DS$3,0,0,'Données projet'!$E$14+1,1))-AVERAGE(OFFSET($H$3,0,0,'Données projet'!$E$14+1,1))</f>
        <v>350.88566459278962</v>
      </c>
      <c r="DU136" s="59">
        <f t="shared" si="152"/>
        <v>342.18151800581552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0.73898335250230751</v>
      </c>
      <c r="EC136" s="21">
        <f>EXP(-LN(2)/2)*EC135+(1-EXP(-LN(2)/2))/(LN(2)/2)*DW136*DZ136*VLOOKUP('Données projet'!$B$14,Paramètres!$A$1:$I$89,3,0)*0.475*44/12</f>
        <v>7.4514577974553085E-15</v>
      </c>
      <c r="ED136" s="22">
        <f t="shared" si="126"/>
        <v>0.73898335250231495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-1.1527845344971866E-13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465.40148250851843</v>
      </c>
      <c r="T137" s="59">
        <f t="shared" si="142"/>
        <v>290.8428650572356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0.19471230027316191</v>
      </c>
      <c r="AB137" s="21">
        <f>EXP(-LN(2)/2)*AB136+(1-EXP(-LN(2)/2))/(LN(2)/2)*V137*Y137*VLOOKUP('Données projet'!$B$9,Paramètres!$A$1:$I$89,3,0)*0.475*44/12</f>
        <v>1.5401764558656855E-15</v>
      </c>
      <c r="AC137" s="22">
        <f t="shared" si="111"/>
        <v>0.19471230027316344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-1.223725121235475E-13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489.34829722967373</v>
      </c>
      <c r="AO137" s="59">
        <f t="shared" si="144"/>
        <v>304.94365539329362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0.20669459567458745</v>
      </c>
      <c r="AW137" s="21">
        <f>EXP(-LN(2)/2)*AW136+(1-EXP(-LN(2)/2))/(LN(2)/2)*AQ137*AT137*VLOOKUP('Données projet'!$B$10,Paramètres!$A$1:$I$89,3,0)*0.475*44/12</f>
        <v>1.634956545457423E-15</v>
      </c>
      <c r="AX137" s="21">
        <f t="shared" si="114"/>
        <v>0.20669459567458909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5.6843418860808015E-14</v>
      </c>
      <c r="BE137" s="13">
        <f>BD137*VLOOKUP('Données projet'!$B$11,Paramètres!$A$1:$I$89,3,0)*VLOOKUP('Données projet'!$B$11,Paramètres!$A$1:$I$89,5,0)</f>
        <v>4.9658410716801891E-14</v>
      </c>
      <c r="BF137" s="13">
        <f t="shared" si="145"/>
        <v>8.0934058173791862E-13</v>
      </c>
      <c r="BG137" s="20">
        <f t="shared" si="115"/>
        <v>1.4960899118586383E-12</v>
      </c>
      <c r="BH137" s="59">
        <f t="shared" si="116"/>
        <v>284.54733980470576</v>
      </c>
      <c r="BI137" s="59">
        <f ca="1">AVERAGE(OFFSET($BH$3,0,0,'Données projet'!$E$11+1,1))-AVERAGE(OFFSET($H$3,0,0,'Données projet'!$E$11+1,1))</f>
        <v>360.3011551173708</v>
      </c>
      <c r="BJ137" s="59">
        <f t="shared" si="146"/>
        <v>388.50312617855309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0.63161423732550925</v>
      </c>
      <c r="BR137" s="21">
        <f>EXP(-LN(2)/2)*BR136+(1-EXP(-LN(2)/2))/(LN(2)/2)*BL137*BO137*VLOOKUP('Données projet'!$B$11,Paramètres!$A$1:$I$89,3,0)*0.475*44/12</f>
        <v>2.6238151957022197E-15</v>
      </c>
      <c r="BS137" s="22">
        <f t="shared" si="117"/>
        <v>0.63161423732551192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-4.5474735088646412E-13</v>
      </c>
      <c r="DP137" s="17">
        <f>DO137*VLOOKUP('Données projet'!$B$14,Paramètres!$A$1:$I$89,3,0)*VLOOKUP('Données projet'!$B$14,Paramètres!$A$1:$I$89,5,0)</f>
        <v>-2.7193891583010558E-13</v>
      </c>
      <c r="DQ137" s="13" t="e">
        <f t="shared" si="151"/>
        <v>#NUM!</v>
      </c>
      <c r="DR137" s="20" t="e">
        <f t="shared" si="124"/>
        <v>#NUM!</v>
      </c>
      <c r="DS137" s="59" t="e">
        <f t="shared" si="125"/>
        <v>#NUM!</v>
      </c>
      <c r="DT137" s="59">
        <f ca="1">AVERAGE(OFFSET($DS$3,0,0,'Données projet'!$E$14+1,1))-AVERAGE(OFFSET($H$3,0,0,'Données projet'!$E$14+1,1))</f>
        <v>350.88566459278962</v>
      </c>
      <c r="DU137" s="59">
        <f t="shared" si="152"/>
        <v>342.18151800581552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0.71877581386668632</v>
      </c>
      <c r="EC137" s="21">
        <f>EXP(-LN(2)/2)*EC136+(1-EXP(-LN(2)/2))/(LN(2)/2)*DW137*DZ137*VLOOKUP('Données projet'!$B$14,Paramètres!$A$1:$I$89,3,0)*0.475*44/12</f>
        <v>5.2689763383060243E-15</v>
      </c>
      <c r="ED137" s="22">
        <f t="shared" si="126"/>
        <v>0.71877581386669154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-1.1527845344971866E-13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465.40148250851843</v>
      </c>
      <c r="T138" s="59">
        <f t="shared" si="142"/>
        <v>290.8428650572356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0.18938788218271746</v>
      </c>
      <c r="AB138" s="21">
        <f>EXP(-LN(2)/2)*AB137+(1-EXP(-LN(2)/2))/(LN(2)/2)*V138*Y138*VLOOKUP('Données projet'!$B$9,Paramètres!$A$1:$I$89,3,0)*0.475*44/12</f>
        <v>1.0890692161664895E-15</v>
      </c>
      <c r="AC138" s="22">
        <f t="shared" si="111"/>
        <v>0.18938788218271854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-1.223725121235475E-13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489.34829722967373</v>
      </c>
      <c r="AO138" s="59">
        <f t="shared" si="144"/>
        <v>304.94365539329362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0.20104252108626947</v>
      </c>
      <c r="AW138" s="21">
        <f>EXP(-LN(2)/2)*AW137+(1-EXP(-LN(2)/2))/(LN(2)/2)*AQ138*AT138*VLOOKUP('Données projet'!$B$10,Paramètres!$A$1:$I$89,3,0)*0.475*44/12</f>
        <v>1.1560888602382757E-15</v>
      </c>
      <c r="AX138" s="21">
        <f t="shared" si="114"/>
        <v>0.20104252108627063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5.6843418860808015E-14</v>
      </c>
      <c r="BE138" s="13">
        <f>BD138*VLOOKUP('Données projet'!$B$11,Paramètres!$A$1:$I$89,3,0)*VLOOKUP('Données projet'!$B$11,Paramètres!$A$1:$I$89,5,0)</f>
        <v>4.9658410716801891E-14</v>
      </c>
      <c r="BF138" s="13">
        <f t="shared" si="145"/>
        <v>8.0934058173791862E-13</v>
      </c>
      <c r="BG138" s="20">
        <f t="shared" si="115"/>
        <v>1.4960899118586383E-12</v>
      </c>
      <c r="BH138" s="59">
        <f t="shared" si="116"/>
        <v>284.69975714988863</v>
      </c>
      <c r="BI138" s="59">
        <f ca="1">AVERAGE(OFFSET($BH$3,0,0,'Données projet'!$E$11+1,1))-AVERAGE(OFFSET($H$3,0,0,'Données projet'!$E$11+1,1))</f>
        <v>360.3011551173708</v>
      </c>
      <c r="BJ138" s="59">
        <f t="shared" si="146"/>
        <v>388.50312617855309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0.61434271279069408</v>
      </c>
      <c r="BR138" s="21">
        <f>EXP(-LN(2)/2)*BR137+(1-EXP(-LN(2)/2))/(LN(2)/2)*BL138*BO138*VLOOKUP('Données projet'!$B$11,Paramètres!$A$1:$I$89,3,0)*0.475*44/12</f>
        <v>1.8553175174613478E-15</v>
      </c>
      <c r="BS138" s="22">
        <f t="shared" si="117"/>
        <v>0.61434271279069597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-4.5474735088646412E-13</v>
      </c>
      <c r="DP138" s="17">
        <f>DO138*VLOOKUP('Données projet'!$B$14,Paramètres!$A$1:$I$89,3,0)*VLOOKUP('Données projet'!$B$14,Paramètres!$A$1:$I$89,5,0)</f>
        <v>-2.7193891583010558E-13</v>
      </c>
      <c r="DQ138" s="13" t="e">
        <f t="shared" si="151"/>
        <v>#NUM!</v>
      </c>
      <c r="DR138" s="20" t="e">
        <f t="shared" si="124"/>
        <v>#NUM!</v>
      </c>
      <c r="DS138" s="59" t="e">
        <f t="shared" si="125"/>
        <v>#NUM!</v>
      </c>
      <c r="DT138" s="59">
        <f ca="1">AVERAGE(OFFSET($DS$3,0,0,'Données projet'!$E$14+1,1))-AVERAGE(OFFSET($H$3,0,0,'Données projet'!$E$14+1,1))</f>
        <v>350.88566459278962</v>
      </c>
      <c r="DU138" s="59">
        <f t="shared" si="152"/>
        <v>342.18151800581552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0.69912085143772451</v>
      </c>
      <c r="EC138" s="21">
        <f>EXP(-LN(2)/2)*EC137+(1-EXP(-LN(2)/2))/(LN(2)/2)*DW138*DZ138*VLOOKUP('Données projet'!$B$14,Paramètres!$A$1:$I$89,3,0)*0.475*44/12</f>
        <v>3.7257288987276542E-15</v>
      </c>
      <c r="ED138" s="22">
        <f t="shared" si="126"/>
        <v>0.69912085143772829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-1.1527845344971866E-13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465.40148250851843</v>
      </c>
      <c r="T139" s="59">
        <f t="shared" si="142"/>
        <v>290.8428650572356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0.18420906058495518</v>
      </c>
      <c r="AB139" s="21">
        <f>EXP(-LN(2)/2)*AB138+(1-EXP(-LN(2)/2))/(LN(2)/2)*V139*Y139*VLOOKUP('Données projet'!$B$9,Paramètres!$A$1:$I$89,3,0)*0.475*44/12</f>
        <v>7.7008822793284273E-16</v>
      </c>
      <c r="AC139" s="22">
        <f t="shared" si="111"/>
        <v>0.18420906058495595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-1.223725121235475E-13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489.34829722967373</v>
      </c>
      <c r="AO139" s="59">
        <f t="shared" si="144"/>
        <v>304.94365539329362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0.19554500277479872</v>
      </c>
      <c r="AW139" s="21">
        <f>EXP(-LN(2)/2)*AW138+(1-EXP(-LN(2)/2))/(LN(2)/2)*AQ139*AT139*VLOOKUP('Données projet'!$B$10,Paramètres!$A$1:$I$89,3,0)*0.475*44/12</f>
        <v>8.1747827272871152E-16</v>
      </c>
      <c r="AX139" s="21">
        <f t="shared" si="114"/>
        <v>0.19554500277479953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5.6843418860808015E-14</v>
      </c>
      <c r="BE139" s="13">
        <f>BD139*VLOOKUP('Données projet'!$B$11,Paramètres!$A$1:$I$89,3,0)*VLOOKUP('Données projet'!$B$11,Paramètres!$A$1:$I$89,5,0)</f>
        <v>4.9658410716801891E-14</v>
      </c>
      <c r="BF139" s="13">
        <f t="shared" si="145"/>
        <v>8.0934058173791862E-13</v>
      </c>
      <c r="BG139" s="20">
        <f t="shared" si="115"/>
        <v>1.4960899118586383E-12</v>
      </c>
      <c r="BH139" s="59">
        <f t="shared" si="116"/>
        <v>284.8495303948867</v>
      </c>
      <c r="BI139" s="59">
        <f ca="1">AVERAGE(OFFSET($BH$3,0,0,'Données projet'!$E$11+1,1))-AVERAGE(OFFSET($H$3,0,0,'Données projet'!$E$11+1,1))</f>
        <v>360.3011551173708</v>
      </c>
      <c r="BJ139" s="59">
        <f t="shared" si="146"/>
        <v>388.50312617855309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0.59754347900255333</v>
      </c>
      <c r="BR139" s="21">
        <f>EXP(-LN(2)/2)*BR138+(1-EXP(-LN(2)/2))/(LN(2)/2)*BL139*BO139*VLOOKUP('Données projet'!$B$11,Paramètres!$A$1:$I$89,3,0)*0.475*44/12</f>
        <v>1.3119075978511099E-15</v>
      </c>
      <c r="BS139" s="22">
        <f t="shared" si="117"/>
        <v>0.59754347900255467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-4.5474735088646412E-13</v>
      </c>
      <c r="DP139" s="17">
        <f>DO139*VLOOKUP('Données projet'!$B$14,Paramètres!$A$1:$I$89,3,0)*VLOOKUP('Données projet'!$B$14,Paramètres!$A$1:$I$89,5,0)</f>
        <v>-2.7193891583010558E-13</v>
      </c>
      <c r="DQ139" s="13" t="e">
        <f t="shared" si="151"/>
        <v>#NUM!</v>
      </c>
      <c r="DR139" s="20" t="e">
        <f t="shared" si="124"/>
        <v>#NUM!</v>
      </c>
      <c r="DS139" s="59" t="e">
        <f t="shared" si="125"/>
        <v>#NUM!</v>
      </c>
      <c r="DT139" s="59">
        <f ca="1">AVERAGE(OFFSET($DS$3,0,0,'Données projet'!$E$14+1,1))-AVERAGE(OFFSET($H$3,0,0,'Données projet'!$E$14+1,1))</f>
        <v>350.88566459278962</v>
      </c>
      <c r="DU139" s="59">
        <f t="shared" si="152"/>
        <v>342.18151800581552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0.6800033549899922</v>
      </c>
      <c r="EC139" s="21">
        <f>EXP(-LN(2)/2)*EC138+(1-EXP(-LN(2)/2))/(LN(2)/2)*DW139*DZ139*VLOOKUP('Données projet'!$B$14,Paramètres!$A$1:$I$89,3,0)*0.475*44/12</f>
        <v>2.6344881691530121E-15</v>
      </c>
      <c r="ED139" s="22">
        <f t="shared" si="126"/>
        <v>0.68000335498999487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-1.1527845344971866E-13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465.40148250851843</v>
      </c>
      <c r="T140" s="59">
        <f t="shared" si="142"/>
        <v>290.8428650572356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0.1791718541361261</v>
      </c>
      <c r="AB140" s="21">
        <f>EXP(-LN(2)/2)*AB139+(1-EXP(-LN(2)/2))/(LN(2)/2)*V140*Y140*VLOOKUP('Données projet'!$B$9,Paramètres!$A$1:$I$89,3,0)*0.475*44/12</f>
        <v>5.4453460808324476E-16</v>
      </c>
      <c r="AC140" s="22">
        <f t="shared" si="111"/>
        <v>0.17917185413612666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-1.223725121235475E-13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489.34829722967373</v>
      </c>
      <c r="AO140" s="59">
        <f t="shared" si="144"/>
        <v>304.94365539329362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0.19019781439065708</v>
      </c>
      <c r="AW140" s="21">
        <f>EXP(-LN(2)/2)*AW139+(1-EXP(-LN(2)/2))/(LN(2)/2)*AQ140*AT140*VLOOKUP('Données projet'!$B$10,Paramètres!$A$1:$I$89,3,0)*0.475*44/12</f>
        <v>5.7804443011913783E-16</v>
      </c>
      <c r="AX140" s="21">
        <f t="shared" si="114"/>
        <v>0.19019781439065767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5.6843418860808015E-14</v>
      </c>
      <c r="BE140" s="13">
        <f>BD140*VLOOKUP('Données projet'!$B$11,Paramètres!$A$1:$I$89,3,0)*VLOOKUP('Données projet'!$B$11,Paramètres!$A$1:$I$89,5,0)</f>
        <v>4.9658410716801891E-14</v>
      </c>
      <c r="BF140" s="13">
        <f t="shared" si="145"/>
        <v>8.0934058173791862E-13</v>
      </c>
      <c r="BG140" s="20">
        <f t="shared" si="115"/>
        <v>1.4960899118586383E-12</v>
      </c>
      <c r="BH140" s="59">
        <f t="shared" si="116"/>
        <v>284.99670540892686</v>
      </c>
      <c r="BI140" s="59">
        <f ca="1">AVERAGE(OFFSET($BH$3,0,0,'Données projet'!$E$11+1,1))-AVERAGE(OFFSET($H$3,0,0,'Données projet'!$E$11+1,1))</f>
        <v>360.3011551173708</v>
      </c>
      <c r="BJ140" s="59">
        <f t="shared" si="146"/>
        <v>388.50312617855309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0.58120362114578261</v>
      </c>
      <c r="BR140" s="21">
        <f>EXP(-LN(2)/2)*BR139+(1-EXP(-LN(2)/2))/(LN(2)/2)*BL140*BO140*VLOOKUP('Données projet'!$B$11,Paramètres!$A$1:$I$89,3,0)*0.475*44/12</f>
        <v>9.2765875873067389E-16</v>
      </c>
      <c r="BS140" s="22">
        <f t="shared" si="117"/>
        <v>0.5812036211457835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-4.5474735088646412E-13</v>
      </c>
      <c r="DP140" s="17">
        <f>DO140*VLOOKUP('Données projet'!$B$14,Paramètres!$A$1:$I$89,3,0)*VLOOKUP('Données projet'!$B$14,Paramètres!$A$1:$I$89,5,0)</f>
        <v>-2.7193891583010558E-13</v>
      </c>
      <c r="DQ140" s="13" t="e">
        <f t="shared" si="151"/>
        <v>#NUM!</v>
      </c>
      <c r="DR140" s="20" t="e">
        <f t="shared" si="124"/>
        <v>#NUM!</v>
      </c>
      <c r="DS140" s="59" t="e">
        <f t="shared" si="125"/>
        <v>#NUM!</v>
      </c>
      <c r="DT140" s="59">
        <f ca="1">AVERAGE(OFFSET($DS$3,0,0,'Données projet'!$E$14+1,1))-AVERAGE(OFFSET($H$3,0,0,'Données projet'!$E$14+1,1))</f>
        <v>350.88566459278962</v>
      </c>
      <c r="DU140" s="59">
        <f t="shared" si="152"/>
        <v>342.18151800581552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0.66140862748796858</v>
      </c>
      <c r="EC140" s="21">
        <f>EXP(-LN(2)/2)*EC139+(1-EXP(-LN(2)/2))/(LN(2)/2)*DW140*DZ140*VLOOKUP('Données projet'!$B$14,Paramètres!$A$1:$I$89,3,0)*0.475*44/12</f>
        <v>1.8628644493638271E-15</v>
      </c>
      <c r="ED140" s="22">
        <f t="shared" si="126"/>
        <v>0.66140862748797047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-1.1527845344971866E-13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465.40148250851843</v>
      </c>
      <c r="T141" s="59">
        <f t="shared" si="142"/>
        <v>290.8428650572356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0.17427239036253542</v>
      </c>
      <c r="AB141" s="21">
        <f>EXP(-LN(2)/2)*AB140+(1-EXP(-LN(2)/2))/(LN(2)/2)*V141*Y141*VLOOKUP('Données projet'!$B$9,Paramètres!$A$1:$I$89,3,0)*0.475*44/12</f>
        <v>3.8504411396642137E-16</v>
      </c>
      <c r="AC141" s="22">
        <f t="shared" si="111"/>
        <v>0.17427239036253581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-1.223725121235475E-13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489.34829722967373</v>
      </c>
      <c r="AO141" s="59">
        <f t="shared" si="144"/>
        <v>304.94365539329362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0.18499684515407622</v>
      </c>
      <c r="AW141" s="21">
        <f>EXP(-LN(2)/2)*AW140+(1-EXP(-LN(2)/2))/(LN(2)/2)*AQ141*AT141*VLOOKUP('Données projet'!$B$10,Paramètres!$A$1:$I$89,3,0)*0.475*44/12</f>
        <v>4.0873913636435576E-16</v>
      </c>
      <c r="AX141" s="21">
        <f t="shared" si="114"/>
        <v>0.18499684515407663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5.6843418860808015E-14</v>
      </c>
      <c r="BE141" s="13">
        <f>BD141*VLOOKUP('Données projet'!$B$11,Paramètres!$A$1:$I$89,3,0)*VLOOKUP('Données projet'!$B$11,Paramètres!$A$1:$I$89,5,0)</f>
        <v>4.9658410716801891E-14</v>
      </c>
      <c r="BF141" s="13">
        <f t="shared" si="145"/>
        <v>8.0934058173791862E-13</v>
      </c>
      <c r="BG141" s="20">
        <f t="shared" si="115"/>
        <v>1.4960899118586383E-12</v>
      </c>
      <c r="BH141" s="59">
        <f t="shared" si="116"/>
        <v>285.14132726550741</v>
      </c>
      <c r="BI141" s="59">
        <f ca="1">AVERAGE(OFFSET($BH$3,0,0,'Données projet'!$E$11+1,1))-AVERAGE(OFFSET($H$3,0,0,'Données projet'!$E$11+1,1))</f>
        <v>360.3011551173708</v>
      </c>
      <c r="BJ141" s="59">
        <f t="shared" si="146"/>
        <v>388.50312617855309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0.56531057756138114</v>
      </c>
      <c r="BR141" s="21">
        <f>EXP(-LN(2)/2)*BR140+(1-EXP(-LN(2)/2))/(LN(2)/2)*BL141*BO141*VLOOKUP('Données projet'!$B$11,Paramètres!$A$1:$I$89,3,0)*0.475*44/12</f>
        <v>6.5595379892555493E-16</v>
      </c>
      <c r="BS141" s="22">
        <f t="shared" si="117"/>
        <v>0.56531057756138181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-4.5474735088646412E-13</v>
      </c>
      <c r="DP141" s="17">
        <f>DO141*VLOOKUP('Données projet'!$B$14,Paramètres!$A$1:$I$89,3,0)*VLOOKUP('Données projet'!$B$14,Paramètres!$A$1:$I$89,5,0)</f>
        <v>-2.7193891583010558E-13</v>
      </c>
      <c r="DQ141" s="13" t="e">
        <f t="shared" si="151"/>
        <v>#NUM!</v>
      </c>
      <c r="DR141" s="20" t="e">
        <f t="shared" si="124"/>
        <v>#NUM!</v>
      </c>
      <c r="DS141" s="59" t="e">
        <f t="shared" si="125"/>
        <v>#NUM!</v>
      </c>
      <c r="DT141" s="59">
        <f ca="1">AVERAGE(OFFSET($DS$3,0,0,'Données projet'!$E$14+1,1))-AVERAGE(OFFSET($H$3,0,0,'Données projet'!$E$14+1,1))</f>
        <v>350.88566459278962</v>
      </c>
      <c r="DU141" s="59">
        <f t="shared" si="152"/>
        <v>342.18151800581552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0.64332237378734203</v>
      </c>
      <c r="EC141" s="21">
        <f>EXP(-LN(2)/2)*EC140+(1-EXP(-LN(2)/2))/(LN(2)/2)*DW141*DZ141*VLOOKUP('Données projet'!$B$14,Paramètres!$A$1:$I$89,3,0)*0.475*44/12</f>
        <v>1.3172440845765061E-15</v>
      </c>
      <c r="ED141" s="22">
        <f t="shared" si="126"/>
        <v>0.64332237378734336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-1.1527845344971866E-13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465.40148250851843</v>
      </c>
      <c r="T142" s="59">
        <f t="shared" si="142"/>
        <v>290.8428650572356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0.16950690268348517</v>
      </c>
      <c r="AB142" s="21">
        <f>EXP(-LN(2)/2)*AB141+(1-EXP(-LN(2)/2))/(LN(2)/2)*V142*Y142*VLOOKUP('Données projet'!$B$9,Paramètres!$A$1:$I$89,3,0)*0.475*44/12</f>
        <v>2.7226730404162238E-16</v>
      </c>
      <c r="AC142" s="22">
        <f t="shared" si="111"/>
        <v>0.16950690268348545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-1.223725121235475E-13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489.34829722967373</v>
      </c>
      <c r="AO142" s="59">
        <f t="shared" si="144"/>
        <v>304.94365539329362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0.17993809669477673</v>
      </c>
      <c r="AW142" s="21">
        <f>EXP(-LN(2)/2)*AW141+(1-EXP(-LN(2)/2))/(LN(2)/2)*AQ142*AT142*VLOOKUP('Données projet'!$B$10,Paramètres!$A$1:$I$89,3,0)*0.475*44/12</f>
        <v>2.8902221505956891E-16</v>
      </c>
      <c r="AX142" s="21">
        <f t="shared" si="114"/>
        <v>0.17993809669477701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5.6843418860808015E-14</v>
      </c>
      <c r="BE142" s="13">
        <f>BD142*VLOOKUP('Données projet'!$B$11,Paramètres!$A$1:$I$89,3,0)*VLOOKUP('Données projet'!$B$11,Paramètres!$A$1:$I$89,5,0)</f>
        <v>4.9658410716801891E-14</v>
      </c>
      <c r="BF142" s="13">
        <f t="shared" si="145"/>
        <v>8.0934058173791862E-13</v>
      </c>
      <c r="BG142" s="20">
        <f t="shared" si="115"/>
        <v>1.4960899118586383E-12</v>
      </c>
      <c r="BH142" s="59">
        <f t="shared" si="116"/>
        <v>285.28344025620237</v>
      </c>
      <c r="BI142" s="59">
        <f ca="1">AVERAGE(OFFSET($BH$3,0,0,'Données projet'!$E$11+1,1))-AVERAGE(OFFSET($H$3,0,0,'Données projet'!$E$11+1,1))</f>
        <v>360.3011551173708</v>
      </c>
      <c r="BJ142" s="59">
        <f t="shared" si="146"/>
        <v>388.50312617855309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0.5498521300895739</v>
      </c>
      <c r="BR142" s="21">
        <f>EXP(-LN(2)/2)*BR141+(1-EXP(-LN(2)/2))/(LN(2)/2)*BL142*BO142*VLOOKUP('Données projet'!$B$11,Paramètres!$A$1:$I$89,3,0)*0.475*44/12</f>
        <v>4.6382937936533695E-16</v>
      </c>
      <c r="BS142" s="22">
        <f t="shared" si="117"/>
        <v>0.54985213008957434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-4.5474735088646412E-13</v>
      </c>
      <c r="DP142" s="17">
        <f>DO142*VLOOKUP('Données projet'!$B$14,Paramètres!$A$1:$I$89,3,0)*VLOOKUP('Données projet'!$B$14,Paramètres!$A$1:$I$89,5,0)</f>
        <v>-2.7193891583010558E-13</v>
      </c>
      <c r="DQ142" s="13" t="e">
        <f t="shared" si="151"/>
        <v>#NUM!</v>
      </c>
      <c r="DR142" s="20" t="e">
        <f t="shared" si="124"/>
        <v>#NUM!</v>
      </c>
      <c r="DS142" s="59" t="e">
        <f t="shared" si="125"/>
        <v>#NUM!</v>
      </c>
      <c r="DT142" s="59">
        <f ca="1">AVERAGE(OFFSET($DS$3,0,0,'Données projet'!$E$14+1,1))-AVERAGE(OFFSET($H$3,0,0,'Données projet'!$E$14+1,1))</f>
        <v>350.88566459278962</v>
      </c>
      <c r="DU142" s="59">
        <f t="shared" si="152"/>
        <v>342.18151800581552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0.6257306896452739</v>
      </c>
      <c r="EC142" s="21">
        <f>EXP(-LN(2)/2)*EC141+(1-EXP(-LN(2)/2))/(LN(2)/2)*DW142*DZ142*VLOOKUP('Données projet'!$B$14,Paramètres!$A$1:$I$89,3,0)*0.475*44/12</f>
        <v>9.3143222468191356E-16</v>
      </c>
      <c r="ED142" s="22">
        <f t="shared" si="126"/>
        <v>0.62573068964527478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-1.1527845344971866E-13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465.40148250851843</v>
      </c>
      <c r="T143" s="59">
        <f t="shared" si="142"/>
        <v>290.8428650572356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0.16487172751562468</v>
      </c>
      <c r="AB143" s="21">
        <f>EXP(-LN(2)/2)*AB142+(1-EXP(-LN(2)/2))/(LN(2)/2)*V143*Y143*VLOOKUP('Données projet'!$B$9,Paramètres!$A$1:$I$89,3,0)*0.475*44/12</f>
        <v>1.9252205698321068E-16</v>
      </c>
      <c r="AC143" s="22">
        <f t="shared" si="111"/>
        <v>0.16487172751562487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-1.223725121235475E-13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489.34829722967373</v>
      </c>
      <c r="AO143" s="59">
        <f t="shared" si="144"/>
        <v>304.94365539329362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0.17501767997812481</v>
      </c>
      <c r="AW143" s="21">
        <f>EXP(-LN(2)/2)*AW142+(1-EXP(-LN(2)/2))/(LN(2)/2)*AQ143*AT143*VLOOKUP('Données projet'!$B$10,Paramètres!$A$1:$I$89,3,0)*0.475*44/12</f>
        <v>2.0436956818217788E-16</v>
      </c>
      <c r="AX143" s="21">
        <f t="shared" si="114"/>
        <v>0.17501767997812501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5.6843418860808015E-14</v>
      </c>
      <c r="BE143" s="13">
        <f>BD143*VLOOKUP('Données projet'!$B$11,Paramètres!$A$1:$I$89,3,0)*VLOOKUP('Données projet'!$B$11,Paramètres!$A$1:$I$89,5,0)</f>
        <v>4.9658410716801891E-14</v>
      </c>
      <c r="BF143" s="13">
        <f t="shared" si="145"/>
        <v>8.0934058173791862E-13</v>
      </c>
      <c r="BG143" s="20">
        <f t="shared" si="115"/>
        <v>1.4960899118586383E-12</v>
      </c>
      <c r="BH143" s="59">
        <f t="shared" si="116"/>
        <v>285.42308790422584</v>
      </c>
      <c r="BI143" s="59">
        <f ca="1">AVERAGE(OFFSET($BH$3,0,0,'Données projet'!$E$11+1,1))-AVERAGE(OFFSET($H$3,0,0,'Données projet'!$E$11+1,1))</f>
        <v>360.3011551173708</v>
      </c>
      <c r="BJ143" s="59">
        <f t="shared" si="146"/>
        <v>388.50312617855309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0.53481639467680764</v>
      </c>
      <c r="BR143" s="21">
        <f>EXP(-LN(2)/2)*BR142+(1-EXP(-LN(2)/2))/(LN(2)/2)*BL143*BO143*VLOOKUP('Données projet'!$B$11,Paramètres!$A$1:$I$89,3,0)*0.475*44/12</f>
        <v>3.2797689946277746E-16</v>
      </c>
      <c r="BS143" s="22">
        <f t="shared" si="117"/>
        <v>0.53481639467680797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-4.5474735088646412E-13</v>
      </c>
      <c r="DP143" s="17">
        <f>DO143*VLOOKUP('Données projet'!$B$14,Paramètres!$A$1:$I$89,3,0)*VLOOKUP('Données projet'!$B$14,Paramètres!$A$1:$I$89,5,0)</f>
        <v>-2.7193891583010558E-13</v>
      </c>
      <c r="DQ143" s="13" t="e">
        <f t="shared" si="151"/>
        <v>#NUM!</v>
      </c>
      <c r="DR143" s="20" t="e">
        <f t="shared" si="124"/>
        <v>#NUM!</v>
      </c>
      <c r="DS143" s="59" t="e">
        <f t="shared" si="125"/>
        <v>#NUM!</v>
      </c>
      <c r="DT143" s="59">
        <f ca="1">AVERAGE(OFFSET($DS$3,0,0,'Données projet'!$E$14+1,1))-AVERAGE(OFFSET($H$3,0,0,'Données projet'!$E$14+1,1))</f>
        <v>350.88566459278962</v>
      </c>
      <c r="DU143" s="59">
        <f t="shared" si="152"/>
        <v>342.18151800581552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0.608620051031177</v>
      </c>
      <c r="EC143" s="21">
        <f>EXP(-LN(2)/2)*EC142+(1-EXP(-LN(2)/2))/(LN(2)/2)*DW143*DZ143*VLOOKUP('Données projet'!$B$14,Paramètres!$A$1:$I$89,3,0)*0.475*44/12</f>
        <v>6.5862204228825304E-16</v>
      </c>
      <c r="ED143" s="22">
        <f t="shared" si="126"/>
        <v>0.60862005103117767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-1.1527845344971866E-13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465.40148250851843</v>
      </c>
      <c r="T144" s="59">
        <f t="shared" si="142"/>
        <v>290.8428650572356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0.16036330145648259</v>
      </c>
      <c r="AB144" s="21">
        <f>EXP(-LN(2)/2)*AB143+(1-EXP(-LN(2)/2))/(LN(2)/2)*V144*Y144*VLOOKUP('Données projet'!$B$9,Paramètres!$A$1:$I$89,3,0)*0.475*44/12</f>
        <v>1.3613365202081119E-16</v>
      </c>
      <c r="AC144" s="22">
        <f t="shared" si="111"/>
        <v>0.16036330145648273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-1.223725121235475E-13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489.34829722967373</v>
      </c>
      <c r="AO144" s="59">
        <f t="shared" si="144"/>
        <v>304.94365539329362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0.17023181231534321</v>
      </c>
      <c r="AW144" s="21">
        <f>EXP(-LN(2)/2)*AW143+(1-EXP(-LN(2)/2))/(LN(2)/2)*AQ144*AT144*VLOOKUP('Données projet'!$B$10,Paramètres!$A$1:$I$89,3,0)*0.475*44/12</f>
        <v>1.4451110752978446E-16</v>
      </c>
      <c r="AX144" s="21">
        <f t="shared" si="114"/>
        <v>0.17023181231534334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5.6843418860808015E-14</v>
      </c>
      <c r="BE144" s="13">
        <f>BD144*VLOOKUP('Données projet'!$B$11,Paramètres!$A$1:$I$89,3,0)*VLOOKUP('Données projet'!$B$11,Paramètres!$A$1:$I$89,5,0)</f>
        <v>4.9658410716801891E-14</v>
      </c>
      <c r="BF144" s="13">
        <f t="shared" si="145"/>
        <v>8.0934058173791862E-13</v>
      </c>
      <c r="BG144" s="20">
        <f t="shared" si="115"/>
        <v>1.4960899118586383E-12</v>
      </c>
      <c r="BH144" s="59">
        <f t="shared" si="116"/>
        <v>285.5603129777615</v>
      </c>
      <c r="BI144" s="59">
        <f ca="1">AVERAGE(OFFSET($BH$3,0,0,'Données projet'!$E$11+1,1))-AVERAGE(OFFSET($H$3,0,0,'Données projet'!$E$11+1,1))</f>
        <v>360.3011551173708</v>
      </c>
      <c r="BJ144" s="59">
        <f t="shared" si="146"/>
        <v>388.50312617855309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0.52019181223959843</v>
      </c>
      <c r="BR144" s="21">
        <f>EXP(-LN(2)/2)*BR143+(1-EXP(-LN(2)/2))/(LN(2)/2)*BL144*BO144*VLOOKUP('Données projet'!$B$11,Paramètres!$A$1:$I$89,3,0)*0.475*44/12</f>
        <v>2.3191468968266847E-16</v>
      </c>
      <c r="BS144" s="22">
        <f t="shared" si="117"/>
        <v>0.52019181223959865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-4.5474735088646412E-13</v>
      </c>
      <c r="DP144" s="17">
        <f>DO144*VLOOKUP('Données projet'!$B$14,Paramètres!$A$1:$I$89,3,0)*VLOOKUP('Données projet'!$B$14,Paramètres!$A$1:$I$89,5,0)</f>
        <v>-2.7193891583010558E-13</v>
      </c>
      <c r="DQ144" s="13" t="e">
        <f t="shared" si="151"/>
        <v>#NUM!</v>
      </c>
      <c r="DR144" s="20" t="e">
        <f t="shared" si="124"/>
        <v>#NUM!</v>
      </c>
      <c r="DS144" s="59" t="e">
        <f t="shared" si="125"/>
        <v>#NUM!</v>
      </c>
      <c r="DT144" s="59">
        <f ca="1">AVERAGE(OFFSET($DS$3,0,0,'Données projet'!$E$14+1,1))-AVERAGE(OFFSET($H$3,0,0,'Données projet'!$E$14+1,1))</f>
        <v>350.88566459278962</v>
      </c>
      <c r="DU144" s="59">
        <f t="shared" si="152"/>
        <v>342.18151800581552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0.59197730372979196</v>
      </c>
      <c r="EC144" s="21">
        <f>EXP(-LN(2)/2)*EC143+(1-EXP(-LN(2)/2))/(LN(2)/2)*DW144*DZ144*VLOOKUP('Données projet'!$B$14,Paramètres!$A$1:$I$89,3,0)*0.475*44/12</f>
        <v>4.6571611234095678E-16</v>
      </c>
      <c r="ED144" s="22">
        <f t="shared" si="126"/>
        <v>0.5919773037297924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-1.1527845344971866E-13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465.40148250851843</v>
      </c>
      <c r="T145" s="59">
        <f t="shared" si="142"/>
        <v>290.8428650572356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0.15597815854501557</v>
      </c>
      <c r="AB145" s="21">
        <f>EXP(-LN(2)/2)*AB144+(1-EXP(-LN(2)/2))/(LN(2)/2)*V145*Y145*VLOOKUP('Données projet'!$B$9,Paramètres!$A$1:$I$89,3,0)*0.475*44/12</f>
        <v>9.6261028491605342E-17</v>
      </c>
      <c r="AC145" s="22">
        <f t="shared" si="111"/>
        <v>0.15597815854501565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-1.223725121235475E-13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489.34829722967373</v>
      </c>
      <c r="AO145" s="59">
        <f t="shared" si="144"/>
        <v>304.94365539329362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0.1655768144554782</v>
      </c>
      <c r="AW145" s="21">
        <f>EXP(-LN(2)/2)*AW144+(1-EXP(-LN(2)/2))/(LN(2)/2)*AQ145*AT145*VLOOKUP('Données projet'!$B$10,Paramètres!$A$1:$I$89,3,0)*0.475*44/12</f>
        <v>1.0218478409108894E-16</v>
      </c>
      <c r="AX145" s="21">
        <f t="shared" si="114"/>
        <v>0.16557681445547831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5.6843418860808015E-14</v>
      </c>
      <c r="BE145" s="13">
        <f>BD145*VLOOKUP('Données projet'!$B$11,Paramètres!$A$1:$I$89,3,0)*VLOOKUP('Données projet'!$B$11,Paramètres!$A$1:$I$89,5,0)</f>
        <v>4.9658410716801891E-14</v>
      </c>
      <c r="BF145" s="13">
        <f t="shared" si="145"/>
        <v>8.0934058173791862E-13</v>
      </c>
      <c r="BG145" s="20">
        <f t="shared" si="115"/>
        <v>1.4960899118586383E-12</v>
      </c>
      <c r="BH145" s="59">
        <f t="shared" si="116"/>
        <v>285.69515750306056</v>
      </c>
      <c r="BI145" s="59">
        <f ca="1">AVERAGE(OFFSET($BH$3,0,0,'Données projet'!$E$11+1,1))-AVERAGE(OFFSET($H$3,0,0,'Données projet'!$E$11+1,1))</f>
        <v>360.3011551173708</v>
      </c>
      <c r="BJ145" s="59">
        <f t="shared" si="146"/>
        <v>388.50312617855309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0.50596713977820806</v>
      </c>
      <c r="BR145" s="21">
        <f>EXP(-LN(2)/2)*BR144+(1-EXP(-LN(2)/2))/(LN(2)/2)*BL145*BO145*VLOOKUP('Données projet'!$B$11,Paramètres!$A$1:$I$89,3,0)*0.475*44/12</f>
        <v>1.6398844973138873E-16</v>
      </c>
      <c r="BS145" s="22">
        <f t="shared" si="117"/>
        <v>0.50596713977820817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-4.5474735088646412E-13</v>
      </c>
      <c r="DP145" s="17">
        <f>DO145*VLOOKUP('Données projet'!$B$14,Paramètres!$A$1:$I$89,3,0)*VLOOKUP('Données projet'!$B$14,Paramètres!$A$1:$I$89,5,0)</f>
        <v>-2.7193891583010558E-13</v>
      </c>
      <c r="DQ145" s="13" t="e">
        <f t="shared" si="151"/>
        <v>#NUM!</v>
      </c>
      <c r="DR145" s="20" t="e">
        <f t="shared" si="124"/>
        <v>#NUM!</v>
      </c>
      <c r="DS145" s="59" t="e">
        <f t="shared" si="125"/>
        <v>#NUM!</v>
      </c>
      <c r="DT145" s="59">
        <f ca="1">AVERAGE(OFFSET($DS$3,0,0,'Données projet'!$E$14+1,1))-AVERAGE(OFFSET($H$3,0,0,'Données projet'!$E$14+1,1))</f>
        <v>350.88566459278962</v>
      </c>
      <c r="DU145" s="59">
        <f t="shared" si="152"/>
        <v>342.18151800581552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0.57578965322856734</v>
      </c>
      <c r="EC145" s="21">
        <f>EXP(-LN(2)/2)*EC144+(1-EXP(-LN(2)/2))/(LN(2)/2)*DW145*DZ145*VLOOKUP('Données projet'!$B$14,Paramètres!$A$1:$I$89,3,0)*0.475*44/12</f>
        <v>3.2931102114412652E-16</v>
      </c>
      <c r="ED145" s="22">
        <f t="shared" si="126"/>
        <v>0.57578965322856768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-1.1527845344971866E-13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465.40148250851843</v>
      </c>
      <c r="T146" s="59">
        <f t="shared" si="142"/>
        <v>290.8428650572356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0.15171292759706725</v>
      </c>
      <c r="AB146" s="21">
        <f>EXP(-LN(2)/2)*AB145+(1-EXP(-LN(2)/2))/(LN(2)/2)*V146*Y146*VLOOKUP('Données projet'!$B$9,Paramètres!$A$1:$I$89,3,0)*0.475*44/12</f>
        <v>6.8066826010405595E-17</v>
      </c>
      <c r="AC146" s="22">
        <f t="shared" si="111"/>
        <v>0.15171292759706731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-1.223725121235475E-13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489.34829722967373</v>
      </c>
      <c r="AO146" s="59">
        <f t="shared" si="144"/>
        <v>304.94365539329362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0.16104910775688691</v>
      </c>
      <c r="AW146" s="21">
        <f>EXP(-LN(2)/2)*AW145+(1-EXP(-LN(2)/2))/(LN(2)/2)*AQ146*AT146*VLOOKUP('Données projet'!$B$10,Paramètres!$A$1:$I$89,3,0)*0.475*44/12</f>
        <v>7.2255553764892229E-17</v>
      </c>
      <c r="AX146" s="21">
        <f t="shared" si="114"/>
        <v>0.16104910775688699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5.6843418860808015E-14</v>
      </c>
      <c r="BE146" s="13">
        <f>BD146*VLOOKUP('Données projet'!$B$11,Paramètres!$A$1:$I$89,3,0)*VLOOKUP('Données projet'!$B$11,Paramètres!$A$1:$I$89,5,0)</f>
        <v>4.9658410716801891E-14</v>
      </c>
      <c r="BF146" s="13">
        <f t="shared" si="145"/>
        <v>8.0934058173791862E-13</v>
      </c>
      <c r="BG146" s="20">
        <f t="shared" si="115"/>
        <v>1.4960899118586383E-12</v>
      </c>
      <c r="BH146" s="59">
        <f t="shared" si="116"/>
        <v>285.82766277731292</v>
      </c>
      <c r="BI146" s="59">
        <f ca="1">AVERAGE(OFFSET($BH$3,0,0,'Données projet'!$E$11+1,1))-AVERAGE(OFFSET($H$3,0,0,'Données projet'!$E$11+1,1))</f>
        <v>360.3011551173708</v>
      </c>
      <c r="BJ146" s="59">
        <f t="shared" si="146"/>
        <v>388.50312617855309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0.49213144173331747</v>
      </c>
      <c r="BR146" s="21">
        <f>EXP(-LN(2)/2)*BR145+(1-EXP(-LN(2)/2))/(LN(2)/2)*BL146*BO146*VLOOKUP('Données projet'!$B$11,Paramètres!$A$1:$I$89,3,0)*0.475*44/12</f>
        <v>1.1595734484133424E-16</v>
      </c>
      <c r="BS146" s="22">
        <f t="shared" si="117"/>
        <v>0.49213144173331758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-4.5474735088646412E-13</v>
      </c>
      <c r="DP146" s="17">
        <f>DO146*VLOOKUP('Données projet'!$B$14,Paramètres!$A$1:$I$89,3,0)*VLOOKUP('Données projet'!$B$14,Paramètres!$A$1:$I$89,5,0)</f>
        <v>-2.7193891583010558E-13</v>
      </c>
      <c r="DQ146" s="13" t="e">
        <f t="shared" si="151"/>
        <v>#NUM!</v>
      </c>
      <c r="DR146" s="20" t="e">
        <f t="shared" si="124"/>
        <v>#NUM!</v>
      </c>
      <c r="DS146" s="59" t="e">
        <f t="shared" si="125"/>
        <v>#NUM!</v>
      </c>
      <c r="DT146" s="59">
        <f ca="1">AVERAGE(OFFSET($DS$3,0,0,'Données projet'!$E$14+1,1))-AVERAGE(OFFSET($H$3,0,0,'Données projet'!$E$14+1,1))</f>
        <v>350.88566459278962</v>
      </c>
      <c r="DU146" s="59">
        <f t="shared" si="152"/>
        <v>342.18151800581552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0.56004465488157029</v>
      </c>
      <c r="EC146" s="21">
        <f>EXP(-LN(2)/2)*EC145+(1-EXP(-LN(2)/2))/(LN(2)/2)*DW146*DZ146*VLOOKUP('Données projet'!$B$14,Paramètres!$A$1:$I$89,3,0)*0.475*44/12</f>
        <v>2.3285805617047839E-16</v>
      </c>
      <c r="ED146" s="22">
        <f t="shared" si="126"/>
        <v>0.56004465488157051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-1.1527845344971866E-13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465.40148250851843</v>
      </c>
      <c r="T147" s="59">
        <f t="shared" si="142"/>
        <v>290.8428650572356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0.14756432961368934</v>
      </c>
      <c r="AB147" s="21">
        <f>EXP(-LN(2)/2)*AB146+(1-EXP(-LN(2)/2))/(LN(2)/2)*V147*Y147*VLOOKUP('Données projet'!$B$9,Paramètres!$A$1:$I$89,3,0)*0.475*44/12</f>
        <v>4.8130514245802671E-17</v>
      </c>
      <c r="AC147" s="22">
        <f t="shared" si="111"/>
        <v>0.1475643296136894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-1.223725121235475E-13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489.34829722967373</v>
      </c>
      <c r="AO147" s="59">
        <f t="shared" si="144"/>
        <v>304.94365539329362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0.15664521143607035</v>
      </c>
      <c r="AW147" s="21">
        <f>EXP(-LN(2)/2)*AW146+(1-EXP(-LN(2)/2))/(LN(2)/2)*AQ147*AT147*VLOOKUP('Données projet'!$B$10,Paramètres!$A$1:$I$89,3,0)*0.475*44/12</f>
        <v>5.109239204554447E-17</v>
      </c>
      <c r="AX147" s="21">
        <f t="shared" si="114"/>
        <v>0.15664521143607041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5.6843418860808015E-14</v>
      </c>
      <c r="BE147" s="13">
        <f>BD147*VLOOKUP('Données projet'!$B$11,Paramètres!$A$1:$I$89,3,0)*VLOOKUP('Données projet'!$B$11,Paramètres!$A$1:$I$89,5,0)</f>
        <v>4.9658410716801891E-14</v>
      </c>
      <c r="BF147" s="13">
        <f t="shared" si="145"/>
        <v>8.0934058173791862E-13</v>
      </c>
      <c r="BG147" s="20">
        <f t="shared" si="115"/>
        <v>1.4960899118586383E-12</v>
      </c>
      <c r="BH147" s="59">
        <f t="shared" si="116"/>
        <v>285.95786938129436</v>
      </c>
      <c r="BI147" s="59">
        <f ca="1">AVERAGE(OFFSET($BH$3,0,0,'Données projet'!$E$11+1,1))-AVERAGE(OFFSET($H$3,0,0,'Données projet'!$E$11+1,1))</f>
        <v>360.3011551173708</v>
      </c>
      <c r="BJ147" s="59">
        <f t="shared" si="146"/>
        <v>388.50312617855309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0.47867408157905217</v>
      </c>
      <c r="BR147" s="21">
        <f>EXP(-LN(2)/2)*BR146+(1-EXP(-LN(2)/2))/(LN(2)/2)*BL147*BO147*VLOOKUP('Données projet'!$B$11,Paramètres!$A$1:$I$89,3,0)*0.475*44/12</f>
        <v>8.1994224865694366E-17</v>
      </c>
      <c r="BS147" s="22">
        <f t="shared" si="117"/>
        <v>0.47867408157905222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-4.5474735088646412E-13</v>
      </c>
      <c r="DP147" s="17">
        <f>DO147*VLOOKUP('Données projet'!$B$14,Paramètres!$A$1:$I$89,3,0)*VLOOKUP('Données projet'!$B$14,Paramètres!$A$1:$I$89,5,0)</f>
        <v>-2.7193891583010558E-13</v>
      </c>
      <c r="DQ147" s="13" t="e">
        <f t="shared" si="151"/>
        <v>#NUM!</v>
      </c>
      <c r="DR147" s="20" t="e">
        <f t="shared" si="124"/>
        <v>#NUM!</v>
      </c>
      <c r="DS147" s="59" t="e">
        <f t="shared" si="125"/>
        <v>#NUM!</v>
      </c>
      <c r="DT147" s="59">
        <f ca="1">AVERAGE(OFFSET($DS$3,0,0,'Données projet'!$E$14+1,1))-AVERAGE(OFFSET($H$3,0,0,'Données projet'!$E$14+1,1))</f>
        <v>350.88566459278962</v>
      </c>
      <c r="DU147" s="59">
        <f t="shared" si="152"/>
        <v>342.18151800581552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0.5447302043423653</v>
      </c>
      <c r="EC147" s="21">
        <f>EXP(-LN(2)/2)*EC146+(1-EXP(-LN(2)/2))/(LN(2)/2)*DW147*DZ147*VLOOKUP('Données projet'!$B$14,Paramètres!$A$1:$I$89,3,0)*0.475*44/12</f>
        <v>1.6465551057206326E-16</v>
      </c>
      <c r="ED147" s="22">
        <f t="shared" si="126"/>
        <v>0.54473020434236541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-1.1527845344971866E-13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465.40148250851843</v>
      </c>
      <c r="T148" s="59">
        <f t="shared" si="142"/>
        <v>290.8428650572356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0.14352917526033218</v>
      </c>
      <c r="AB148" s="21">
        <f>EXP(-LN(2)/2)*AB147+(1-EXP(-LN(2)/2))/(LN(2)/2)*V148*Y148*VLOOKUP('Données projet'!$B$9,Paramètres!$A$1:$I$89,3,0)*0.475*44/12</f>
        <v>3.4033413005202797E-17</v>
      </c>
      <c r="AC148" s="22">
        <f t="shared" si="111"/>
        <v>0.14352917526033221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-1.223725121235475E-13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489.34829722967373</v>
      </c>
      <c r="AO148" s="59">
        <f t="shared" si="144"/>
        <v>304.94365539329362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0.15236173989173735</v>
      </c>
      <c r="AW148" s="21">
        <f>EXP(-LN(2)/2)*AW147+(1-EXP(-LN(2)/2))/(LN(2)/2)*AQ148*AT148*VLOOKUP('Données projet'!$B$10,Paramètres!$A$1:$I$89,3,0)*0.475*44/12</f>
        <v>3.6127776882446114E-17</v>
      </c>
      <c r="AX148" s="21">
        <f t="shared" si="114"/>
        <v>0.15236173989173737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5.6843418860808015E-14</v>
      </c>
      <c r="BE148" s="13">
        <f>BD148*VLOOKUP('Données projet'!$B$11,Paramètres!$A$1:$I$89,3,0)*VLOOKUP('Données projet'!$B$11,Paramètres!$A$1:$I$89,5,0)</f>
        <v>4.9658410716801891E-14</v>
      </c>
      <c r="BF148" s="13">
        <f t="shared" si="145"/>
        <v>8.0934058173791862E-13</v>
      </c>
      <c r="BG148" s="20">
        <f t="shared" si="115"/>
        <v>1.4960899118586383E-12</v>
      </c>
      <c r="BH148" s="59">
        <f t="shared" si="116"/>
        <v>286.08581719179506</v>
      </c>
      <c r="BI148" s="59">
        <f ca="1">AVERAGE(OFFSET($BH$3,0,0,'Données projet'!$E$11+1,1))-AVERAGE(OFFSET($H$3,0,0,'Données projet'!$E$11+1,1))</f>
        <v>360.3011551173708</v>
      </c>
      <c r="BJ148" s="59">
        <f t="shared" si="146"/>
        <v>388.50312617855309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0.46558471364589704</v>
      </c>
      <c r="BR148" s="21">
        <f>EXP(-LN(2)/2)*BR147+(1-EXP(-LN(2)/2))/(LN(2)/2)*BL148*BO148*VLOOKUP('Données projet'!$B$11,Paramètres!$A$1:$I$89,3,0)*0.475*44/12</f>
        <v>5.7978672420667118E-17</v>
      </c>
      <c r="BS148" s="22">
        <f t="shared" si="117"/>
        <v>0.4655847136458971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-4.5474735088646412E-13</v>
      </c>
      <c r="DP148" s="17">
        <f>DO148*VLOOKUP('Données projet'!$B$14,Paramètres!$A$1:$I$89,3,0)*VLOOKUP('Données projet'!$B$14,Paramètres!$A$1:$I$89,5,0)</f>
        <v>-2.7193891583010558E-13</v>
      </c>
      <c r="DQ148" s="13" t="e">
        <f t="shared" si="151"/>
        <v>#NUM!</v>
      </c>
      <c r="DR148" s="20" t="e">
        <f t="shared" si="124"/>
        <v>#NUM!</v>
      </c>
      <c r="DS148" s="59" t="e">
        <f t="shared" si="125"/>
        <v>#NUM!</v>
      </c>
      <c r="DT148" s="59">
        <f ca="1">AVERAGE(OFFSET($DS$3,0,0,'Données projet'!$E$14+1,1))-AVERAGE(OFFSET($H$3,0,0,'Données projet'!$E$14+1,1))</f>
        <v>350.88566459278962</v>
      </c>
      <c r="DU148" s="59">
        <f t="shared" si="152"/>
        <v>342.18151800581552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0.52983452825850685</v>
      </c>
      <c r="EC148" s="21">
        <f>EXP(-LN(2)/2)*EC147+(1-EXP(-LN(2)/2))/(LN(2)/2)*DW148*DZ148*VLOOKUP('Données projet'!$B$14,Paramètres!$A$1:$I$89,3,0)*0.475*44/12</f>
        <v>1.1642902808523919E-16</v>
      </c>
      <c r="ED148" s="22">
        <f t="shared" si="126"/>
        <v>0.52983452825850696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-1.1527845344971866E-13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465.40148250851843</v>
      </c>
      <c r="T149" s="59">
        <f t="shared" si="142"/>
        <v>290.8428650572356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0.1396043624149671</v>
      </c>
      <c r="AB149" s="21">
        <f>EXP(-LN(2)/2)*AB148+(1-EXP(-LN(2)/2))/(LN(2)/2)*V149*Y149*VLOOKUP('Données projet'!$B$9,Paramètres!$A$1:$I$89,3,0)*0.475*44/12</f>
        <v>2.4065257122901335E-17</v>
      </c>
      <c r="AC149" s="22">
        <f t="shared" si="111"/>
        <v>0.13960436241496713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-1.223725121235475E-13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489.34829722967373</v>
      </c>
      <c r="AO149" s="59">
        <f t="shared" si="144"/>
        <v>304.94365539329362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0.1481954001020421</v>
      </c>
      <c r="AW149" s="21">
        <f>EXP(-LN(2)/2)*AW148+(1-EXP(-LN(2)/2))/(LN(2)/2)*AQ149*AT149*VLOOKUP('Données projet'!$B$10,Paramètres!$A$1:$I$89,3,0)*0.475*44/12</f>
        <v>2.5546196022772235E-17</v>
      </c>
      <c r="AX149" s="21">
        <f t="shared" si="114"/>
        <v>0.14819540010204213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5.6843418860808015E-14</v>
      </c>
      <c r="BE149" s="13">
        <f>BD149*VLOOKUP('Données projet'!$B$11,Paramètres!$A$1:$I$89,3,0)*VLOOKUP('Données projet'!$B$11,Paramètres!$A$1:$I$89,5,0)</f>
        <v>4.9658410716801891E-14</v>
      </c>
      <c r="BF149" s="13">
        <f t="shared" si="145"/>
        <v>8.0934058173791862E-13</v>
      </c>
      <c r="BG149" s="20">
        <f t="shared" si="115"/>
        <v>1.4960899118586383E-12</v>
      </c>
      <c r="BH149" s="59">
        <f t="shared" si="116"/>
        <v>286.21154539383213</v>
      </c>
      <c r="BI149" s="59">
        <f ca="1">AVERAGE(OFFSET($BH$3,0,0,'Données projet'!$E$11+1,1))-AVERAGE(OFFSET($H$3,0,0,'Données projet'!$E$11+1,1))</f>
        <v>360.3011551173708</v>
      </c>
      <c r="BJ149" s="59">
        <f t="shared" si="146"/>
        <v>388.50312617855309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0.45285327516721402</v>
      </c>
      <c r="BR149" s="21">
        <f>EXP(-LN(2)/2)*BR148+(1-EXP(-LN(2)/2))/(LN(2)/2)*BL149*BO149*VLOOKUP('Données projet'!$B$11,Paramètres!$A$1:$I$89,3,0)*0.475*44/12</f>
        <v>4.0997112432847183E-17</v>
      </c>
      <c r="BS149" s="22">
        <f t="shared" si="117"/>
        <v>0.45285327516721408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-4.5474735088646412E-13</v>
      </c>
      <c r="DP149" s="17">
        <f>DO149*VLOOKUP('Données projet'!$B$14,Paramètres!$A$1:$I$89,3,0)*VLOOKUP('Données projet'!$B$14,Paramètres!$A$1:$I$89,5,0)</f>
        <v>-2.7193891583010558E-13</v>
      </c>
      <c r="DQ149" s="13" t="e">
        <f t="shared" si="151"/>
        <v>#NUM!</v>
      </c>
      <c r="DR149" s="20" t="e">
        <f t="shared" si="124"/>
        <v>#NUM!</v>
      </c>
      <c r="DS149" s="59" t="e">
        <f t="shared" si="125"/>
        <v>#NUM!</v>
      </c>
      <c r="DT149" s="59">
        <f ca="1">AVERAGE(OFFSET($DS$3,0,0,'Données projet'!$E$14+1,1))-AVERAGE(OFFSET($H$3,0,0,'Données projet'!$E$14+1,1))</f>
        <v>350.88566459278962</v>
      </c>
      <c r="DU149" s="59">
        <f t="shared" si="152"/>
        <v>342.18151800581552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0.51534617522049109</v>
      </c>
      <c r="EC149" s="21">
        <f>EXP(-LN(2)/2)*EC148+(1-EXP(-LN(2)/2))/(LN(2)/2)*DW149*DZ149*VLOOKUP('Données projet'!$B$14,Paramètres!$A$1:$I$89,3,0)*0.475*44/12</f>
        <v>8.232775528603163E-17</v>
      </c>
      <c r="ED149" s="22">
        <f t="shared" si="126"/>
        <v>0.5153461752204912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-1.1527845344971866E-13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465.40148250851843</v>
      </c>
      <c r="T150" s="59">
        <f t="shared" si="142"/>
        <v>290.8428650572356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0.13578687378325546</v>
      </c>
      <c r="AB150" s="21">
        <f>EXP(-LN(2)/2)*AB149+(1-EXP(-LN(2)/2))/(LN(2)/2)*V150*Y150*VLOOKUP('Données projet'!$B$9,Paramètres!$A$1:$I$89,3,0)*0.475*44/12</f>
        <v>1.7016706502601399E-17</v>
      </c>
      <c r="AC150" s="22">
        <f t="shared" si="111"/>
        <v>0.13578687378325549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-1.223725121235475E-13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489.34829722967373</v>
      </c>
      <c r="AO150" s="59">
        <f t="shared" si="144"/>
        <v>304.94365539329362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0.14414298909299436</v>
      </c>
      <c r="AW150" s="21">
        <f>EXP(-LN(2)/2)*AW149+(1-EXP(-LN(2)/2))/(LN(2)/2)*AQ150*AT150*VLOOKUP('Données projet'!$B$10,Paramètres!$A$1:$I$89,3,0)*0.475*44/12</f>
        <v>1.8063888441223057E-17</v>
      </c>
      <c r="AX150" s="21">
        <f t="shared" si="114"/>
        <v>0.14414298909299439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5.6843418860808015E-14</v>
      </c>
      <c r="BE150" s="13">
        <f>BD150*VLOOKUP('Données projet'!$B$11,Paramètres!$A$1:$I$89,3,0)*VLOOKUP('Données projet'!$B$11,Paramètres!$A$1:$I$89,5,0)</f>
        <v>4.9658410716801891E-14</v>
      </c>
      <c r="BF150" s="13">
        <f t="shared" si="145"/>
        <v>8.0934058173791862E-13</v>
      </c>
      <c r="BG150" s="20">
        <f t="shared" si="115"/>
        <v>1.4960899118586383E-12</v>
      </c>
      <c r="BH150" s="59">
        <f t="shared" si="116"/>
        <v>286.33509249264989</v>
      </c>
      <c r="BI150" s="59">
        <f ca="1">AVERAGE(OFFSET($BH$3,0,0,'Données projet'!$E$11+1,1))-AVERAGE(OFFSET($H$3,0,0,'Données projet'!$E$11+1,1))</f>
        <v>360.3011551173708</v>
      </c>
      <c r="BJ150" s="59">
        <f t="shared" si="146"/>
        <v>388.50312617855309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0.44046997854324782</v>
      </c>
      <c r="BR150" s="21">
        <f>EXP(-LN(2)/2)*BR149+(1-EXP(-LN(2)/2))/(LN(2)/2)*BL150*BO150*VLOOKUP('Données projet'!$B$11,Paramètres!$A$1:$I$89,3,0)*0.475*44/12</f>
        <v>2.8989336210333559E-17</v>
      </c>
      <c r="BS150" s="22">
        <f t="shared" si="117"/>
        <v>0.44046997854324788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-4.5474735088646412E-13</v>
      </c>
      <c r="DP150" s="17">
        <f>DO150*VLOOKUP('Données projet'!$B$14,Paramètres!$A$1:$I$89,3,0)*VLOOKUP('Données projet'!$B$14,Paramètres!$A$1:$I$89,5,0)</f>
        <v>-2.7193891583010558E-13</v>
      </c>
      <c r="DQ150" s="13" t="e">
        <f t="shared" si="151"/>
        <v>#NUM!</v>
      </c>
      <c r="DR150" s="20" t="e">
        <f t="shared" si="124"/>
        <v>#NUM!</v>
      </c>
      <c r="DS150" s="59" t="e">
        <f t="shared" si="125"/>
        <v>#NUM!</v>
      </c>
      <c r="DT150" s="59">
        <f ca="1">AVERAGE(OFFSET($DS$3,0,0,'Données projet'!$E$14+1,1))-AVERAGE(OFFSET($H$3,0,0,'Données projet'!$E$14+1,1))</f>
        <v>350.88566459278962</v>
      </c>
      <c r="DU150" s="59">
        <f t="shared" si="152"/>
        <v>342.18151800581552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0.50125400695820921</v>
      </c>
      <c r="EC150" s="21">
        <f>EXP(-LN(2)/2)*EC149+(1-EXP(-LN(2)/2))/(LN(2)/2)*DW150*DZ150*VLOOKUP('Données projet'!$B$14,Paramètres!$A$1:$I$89,3,0)*0.475*44/12</f>
        <v>5.8214514042619597E-17</v>
      </c>
      <c r="ED150" s="22">
        <f t="shared" si="126"/>
        <v>0.50125400695820932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-1.1527845344971866E-13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465.40148250851843</v>
      </c>
      <c r="T151" s="59">
        <f t="shared" si="142"/>
        <v>290.8428650572356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0.13207377457893099</v>
      </c>
      <c r="AB151" s="21">
        <f>EXP(-LN(2)/2)*AB150+(1-EXP(-LN(2)/2))/(LN(2)/2)*V151*Y151*VLOOKUP('Données projet'!$B$9,Paramètres!$A$1:$I$89,3,0)*0.475*44/12</f>
        <v>1.2032628561450668E-17</v>
      </c>
      <c r="AC151" s="22">
        <f t="shared" si="111"/>
        <v>0.13207377457893099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-1.223725121235475E-13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489.34829722967373</v>
      </c>
      <c r="AO151" s="59">
        <f t="shared" si="144"/>
        <v>304.94365539329362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0.14020139147609609</v>
      </c>
      <c r="AW151" s="21">
        <f>EXP(-LN(2)/2)*AW150+(1-EXP(-LN(2)/2))/(LN(2)/2)*AQ151*AT151*VLOOKUP('Données projet'!$B$10,Paramètres!$A$1:$I$89,3,0)*0.475*44/12</f>
        <v>1.2773098011386118E-17</v>
      </c>
      <c r="AX151" s="21">
        <f t="shared" si="114"/>
        <v>0.14020139147609609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5.6843418860808015E-14</v>
      </c>
      <c r="BE151" s="13">
        <f>BD151*VLOOKUP('Données projet'!$B$11,Paramètres!$A$1:$I$89,3,0)*VLOOKUP('Données projet'!$B$11,Paramètres!$A$1:$I$89,5,0)</f>
        <v>4.9658410716801891E-14</v>
      </c>
      <c r="BF151" s="13">
        <f t="shared" si="145"/>
        <v>8.0934058173791862E-13</v>
      </c>
      <c r="BG151" s="20">
        <f t="shared" si="115"/>
        <v>1.4960899118586383E-12</v>
      </c>
      <c r="BH151" s="59">
        <f t="shared" si="116"/>
        <v>286.45649632551317</v>
      </c>
      <c r="BI151" s="59">
        <f ca="1">AVERAGE(OFFSET($BH$3,0,0,'Données projet'!$E$11+1,1))-AVERAGE(OFFSET($H$3,0,0,'Données projet'!$E$11+1,1))</f>
        <v>360.3011551173708</v>
      </c>
      <c r="BJ151" s="59">
        <f t="shared" si="146"/>
        <v>388.50312617855309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0.42842530381667326</v>
      </c>
      <c r="BR151" s="21">
        <f>EXP(-LN(2)/2)*BR150+(1-EXP(-LN(2)/2))/(LN(2)/2)*BL151*BO151*VLOOKUP('Données projet'!$B$11,Paramètres!$A$1:$I$89,3,0)*0.475*44/12</f>
        <v>2.0498556216423591E-17</v>
      </c>
      <c r="BS151" s="22">
        <f t="shared" si="117"/>
        <v>0.42842530381667326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-4.5474735088646412E-13</v>
      </c>
      <c r="DP151" s="17">
        <f>DO151*VLOOKUP('Données projet'!$B$14,Paramètres!$A$1:$I$89,3,0)*VLOOKUP('Données projet'!$B$14,Paramètres!$A$1:$I$89,5,0)</f>
        <v>-2.7193891583010558E-13</v>
      </c>
      <c r="DQ151" s="13" t="e">
        <f t="shared" si="151"/>
        <v>#NUM!</v>
      </c>
      <c r="DR151" s="20" t="e">
        <f t="shared" si="124"/>
        <v>#NUM!</v>
      </c>
      <c r="DS151" s="59" t="e">
        <f t="shared" si="125"/>
        <v>#NUM!</v>
      </c>
      <c r="DT151" s="59">
        <f ca="1">AVERAGE(OFFSET($DS$3,0,0,'Données projet'!$E$14+1,1))-AVERAGE(OFFSET($H$3,0,0,'Données projet'!$E$14+1,1))</f>
        <v>350.88566459278962</v>
      </c>
      <c r="DU151" s="59">
        <f t="shared" si="152"/>
        <v>342.18151800581552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0.48754718977813438</v>
      </c>
      <c r="EC151" s="21">
        <f>EXP(-LN(2)/2)*EC150+(1-EXP(-LN(2)/2))/(LN(2)/2)*DW151*DZ151*VLOOKUP('Données projet'!$B$14,Paramètres!$A$1:$I$89,3,0)*0.475*44/12</f>
        <v>4.1163877643015815E-17</v>
      </c>
      <c r="ED151" s="22">
        <f t="shared" si="126"/>
        <v>0.48754718977813444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-1.1527845344971866E-13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465.40148250851843</v>
      </c>
      <c r="T152" s="59">
        <f t="shared" si="142"/>
        <v>290.8428650572356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0.12846221026761218</v>
      </c>
      <c r="AB152" s="21">
        <f>EXP(-LN(2)/2)*AB151+(1-EXP(-LN(2)/2))/(LN(2)/2)*V152*Y152*VLOOKUP('Données projet'!$B$9,Paramètres!$A$1:$I$89,3,0)*0.475*44/12</f>
        <v>8.5083532513006993E-18</v>
      </c>
      <c r="AC152" s="22">
        <f t="shared" si="111"/>
        <v>0.12846221026761218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-1.223725121235475E-13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489.34829722967373</v>
      </c>
      <c r="AO152" s="59">
        <f t="shared" si="144"/>
        <v>304.94365539329362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0.13636757705331148</v>
      </c>
      <c r="AW152" s="21">
        <f>EXP(-LN(2)/2)*AW151+(1-EXP(-LN(2)/2))/(LN(2)/2)*AQ152*AT152*VLOOKUP('Données projet'!$B$10,Paramètres!$A$1:$I$89,3,0)*0.475*44/12</f>
        <v>9.0319442206115286E-18</v>
      </c>
      <c r="AX152" s="21">
        <f t="shared" si="114"/>
        <v>0.13636757705331148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5.6843418860808015E-14</v>
      </c>
      <c r="BE152" s="13">
        <f>BD152*VLOOKUP('Données projet'!$B$11,Paramètres!$A$1:$I$89,3,0)*VLOOKUP('Données projet'!$B$11,Paramètres!$A$1:$I$89,5,0)</f>
        <v>4.9658410716801891E-14</v>
      </c>
      <c r="BF152" s="13">
        <f t="shared" si="145"/>
        <v>8.0934058173791862E-13</v>
      </c>
      <c r="BG152" s="20">
        <f t="shared" si="115"/>
        <v>1.4960899118586383E-12</v>
      </c>
      <c r="BH152" s="59">
        <f t="shared" si="116"/>
        <v>286.57579407329456</v>
      </c>
      <c r="BI152" s="59">
        <f ca="1">AVERAGE(OFFSET($BH$3,0,0,'Données projet'!$E$11+1,1))-AVERAGE(OFFSET($H$3,0,0,'Données projet'!$E$11+1,1))</f>
        <v>360.3011551173708</v>
      </c>
      <c r="BJ152" s="59">
        <f t="shared" si="146"/>
        <v>388.50312617855309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0.4167099913538988</v>
      </c>
      <c r="BR152" s="21">
        <f>EXP(-LN(2)/2)*BR151+(1-EXP(-LN(2)/2))/(LN(2)/2)*BL152*BO152*VLOOKUP('Données projet'!$B$11,Paramètres!$A$1:$I$89,3,0)*0.475*44/12</f>
        <v>1.449466810516678E-17</v>
      </c>
      <c r="BS152" s="22">
        <f t="shared" si="117"/>
        <v>0.4167099913538988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-4.5474735088646412E-13</v>
      </c>
      <c r="DP152" s="17">
        <f>DO152*VLOOKUP('Données projet'!$B$14,Paramètres!$A$1:$I$89,3,0)*VLOOKUP('Données projet'!$B$14,Paramètres!$A$1:$I$89,5,0)</f>
        <v>-2.7193891583010558E-13</v>
      </c>
      <c r="DQ152" s="13" t="e">
        <f t="shared" si="151"/>
        <v>#NUM!</v>
      </c>
      <c r="DR152" s="20" t="e">
        <f t="shared" si="124"/>
        <v>#NUM!</v>
      </c>
      <c r="DS152" s="59" t="e">
        <f t="shared" si="125"/>
        <v>#NUM!</v>
      </c>
      <c r="DT152" s="59">
        <f ca="1">AVERAGE(OFFSET($DS$3,0,0,'Données projet'!$E$14+1,1))-AVERAGE(OFFSET($H$3,0,0,'Données projet'!$E$14+1,1))</f>
        <v>350.88566459278962</v>
      </c>
      <c r="DU152" s="59">
        <f t="shared" si="152"/>
        <v>342.18151800581552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0.47421518623465891</v>
      </c>
      <c r="EC152" s="21">
        <f>EXP(-LN(2)/2)*EC151+(1-EXP(-LN(2)/2))/(LN(2)/2)*DW152*DZ152*VLOOKUP('Données projet'!$B$14,Paramètres!$A$1:$I$89,3,0)*0.475*44/12</f>
        <v>2.9107257021309799E-17</v>
      </c>
      <c r="ED152" s="22">
        <f t="shared" si="126"/>
        <v>0.47421518623465897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-1.1527845344971866E-13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465.40148250851843</v>
      </c>
      <c r="T153" s="59">
        <f t="shared" si="142"/>
        <v>290.8428650572356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0.12494940437231029</v>
      </c>
      <c r="AB153" s="21">
        <f>EXP(-LN(2)/2)*AB152+(1-EXP(-LN(2)/2))/(LN(2)/2)*V153*Y153*VLOOKUP('Données projet'!$B$9,Paramètres!$A$1:$I$89,3,0)*0.475*44/12</f>
        <v>6.0163142807253338E-18</v>
      </c>
      <c r="AC153" s="22">
        <f t="shared" si="111"/>
        <v>0.12494940437231029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-1.223725121235475E-13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489.34829722967373</v>
      </c>
      <c r="AO153" s="59">
        <f t="shared" si="144"/>
        <v>304.94365539329362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0.13263859848752949</v>
      </c>
      <c r="AW153" s="21">
        <f>EXP(-LN(2)/2)*AW152+(1-EXP(-LN(2)/2))/(LN(2)/2)*AQ153*AT153*VLOOKUP('Données projet'!$B$10,Paramètres!$A$1:$I$89,3,0)*0.475*44/12</f>
        <v>6.3865490056930588E-18</v>
      </c>
      <c r="AX153" s="21">
        <f t="shared" si="114"/>
        <v>0.13263859848752949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5.6843418860808015E-14</v>
      </c>
      <c r="BE153" s="13">
        <f>BD153*VLOOKUP('Données projet'!$B$11,Paramètres!$A$1:$I$89,3,0)*VLOOKUP('Données projet'!$B$11,Paramètres!$A$1:$I$89,5,0)</f>
        <v>4.9658410716801891E-14</v>
      </c>
      <c r="BF153" s="13">
        <f t="shared" si="145"/>
        <v>8.0934058173791862E-13</v>
      </c>
      <c r="BG153" s="20">
        <f t="shared" si="115"/>
        <v>1.4960899118586383E-12</v>
      </c>
      <c r="BH153" s="59">
        <f t="shared" si="116"/>
        <v>286.69302227186182</v>
      </c>
      <c r="BI153" s="59">
        <f ca="1">AVERAGE(OFFSET($BH$3,0,0,'Données projet'!$E$11+1,1))-AVERAGE(OFFSET($H$3,0,0,'Données projet'!$E$11+1,1))</f>
        <v>360.3011551173708</v>
      </c>
      <c r="BJ153" s="59">
        <f t="shared" si="146"/>
        <v>388.50312617855309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0.40531503472650038</v>
      </c>
      <c r="BR153" s="21">
        <f>EXP(-LN(2)/2)*BR152+(1-EXP(-LN(2)/2))/(LN(2)/2)*BL153*BO153*VLOOKUP('Données projet'!$B$11,Paramètres!$A$1:$I$89,3,0)*0.475*44/12</f>
        <v>1.0249278108211796E-17</v>
      </c>
      <c r="BS153" s="22">
        <f t="shared" si="117"/>
        <v>0.40531503472650038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-4.5474735088646412E-13</v>
      </c>
      <c r="DP153" s="17">
        <f>DO153*VLOOKUP('Données projet'!$B$14,Paramètres!$A$1:$I$89,3,0)*VLOOKUP('Données projet'!$B$14,Paramètres!$A$1:$I$89,5,0)</f>
        <v>-2.7193891583010558E-13</v>
      </c>
      <c r="DQ153" s="13" t="e">
        <f t="shared" si="151"/>
        <v>#NUM!</v>
      </c>
      <c r="DR153" s="20" t="e">
        <f t="shared" si="124"/>
        <v>#NUM!</v>
      </c>
      <c r="DS153" s="59" t="e">
        <f t="shared" si="125"/>
        <v>#NUM!</v>
      </c>
      <c r="DT153" s="59">
        <f ca="1">AVERAGE(OFFSET($DS$3,0,0,'Données projet'!$E$14+1,1))-AVERAGE(OFFSET($H$3,0,0,'Données projet'!$E$14+1,1))</f>
        <v>350.88566459278962</v>
      </c>
      <c r="DU153" s="59">
        <f t="shared" si="152"/>
        <v>342.18151800581552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0.46124774702917937</v>
      </c>
      <c r="EC153" s="21">
        <f>EXP(-LN(2)/2)*EC152+(1-EXP(-LN(2)/2))/(LN(2)/2)*DW153*DZ153*VLOOKUP('Données projet'!$B$14,Paramètres!$A$1:$I$89,3,0)*0.475*44/12</f>
        <v>2.0581938821507907E-17</v>
      </c>
      <c r="ED153" s="22">
        <f t="shared" si="126"/>
        <v>0.46124774702917937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-1.1527845344971866E-13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465.40148250851843</v>
      </c>
      <c r="T154" s="59">
        <f t="shared" si="142"/>
        <v>290.8428650572356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0.12153265633894587</v>
      </c>
      <c r="AB154" s="21">
        <f>EXP(-LN(2)/2)*AB153+(1-EXP(-LN(2)/2))/(LN(2)/2)*V154*Y154*VLOOKUP('Données projet'!$B$9,Paramètres!$A$1:$I$89,3,0)*0.475*44/12</f>
        <v>4.2541766256503497E-18</v>
      </c>
      <c r="AC154" s="22">
        <f t="shared" ref="AC154:AC203" si="163">SUM(Z154:AB154)</f>
        <v>0.12153265633894587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-1.223725121235475E-13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489.34829722967373</v>
      </c>
      <c r="AO154" s="59">
        <f t="shared" si="144"/>
        <v>304.94365539329362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0.12901158903672724</v>
      </c>
      <c r="AW154" s="21">
        <f>EXP(-LN(2)/2)*AW153+(1-EXP(-LN(2)/2))/(LN(2)/2)*AQ154*AT154*VLOOKUP('Données projet'!$B$10,Paramètres!$A$1:$I$89,3,0)*0.475*44/12</f>
        <v>4.5159721103057643E-18</v>
      </c>
      <c r="AX154" s="21">
        <f t="shared" ref="AX154:AX203" si="166">SUM(AU154:AW154)</f>
        <v>0.12901158903672724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5.6843418860808015E-14</v>
      </c>
      <c r="BE154" s="13">
        <f>BD154*VLOOKUP('Données projet'!$B$11,Paramètres!$A$1:$I$89,3,0)*VLOOKUP('Données projet'!$B$11,Paramètres!$A$1:$I$89,5,0)</f>
        <v>4.9658410716801891E-14</v>
      </c>
      <c r="BF154" s="13">
        <f t="shared" ref="BF154:BF203" si="167">EXP(-1.0587+0.8836*LN(BE154)+0.284)</f>
        <v>8.0934058173791862E-13</v>
      </c>
      <c r="BG154" s="20">
        <f t="shared" ref="BG154:BG203" si="168">(BE154+BF154)*0.475*44/12</f>
        <v>1.4960899118586383E-12</v>
      </c>
      <c r="BH154" s="59">
        <f t="shared" si="116"/>
        <v>286.80821682326683</v>
      </c>
      <c r="BI154" s="59">
        <f ca="1">AVERAGE(OFFSET($BH$3,0,0,'Données projet'!$E$11+1,1))-AVERAGE(OFFSET($H$3,0,0,'Données projet'!$E$11+1,1))</f>
        <v>360.3011551173708</v>
      </c>
      <c r="BJ154" s="59">
        <f t="shared" si="146"/>
        <v>388.50312617855309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0.39423167378731289</v>
      </c>
      <c r="BR154" s="21">
        <f>EXP(-LN(2)/2)*BR153+(1-EXP(-LN(2)/2))/(LN(2)/2)*BL154*BO154*VLOOKUP('Données projet'!$B$11,Paramètres!$A$1:$I$89,3,0)*0.475*44/12</f>
        <v>7.2473340525833898E-18</v>
      </c>
      <c r="BS154" s="22">
        <f t="shared" ref="BS154:BS203" si="169">SUM(BP154:BR154)</f>
        <v>0.39423167378731289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-4.5474735088646412E-13</v>
      </c>
      <c r="DP154" s="17">
        <f>DO154*VLOOKUP('Données projet'!$B$14,Paramètres!$A$1:$I$89,3,0)*VLOOKUP('Données projet'!$B$14,Paramètres!$A$1:$I$89,5,0)</f>
        <v>-2.7193891583010558E-13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350.88566459278962</v>
      </c>
      <c r="DU154" s="59">
        <f t="shared" si="152"/>
        <v>342.18151800581552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0.44863490313070165</v>
      </c>
      <c r="EC154" s="21">
        <f>EXP(-LN(2)/2)*EC153+(1-EXP(-LN(2)/2))/(LN(2)/2)*DW154*DZ154*VLOOKUP('Données projet'!$B$14,Paramètres!$A$1:$I$89,3,0)*0.475*44/12</f>
        <v>1.4553628510654899E-17</v>
      </c>
      <c r="ED154" s="22">
        <f t="shared" ref="ED154:ED203" si="178">SUM(EA154:EC154)</f>
        <v>0.44863490313070165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-1.1527845344971866E-13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465.40148250851843</v>
      </c>
      <c r="T155" s="59">
        <f t="shared" si="142"/>
        <v>290.8428650572356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0.11820933946023277</v>
      </c>
      <c r="AB155" s="21">
        <f>EXP(-LN(2)/2)*AB154+(1-EXP(-LN(2)/2))/(LN(2)/2)*V155*Y155*VLOOKUP('Données projet'!$B$9,Paramètres!$A$1:$I$89,3,0)*0.475*44/12</f>
        <v>3.0081571403626669E-18</v>
      </c>
      <c r="AC155" s="22">
        <f t="shared" si="163"/>
        <v>0.11820933946023277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-1.223725121235475E-13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489.34829722967373</v>
      </c>
      <c r="AO155" s="59">
        <f t="shared" si="144"/>
        <v>304.94365539329362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0.12548376035009332</v>
      </c>
      <c r="AW155" s="21">
        <f>EXP(-LN(2)/2)*AW154+(1-EXP(-LN(2)/2))/(LN(2)/2)*AQ155*AT155*VLOOKUP('Données projet'!$B$10,Paramètres!$A$1:$I$89,3,0)*0.475*44/12</f>
        <v>3.1932745028465294E-18</v>
      </c>
      <c r="AX155" s="21">
        <f t="shared" si="166"/>
        <v>0.12548376035009332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5.6843418860808015E-14</v>
      </c>
      <c r="BE155" s="13">
        <f>BD155*VLOOKUP('Données projet'!$B$11,Paramètres!$A$1:$I$89,3,0)*VLOOKUP('Données projet'!$B$11,Paramètres!$A$1:$I$89,5,0)</f>
        <v>4.9658410716801891E-14</v>
      </c>
      <c r="BF155" s="13">
        <f t="shared" si="167"/>
        <v>8.0934058173791862E-13</v>
      </c>
      <c r="BG155" s="20">
        <f t="shared" si="168"/>
        <v>1.4960899118586383E-12</v>
      </c>
      <c r="BH155" s="59">
        <f t="shared" si="116"/>
        <v>286.92141300674137</v>
      </c>
      <c r="BI155" s="59">
        <f ca="1">AVERAGE(OFFSET($BH$3,0,0,'Données projet'!$E$11+1,1))-AVERAGE(OFFSET($H$3,0,0,'Données projet'!$E$11+1,1))</f>
        <v>360.3011551173708</v>
      </c>
      <c r="BJ155" s="59">
        <f t="shared" si="146"/>
        <v>388.50312617855309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0.38345138793585615</v>
      </c>
      <c r="BR155" s="21">
        <f>EXP(-LN(2)/2)*BR154+(1-EXP(-LN(2)/2))/(LN(2)/2)*BL155*BO155*VLOOKUP('Données projet'!$B$11,Paramètres!$A$1:$I$89,3,0)*0.475*44/12</f>
        <v>5.1246390541058979E-18</v>
      </c>
      <c r="BS155" s="22">
        <f t="shared" si="169"/>
        <v>0.38345138793585615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-4.5474735088646412E-13</v>
      </c>
      <c r="DP155" s="17">
        <f>DO155*VLOOKUP('Données projet'!$B$14,Paramètres!$A$1:$I$89,3,0)*VLOOKUP('Données projet'!$B$14,Paramètres!$A$1:$I$89,5,0)</f>
        <v>-2.7193891583010558E-13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350.88566459278962</v>
      </c>
      <c r="DU155" s="59">
        <f t="shared" si="152"/>
        <v>342.18151800581552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0.4363669581119084</v>
      </c>
      <c r="EC155" s="21">
        <f>EXP(-LN(2)/2)*EC154+(1-EXP(-LN(2)/2))/(LN(2)/2)*DW155*DZ155*VLOOKUP('Données projet'!$B$14,Paramètres!$A$1:$I$89,3,0)*0.475*44/12</f>
        <v>1.0290969410753954E-17</v>
      </c>
      <c r="ED155" s="22">
        <f t="shared" si="178"/>
        <v>0.4363669581119084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-1.1527845344971866E-13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465.40148250851843</v>
      </c>
      <c r="T156" s="59">
        <f t="shared" si="142"/>
        <v>290.8428650572356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0.11497689885633371</v>
      </c>
      <c r="AB156" s="21">
        <f>EXP(-LN(2)/2)*AB155+(1-EXP(-LN(2)/2))/(LN(2)/2)*V156*Y156*VLOOKUP('Données projet'!$B$9,Paramètres!$A$1:$I$89,3,0)*0.475*44/12</f>
        <v>2.1270883128251748E-18</v>
      </c>
      <c r="AC156" s="22">
        <f t="shared" si="163"/>
        <v>0.11497689885633371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-1.223725121235475E-13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489.34829722967373</v>
      </c>
      <c r="AO156" s="59">
        <f t="shared" si="144"/>
        <v>304.94365539329362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0.12205240032441586</v>
      </c>
      <c r="AW156" s="21">
        <f>EXP(-LN(2)/2)*AW155+(1-EXP(-LN(2)/2))/(LN(2)/2)*AQ156*AT156*VLOOKUP('Données projet'!$B$10,Paramètres!$A$1:$I$89,3,0)*0.475*44/12</f>
        <v>2.2579860551528821E-18</v>
      </c>
      <c r="AX156" s="21">
        <f t="shared" si="166"/>
        <v>0.12205240032441586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5.6843418860808015E-14</v>
      </c>
      <c r="BE156" s="13">
        <f>BD156*VLOOKUP('Données projet'!$B$11,Paramètres!$A$1:$I$89,3,0)*VLOOKUP('Données projet'!$B$11,Paramètres!$A$1:$I$89,5,0)</f>
        <v>4.9658410716801891E-14</v>
      </c>
      <c r="BF156" s="13">
        <f t="shared" si="167"/>
        <v>8.0934058173791862E-13</v>
      </c>
      <c r="BG156" s="20">
        <f t="shared" si="168"/>
        <v>1.4960899118586383E-12</v>
      </c>
      <c r="BH156" s="59">
        <f t="shared" si="116"/>
        <v>287.03264548950148</v>
      </c>
      <c r="BI156" s="59">
        <f ca="1">AVERAGE(OFFSET($BH$3,0,0,'Données projet'!$E$11+1,1))-AVERAGE(OFFSET($H$3,0,0,'Données projet'!$E$11+1,1))</f>
        <v>360.3011551173708</v>
      </c>
      <c r="BJ156" s="59">
        <f t="shared" si="146"/>
        <v>388.50312617855309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0.37296588956791804</v>
      </c>
      <c r="BR156" s="21">
        <f>EXP(-LN(2)/2)*BR155+(1-EXP(-LN(2)/2))/(LN(2)/2)*BL156*BO156*VLOOKUP('Données projet'!$B$11,Paramètres!$A$1:$I$89,3,0)*0.475*44/12</f>
        <v>3.6236670262916949E-18</v>
      </c>
      <c r="BS156" s="22">
        <f t="shared" si="169"/>
        <v>0.37296588956791804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-4.5474735088646412E-13</v>
      </c>
      <c r="DP156" s="17">
        <f>DO156*VLOOKUP('Données projet'!$B$14,Paramètres!$A$1:$I$89,3,0)*VLOOKUP('Données projet'!$B$14,Paramètres!$A$1:$I$89,5,0)</f>
        <v>-2.7193891583010558E-13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350.88566459278962</v>
      </c>
      <c r="DU156" s="59">
        <f t="shared" si="152"/>
        <v>342.18151800581552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0.42443448069479728</v>
      </c>
      <c r="EC156" s="21">
        <f>EXP(-LN(2)/2)*EC155+(1-EXP(-LN(2)/2))/(LN(2)/2)*DW156*DZ156*VLOOKUP('Données projet'!$B$14,Paramètres!$A$1:$I$89,3,0)*0.475*44/12</f>
        <v>7.2768142553274497E-18</v>
      </c>
      <c r="ED156" s="22">
        <f t="shared" si="178"/>
        <v>0.42443448069479728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-1.1527845344971866E-13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465.40148250851843</v>
      </c>
      <c r="T157" s="59">
        <f t="shared" si="142"/>
        <v>290.8428650572356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0.11183284951073494</v>
      </c>
      <c r="AB157" s="21">
        <f>EXP(-LN(2)/2)*AB156+(1-EXP(-LN(2)/2))/(LN(2)/2)*V157*Y157*VLOOKUP('Données projet'!$B$9,Paramètres!$A$1:$I$89,3,0)*0.475*44/12</f>
        <v>1.5040785701813335E-18</v>
      </c>
      <c r="AC157" s="22">
        <f t="shared" si="163"/>
        <v>0.11183284951073494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-1.223725121235475E-13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489.34829722967373</v>
      </c>
      <c r="AO157" s="59">
        <f t="shared" si="144"/>
        <v>304.94365539329362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0.11871487101908793</v>
      </c>
      <c r="AW157" s="21">
        <f>EXP(-LN(2)/2)*AW156+(1-EXP(-LN(2)/2))/(LN(2)/2)*AQ157*AT157*VLOOKUP('Données projet'!$B$10,Paramètres!$A$1:$I$89,3,0)*0.475*44/12</f>
        <v>1.5966372514232647E-18</v>
      </c>
      <c r="AX157" s="21">
        <f t="shared" si="166"/>
        <v>0.11871487101908793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5.6843418860808015E-14</v>
      </c>
      <c r="BE157" s="13">
        <f>BD157*VLOOKUP('Données projet'!$B$11,Paramètres!$A$1:$I$89,3,0)*VLOOKUP('Données projet'!$B$11,Paramètres!$A$1:$I$89,5,0)</f>
        <v>4.9658410716801891E-14</v>
      </c>
      <c r="BF157" s="13">
        <f t="shared" si="167"/>
        <v>8.0934058173791862E-13</v>
      </c>
      <c r="BG157" s="20">
        <f t="shared" si="168"/>
        <v>1.4960899118586383E-12</v>
      </c>
      <c r="BH157" s="59">
        <f t="shared" si="116"/>
        <v>287.14194833736423</v>
      </c>
      <c r="BI157" s="59">
        <f ca="1">AVERAGE(OFFSET($BH$3,0,0,'Données projet'!$E$11+1,1))-AVERAGE(OFFSET($H$3,0,0,'Données projet'!$E$11+1,1))</f>
        <v>360.3011551173708</v>
      </c>
      <c r="BJ157" s="59">
        <f t="shared" si="146"/>
        <v>388.50312617855309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0.36276711770425962</v>
      </c>
      <c r="BR157" s="21">
        <f>EXP(-LN(2)/2)*BR156+(1-EXP(-LN(2)/2))/(LN(2)/2)*BL157*BO157*VLOOKUP('Données projet'!$B$11,Paramètres!$A$1:$I$89,3,0)*0.475*44/12</f>
        <v>2.5623195270529489E-18</v>
      </c>
      <c r="BS157" s="22">
        <f t="shared" si="169"/>
        <v>0.36276711770425962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-4.5474735088646412E-13</v>
      </c>
      <c r="DP157" s="17">
        <f>DO157*VLOOKUP('Données projet'!$B$14,Paramètres!$A$1:$I$89,3,0)*VLOOKUP('Données projet'!$B$14,Paramètres!$A$1:$I$89,5,0)</f>
        <v>-2.7193891583010558E-13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350.88566459278962</v>
      </c>
      <c r="DU157" s="59">
        <f t="shared" si="152"/>
        <v>342.18151800581552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0.41282829750015876</v>
      </c>
      <c r="EC157" s="21">
        <f>EXP(-LN(2)/2)*EC156+(1-EXP(-LN(2)/2))/(LN(2)/2)*DW157*DZ157*VLOOKUP('Données projet'!$B$14,Paramètres!$A$1:$I$89,3,0)*0.475*44/12</f>
        <v>5.1454847053769769E-18</v>
      </c>
      <c r="ED157" s="22">
        <f t="shared" si="178"/>
        <v>0.41282829750015876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-1.1527845344971866E-13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465.40148250851843</v>
      </c>
      <c r="T158" s="59">
        <f t="shared" si="142"/>
        <v>290.8428650572356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0.10877477435982993</v>
      </c>
      <c r="AB158" s="21">
        <f>EXP(-LN(2)/2)*AB157+(1-EXP(-LN(2)/2))/(LN(2)/2)*V158*Y158*VLOOKUP('Données projet'!$B$9,Paramètres!$A$1:$I$89,3,0)*0.475*44/12</f>
        <v>1.0635441564125874E-18</v>
      </c>
      <c r="AC158" s="22">
        <f t="shared" si="163"/>
        <v>0.10877477435982993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-1.223725121235475E-13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489.34829722967373</v>
      </c>
      <c r="AO158" s="59">
        <f t="shared" si="144"/>
        <v>304.94365539329362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0.11546860662812723</v>
      </c>
      <c r="AW158" s="21">
        <f>EXP(-LN(2)/2)*AW157+(1-EXP(-LN(2)/2))/(LN(2)/2)*AQ158*AT158*VLOOKUP('Données projet'!$B$10,Paramètres!$A$1:$I$89,3,0)*0.475*44/12</f>
        <v>1.1289930275764411E-18</v>
      </c>
      <c r="AX158" s="21">
        <f t="shared" si="166"/>
        <v>0.11546860662812723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5.6843418860808015E-14</v>
      </c>
      <c r="BE158" s="13">
        <f>BD158*VLOOKUP('Données projet'!$B$11,Paramètres!$A$1:$I$89,3,0)*VLOOKUP('Données projet'!$B$11,Paramètres!$A$1:$I$89,5,0)</f>
        <v>4.9658410716801891E-14</v>
      </c>
      <c r="BF158" s="13">
        <f t="shared" si="167"/>
        <v>8.0934058173791862E-13</v>
      </c>
      <c r="BG158" s="20">
        <f t="shared" si="168"/>
        <v>1.4960899118586383E-12</v>
      </c>
      <c r="BH158" s="59">
        <f t="shared" si="116"/>
        <v>287.24935502518116</v>
      </c>
      <c r="BI158" s="59">
        <f ca="1">AVERAGE(OFFSET($BH$3,0,0,'Données projet'!$E$11+1,1))-AVERAGE(OFFSET($H$3,0,0,'Données projet'!$E$11+1,1))</f>
        <v>360.3011551173708</v>
      </c>
      <c r="BJ158" s="59">
        <f t="shared" si="146"/>
        <v>388.50312617855309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0.35284723179354305</v>
      </c>
      <c r="BR158" s="21">
        <f>EXP(-LN(2)/2)*BR157+(1-EXP(-LN(2)/2))/(LN(2)/2)*BL158*BO158*VLOOKUP('Données projet'!$B$11,Paramètres!$A$1:$I$89,3,0)*0.475*44/12</f>
        <v>1.8118335131458474E-18</v>
      </c>
      <c r="BS158" s="22">
        <f t="shared" si="169"/>
        <v>0.35284723179354305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-4.5474735088646412E-13</v>
      </c>
      <c r="DP158" s="17">
        <f>DO158*VLOOKUP('Données projet'!$B$14,Paramètres!$A$1:$I$89,3,0)*VLOOKUP('Données projet'!$B$14,Paramètres!$A$1:$I$89,5,0)</f>
        <v>-2.7193891583010558E-13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350.88566459278962</v>
      </c>
      <c r="DU158" s="59">
        <f t="shared" si="152"/>
        <v>342.18151800581552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0.4015394859953203</v>
      </c>
      <c r="EC158" s="21">
        <f>EXP(-LN(2)/2)*EC157+(1-EXP(-LN(2)/2))/(LN(2)/2)*DW158*DZ158*VLOOKUP('Données projet'!$B$14,Paramètres!$A$1:$I$89,3,0)*0.475*44/12</f>
        <v>3.6384071276637248E-18</v>
      </c>
      <c r="ED158" s="22">
        <f t="shared" si="178"/>
        <v>0.4015394859953203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-1.1527845344971866E-13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465.40148250851843</v>
      </c>
      <c r="T159" s="59">
        <f t="shared" si="142"/>
        <v>290.8428650572356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0.1058003224347436</v>
      </c>
      <c r="AB159" s="21">
        <f>EXP(-LN(2)/2)*AB158+(1-EXP(-LN(2)/2))/(LN(2)/2)*V159*Y159*VLOOKUP('Données projet'!$B$9,Paramètres!$A$1:$I$89,3,0)*0.475*44/12</f>
        <v>7.5203928509066673E-19</v>
      </c>
      <c r="AC159" s="22">
        <f t="shared" si="163"/>
        <v>0.1058003224347436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-1.223725121235475E-13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489.34829722967373</v>
      </c>
      <c r="AO159" s="59">
        <f t="shared" si="144"/>
        <v>304.94365539329362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0.11231111150765098</v>
      </c>
      <c r="AW159" s="21">
        <f>EXP(-LN(2)/2)*AW158+(1-EXP(-LN(2)/2))/(LN(2)/2)*AQ159*AT159*VLOOKUP('Données projet'!$B$10,Paramètres!$A$1:$I$89,3,0)*0.475*44/12</f>
        <v>7.9831862571163235E-19</v>
      </c>
      <c r="AX159" s="21">
        <f t="shared" si="166"/>
        <v>0.11231111150765098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5.6843418860808015E-14</v>
      </c>
      <c r="BE159" s="13">
        <f>BD159*VLOOKUP('Données projet'!$B$11,Paramètres!$A$1:$I$89,3,0)*VLOOKUP('Données projet'!$B$11,Paramètres!$A$1:$I$89,5,0)</f>
        <v>4.9658410716801891E-14</v>
      </c>
      <c r="BF159" s="13">
        <f t="shared" si="167"/>
        <v>8.0934058173791862E-13</v>
      </c>
      <c r="BG159" s="20">
        <f t="shared" si="168"/>
        <v>1.4960899118586383E-12</v>
      </c>
      <c r="BH159" s="59">
        <f t="shared" si="116"/>
        <v>287.35489844708979</v>
      </c>
      <c r="BI159" s="59">
        <f ca="1">AVERAGE(OFFSET($BH$3,0,0,'Données projet'!$E$11+1,1))-AVERAGE(OFFSET($H$3,0,0,'Données projet'!$E$11+1,1))</f>
        <v>360.3011551173708</v>
      </c>
      <c r="BJ159" s="59">
        <f t="shared" si="146"/>
        <v>388.50312617855309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0.34319860568471916</v>
      </c>
      <c r="BR159" s="21">
        <f>EXP(-LN(2)/2)*BR158+(1-EXP(-LN(2)/2))/(LN(2)/2)*BL159*BO159*VLOOKUP('Données projet'!$B$11,Paramètres!$A$1:$I$89,3,0)*0.475*44/12</f>
        <v>1.2811597635264745E-18</v>
      </c>
      <c r="BS159" s="22">
        <f t="shared" si="169"/>
        <v>0.34319860568471916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-4.5474735088646412E-13</v>
      </c>
      <c r="DP159" s="17">
        <f>DO159*VLOOKUP('Données projet'!$B$14,Paramètres!$A$1:$I$89,3,0)*VLOOKUP('Données projet'!$B$14,Paramètres!$A$1:$I$89,5,0)</f>
        <v>-2.7193891583010558E-13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350.88566459278962</v>
      </c>
      <c r="DU159" s="59">
        <f t="shared" si="152"/>
        <v>342.18151800581552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0.39055936763473442</v>
      </c>
      <c r="EC159" s="21">
        <f>EXP(-LN(2)/2)*EC158+(1-EXP(-LN(2)/2))/(LN(2)/2)*DW159*DZ159*VLOOKUP('Données projet'!$B$14,Paramètres!$A$1:$I$89,3,0)*0.475*44/12</f>
        <v>2.5727423526884884E-18</v>
      </c>
      <c r="ED159" s="22">
        <f t="shared" si="178"/>
        <v>0.39055936763473442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-1.1527845344971866E-13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465.40148250851843</v>
      </c>
      <c r="T160" s="59">
        <f t="shared" si="142"/>
        <v>290.8428650572356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0.1029072070539684</v>
      </c>
      <c r="AB160" s="21">
        <f>EXP(-LN(2)/2)*AB159+(1-EXP(-LN(2)/2))/(LN(2)/2)*V160*Y160*VLOOKUP('Données projet'!$B$9,Paramètres!$A$1:$I$89,3,0)*0.475*44/12</f>
        <v>5.3177207820629371E-19</v>
      </c>
      <c r="AC160" s="22">
        <f t="shared" si="163"/>
        <v>0.1029072070539684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-1.223725121235475E-13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489.34829722967373</v>
      </c>
      <c r="AO160" s="59">
        <f t="shared" si="144"/>
        <v>304.94365539329362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0.1092399582572896</v>
      </c>
      <c r="AW160" s="21">
        <f>EXP(-LN(2)/2)*AW159+(1-EXP(-LN(2)/2))/(LN(2)/2)*AQ160*AT160*VLOOKUP('Données projet'!$B$10,Paramètres!$A$1:$I$89,3,0)*0.475*44/12</f>
        <v>5.6449651378822054E-19</v>
      </c>
      <c r="AX160" s="21">
        <f t="shared" si="166"/>
        <v>0.1092399582572896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5.6843418860808015E-14</v>
      </c>
      <c r="BE160" s="13">
        <f>BD160*VLOOKUP('Données projet'!$B$11,Paramètres!$A$1:$I$89,3,0)*VLOOKUP('Données projet'!$B$11,Paramètres!$A$1:$I$89,5,0)</f>
        <v>4.9658410716801891E-14</v>
      </c>
      <c r="BF160" s="13">
        <f t="shared" si="167"/>
        <v>8.0934058173791862E-13</v>
      </c>
      <c r="BG160" s="20">
        <f t="shared" si="168"/>
        <v>1.4960899118586383E-12</v>
      </c>
      <c r="BH160" s="59">
        <f t="shared" si="116"/>
        <v>287.45861092658805</v>
      </c>
      <c r="BI160" s="59">
        <f ca="1">AVERAGE(OFFSET($BH$3,0,0,'Données projet'!$E$11+1,1))-AVERAGE(OFFSET($H$3,0,0,'Données projet'!$E$11+1,1))</f>
        <v>360.3011551173708</v>
      </c>
      <c r="BJ160" s="59">
        <f t="shared" si="146"/>
        <v>388.50312617855309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0.33381382176424024</v>
      </c>
      <c r="BR160" s="21">
        <f>EXP(-LN(2)/2)*BR159+(1-EXP(-LN(2)/2))/(LN(2)/2)*BL160*BO160*VLOOKUP('Données projet'!$B$11,Paramètres!$A$1:$I$89,3,0)*0.475*44/12</f>
        <v>9.0591675657292372E-19</v>
      </c>
      <c r="BS160" s="22">
        <f t="shared" si="169"/>
        <v>0.33381382176424024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-4.5474735088646412E-13</v>
      </c>
      <c r="DP160" s="17">
        <f>DO160*VLOOKUP('Données projet'!$B$14,Paramètres!$A$1:$I$89,3,0)*VLOOKUP('Données projet'!$B$14,Paramètres!$A$1:$I$89,5,0)</f>
        <v>-2.7193891583010558E-13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350.88566459278962</v>
      </c>
      <c r="DU160" s="59">
        <f t="shared" si="152"/>
        <v>342.18151800581552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0.37987950118813812</v>
      </c>
      <c r="EC160" s="21">
        <f>EXP(-LN(2)/2)*EC159+(1-EXP(-LN(2)/2))/(LN(2)/2)*DW160*DZ160*VLOOKUP('Données projet'!$B$14,Paramètres!$A$1:$I$89,3,0)*0.475*44/12</f>
        <v>1.8192035638318624E-18</v>
      </c>
      <c r="ED160" s="22">
        <f t="shared" si="178"/>
        <v>0.37987950118813812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-1.1527845344971866E-13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465.40148250851843</v>
      </c>
      <c r="T161" s="59">
        <f t="shared" si="142"/>
        <v>290.8428650572356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0.10009320406542281</v>
      </c>
      <c r="AB161" s="21">
        <f>EXP(-LN(2)/2)*AB160+(1-EXP(-LN(2)/2))/(LN(2)/2)*V161*Y161*VLOOKUP('Données projet'!$B$9,Paramètres!$A$1:$I$89,3,0)*0.475*44/12</f>
        <v>3.7601964254533337E-19</v>
      </c>
      <c r="AC161" s="22">
        <f t="shared" si="163"/>
        <v>0.10009320406542281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-1.223725121235475E-13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489.34829722967373</v>
      </c>
      <c r="AO161" s="59">
        <f t="shared" si="144"/>
        <v>304.94365539329362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0.10625278585406428</v>
      </c>
      <c r="AW161" s="21">
        <f>EXP(-LN(2)/2)*AW160+(1-EXP(-LN(2)/2))/(LN(2)/2)*AQ161*AT161*VLOOKUP('Données projet'!$B$10,Paramètres!$A$1:$I$89,3,0)*0.475*44/12</f>
        <v>3.9915931285581617E-19</v>
      </c>
      <c r="AX161" s="21">
        <f t="shared" si="166"/>
        <v>0.10625278585406428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5.6843418860808015E-14</v>
      </c>
      <c r="BE161" s="13">
        <f>BD161*VLOOKUP('Données projet'!$B$11,Paramètres!$A$1:$I$89,3,0)*VLOOKUP('Données projet'!$B$11,Paramètres!$A$1:$I$89,5,0)</f>
        <v>4.9658410716801891E-14</v>
      </c>
      <c r="BF161" s="13">
        <f t="shared" si="167"/>
        <v>8.0934058173791862E-13</v>
      </c>
      <c r="BG161" s="20">
        <f t="shared" si="168"/>
        <v>1.4960899118586383E-12</v>
      </c>
      <c r="BH161" s="59">
        <f t="shared" si="116"/>
        <v>287.56052422643347</v>
      </c>
      <c r="BI161" s="59">
        <f ca="1">AVERAGE(OFFSET($BH$3,0,0,'Données projet'!$E$11+1,1))-AVERAGE(OFFSET($H$3,0,0,'Données projet'!$E$11+1,1))</f>
        <v>360.3011551173708</v>
      </c>
      <c r="BJ161" s="59">
        <f t="shared" si="146"/>
        <v>388.50312617855309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0.32468566525359116</v>
      </c>
      <c r="BR161" s="21">
        <f>EXP(-LN(2)/2)*BR160+(1-EXP(-LN(2)/2))/(LN(2)/2)*BL161*BO161*VLOOKUP('Données projet'!$B$11,Paramètres!$A$1:$I$89,3,0)*0.475*44/12</f>
        <v>6.4057988176323723E-19</v>
      </c>
      <c r="BS161" s="22">
        <f t="shared" si="169"/>
        <v>0.32468566525359116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-4.5474735088646412E-13</v>
      </c>
      <c r="DP161" s="17">
        <f>DO161*VLOOKUP('Données projet'!$B$14,Paramètres!$A$1:$I$89,3,0)*VLOOKUP('Données projet'!$B$14,Paramètres!$A$1:$I$89,5,0)</f>
        <v>-2.7193891583010558E-13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350.88566459278962</v>
      </c>
      <c r="DU161" s="59">
        <f t="shared" si="152"/>
        <v>342.18151800581552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0.36949167625115376</v>
      </c>
      <c r="EC161" s="21">
        <f>EXP(-LN(2)/2)*EC160+(1-EXP(-LN(2)/2))/(LN(2)/2)*DW161*DZ161*VLOOKUP('Données projet'!$B$14,Paramètres!$A$1:$I$89,3,0)*0.475*44/12</f>
        <v>1.2863711763442442E-18</v>
      </c>
      <c r="ED161" s="22">
        <f t="shared" si="178"/>
        <v>0.36949167625115376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-1.1527845344971866E-13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465.40148250851843</v>
      </c>
      <c r="T162" s="59">
        <f t="shared" si="142"/>
        <v>290.8428650572356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9.7356150136580985E-2</v>
      </c>
      <c r="AB162" s="21">
        <f>EXP(-LN(2)/2)*AB161+(1-EXP(-LN(2)/2))/(LN(2)/2)*V162*Y162*VLOOKUP('Données projet'!$B$9,Paramètres!$A$1:$I$89,3,0)*0.475*44/12</f>
        <v>2.6588603910314685E-19</v>
      </c>
      <c r="AC162" s="22">
        <f t="shared" si="163"/>
        <v>9.7356150136580985E-2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-1.223725121235475E-13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489.34829722967373</v>
      </c>
      <c r="AO162" s="59">
        <f t="shared" si="144"/>
        <v>304.94365539329362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0.10334729783729373</v>
      </c>
      <c r="AW162" s="21">
        <f>EXP(-LN(2)/2)*AW161+(1-EXP(-LN(2)/2))/(LN(2)/2)*AQ162*AT162*VLOOKUP('Données projet'!$B$10,Paramètres!$A$1:$I$89,3,0)*0.475*44/12</f>
        <v>2.8224825689411027E-19</v>
      </c>
      <c r="AX162" s="21">
        <f t="shared" si="166"/>
        <v>0.10334729783729373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5.6843418860808015E-14</v>
      </c>
      <c r="BE162" s="13">
        <f>BD162*VLOOKUP('Données projet'!$B$11,Paramètres!$A$1:$I$89,3,0)*VLOOKUP('Données projet'!$B$11,Paramètres!$A$1:$I$89,5,0)</f>
        <v>4.9658410716801891E-14</v>
      </c>
      <c r="BF162" s="13">
        <f t="shared" si="167"/>
        <v>8.0934058173791862E-13</v>
      </c>
      <c r="BG162" s="20">
        <f t="shared" si="168"/>
        <v>1.4960899118586383E-12</v>
      </c>
      <c r="BH162" s="59">
        <f t="shared" si="116"/>
        <v>287.66066955837044</v>
      </c>
      <c r="BI162" s="59">
        <f ca="1">AVERAGE(OFFSET($BH$3,0,0,'Données projet'!$E$11+1,1))-AVERAGE(OFFSET($H$3,0,0,'Données projet'!$E$11+1,1))</f>
        <v>360.3011551173708</v>
      </c>
      <c r="BJ162" s="59">
        <f t="shared" si="146"/>
        <v>388.50312617855309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0.31580711866275463</v>
      </c>
      <c r="BR162" s="21">
        <f>EXP(-LN(2)/2)*BR161+(1-EXP(-LN(2)/2))/(LN(2)/2)*BL162*BO162*VLOOKUP('Données projet'!$B$11,Paramètres!$A$1:$I$89,3,0)*0.475*44/12</f>
        <v>4.5295837828646186E-19</v>
      </c>
      <c r="BS162" s="22">
        <f t="shared" si="169"/>
        <v>0.31580711866275463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-4.5474735088646412E-13</v>
      </c>
      <c r="DP162" s="17">
        <f>DO162*VLOOKUP('Données projet'!$B$14,Paramètres!$A$1:$I$89,3,0)*VLOOKUP('Données projet'!$B$14,Paramètres!$A$1:$I$89,5,0)</f>
        <v>-2.7193891583010558E-13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350.88566459278962</v>
      </c>
      <c r="DU162" s="59">
        <f t="shared" si="152"/>
        <v>342.18151800581552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0.35938790693334316</v>
      </c>
      <c r="EC162" s="21">
        <f>EXP(-LN(2)/2)*EC161+(1-EXP(-LN(2)/2))/(LN(2)/2)*DW162*DZ162*VLOOKUP('Données projet'!$B$14,Paramètres!$A$1:$I$89,3,0)*0.475*44/12</f>
        <v>9.0960178191593121E-19</v>
      </c>
      <c r="ED162" s="22">
        <f t="shared" si="178"/>
        <v>0.35938790693334316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-1.1527845344971866E-13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465.40148250851843</v>
      </c>
      <c r="T163" s="59">
        <f t="shared" si="142"/>
        <v>290.8428650572356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9.4693941091358758E-2</v>
      </c>
      <c r="AB163" s="21">
        <f>EXP(-LN(2)/2)*AB162+(1-EXP(-LN(2)/2))/(LN(2)/2)*V163*Y163*VLOOKUP('Données projet'!$B$9,Paramètres!$A$1:$I$89,3,0)*0.475*44/12</f>
        <v>1.8800982127266668E-19</v>
      </c>
      <c r="AC163" s="22">
        <f t="shared" si="163"/>
        <v>9.4693941091358758E-2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-1.223725121235475E-13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489.34829722967373</v>
      </c>
      <c r="AO163" s="59">
        <f t="shared" si="144"/>
        <v>304.94365539329362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0.10052126054313473</v>
      </c>
      <c r="AW163" s="21">
        <f>EXP(-LN(2)/2)*AW162+(1-EXP(-LN(2)/2))/(LN(2)/2)*AQ163*AT163*VLOOKUP('Données projet'!$B$10,Paramètres!$A$1:$I$89,3,0)*0.475*44/12</f>
        <v>1.9957965642790809E-19</v>
      </c>
      <c r="AX163" s="21">
        <f t="shared" si="166"/>
        <v>0.10052126054313473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5.6843418860808015E-14</v>
      </c>
      <c r="BE163" s="13">
        <f>BD163*VLOOKUP('Données projet'!$B$11,Paramètres!$A$1:$I$89,3,0)*VLOOKUP('Données projet'!$B$11,Paramètres!$A$1:$I$89,5,0)</f>
        <v>4.9658410716801891E-14</v>
      </c>
      <c r="BF163" s="13">
        <f t="shared" si="167"/>
        <v>8.0934058173791862E-13</v>
      </c>
      <c r="BG163" s="20">
        <f t="shared" si="168"/>
        <v>1.4960899118586383E-12</v>
      </c>
      <c r="BH163" s="59">
        <f t="shared" si="116"/>
        <v>287.75907759268983</v>
      </c>
      <c r="BI163" s="59">
        <f ca="1">AVERAGE(OFFSET($BH$3,0,0,'Données projet'!$E$11+1,1))-AVERAGE(OFFSET($H$3,0,0,'Données projet'!$E$11+1,1))</f>
        <v>360.3011551173708</v>
      </c>
      <c r="BJ163" s="59">
        <f t="shared" si="146"/>
        <v>388.50312617855309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0.30717135639534704</v>
      </c>
      <c r="BR163" s="21">
        <f>EXP(-LN(2)/2)*BR162+(1-EXP(-LN(2)/2))/(LN(2)/2)*BL163*BO163*VLOOKUP('Données projet'!$B$11,Paramètres!$A$1:$I$89,3,0)*0.475*44/12</f>
        <v>3.2028994088161862E-19</v>
      </c>
      <c r="BS163" s="22">
        <f t="shared" si="169"/>
        <v>0.30717135639534704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-4.5474735088646412E-13</v>
      </c>
      <c r="DP163" s="17">
        <f>DO163*VLOOKUP('Données projet'!$B$14,Paramètres!$A$1:$I$89,3,0)*VLOOKUP('Données projet'!$B$14,Paramètres!$A$1:$I$89,5,0)</f>
        <v>-2.7193891583010558E-13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350.88566459278962</v>
      </c>
      <c r="DU163" s="59">
        <f t="shared" si="152"/>
        <v>342.18151800581552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0.34956042571886226</v>
      </c>
      <c r="EC163" s="21">
        <f>EXP(-LN(2)/2)*EC162+(1-EXP(-LN(2)/2))/(LN(2)/2)*DW163*DZ163*VLOOKUP('Données projet'!$B$14,Paramètres!$A$1:$I$89,3,0)*0.475*44/12</f>
        <v>6.4318558817212211E-19</v>
      </c>
      <c r="ED163" s="22">
        <f t="shared" si="178"/>
        <v>0.34956042571886226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-1.1527845344971866E-13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465.40148250851843</v>
      </c>
      <c r="T164" s="59">
        <f t="shared" si="142"/>
        <v>290.8428650572356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9.2104530292477615E-2</v>
      </c>
      <c r="AB164" s="21">
        <f>EXP(-LN(2)/2)*AB163+(1-EXP(-LN(2)/2))/(LN(2)/2)*V164*Y164*VLOOKUP('Données projet'!$B$9,Paramètres!$A$1:$I$89,3,0)*0.475*44/12</f>
        <v>1.3294301955157343E-19</v>
      </c>
      <c r="AC164" s="22">
        <f t="shared" si="163"/>
        <v>9.2104530292477615E-2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-1.223725121235475E-13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489.34829722967373</v>
      </c>
      <c r="AO164" s="59">
        <f t="shared" si="144"/>
        <v>304.94365539329362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9.777250138739936E-2</v>
      </c>
      <c r="AW164" s="21">
        <f>EXP(-LN(2)/2)*AW163+(1-EXP(-LN(2)/2))/(LN(2)/2)*AQ164*AT164*VLOOKUP('Données projet'!$B$10,Paramètres!$A$1:$I$89,3,0)*0.475*44/12</f>
        <v>1.4112412844705513E-19</v>
      </c>
      <c r="AX164" s="21">
        <f t="shared" si="166"/>
        <v>9.777250138739936E-2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5.6843418860808015E-14</v>
      </c>
      <c r="BE164" s="13">
        <f>BD164*VLOOKUP('Données projet'!$B$11,Paramètres!$A$1:$I$89,3,0)*VLOOKUP('Données projet'!$B$11,Paramètres!$A$1:$I$89,5,0)</f>
        <v>4.9658410716801891E-14</v>
      </c>
      <c r="BF164" s="13">
        <f t="shared" si="167"/>
        <v>8.0934058173791862E-13</v>
      </c>
      <c r="BG164" s="20">
        <f t="shared" si="168"/>
        <v>1.4960899118586383E-12</v>
      </c>
      <c r="BH164" s="59">
        <f t="shared" si="116"/>
        <v>287.85577846762118</v>
      </c>
      <c r="BI164" s="59">
        <f ca="1">AVERAGE(OFFSET($BH$3,0,0,'Données projet'!$E$11+1,1))-AVERAGE(OFFSET($H$3,0,0,'Données projet'!$E$11+1,1))</f>
        <v>360.3011551173708</v>
      </c>
      <c r="BJ164" s="59">
        <f t="shared" si="146"/>
        <v>388.50312617855309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0.29877173950127667</v>
      </c>
      <c r="BR164" s="21">
        <f>EXP(-LN(2)/2)*BR163+(1-EXP(-LN(2)/2))/(LN(2)/2)*BL164*BO164*VLOOKUP('Données projet'!$B$11,Paramètres!$A$1:$I$89,3,0)*0.475*44/12</f>
        <v>2.2647918914323093E-19</v>
      </c>
      <c r="BS164" s="22">
        <f t="shared" si="169"/>
        <v>0.29877173950127667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-4.5474735088646412E-13</v>
      </c>
      <c r="DP164" s="17">
        <f>DO164*VLOOKUP('Données projet'!$B$14,Paramètres!$A$1:$I$89,3,0)*VLOOKUP('Données projet'!$B$14,Paramètres!$A$1:$I$89,5,0)</f>
        <v>-2.7193891583010558E-13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350.88566459278962</v>
      </c>
      <c r="DU164" s="59">
        <f t="shared" si="152"/>
        <v>342.18151800581552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0.3400016774949961</v>
      </c>
      <c r="EC164" s="21">
        <f>EXP(-LN(2)/2)*EC163+(1-EXP(-LN(2)/2))/(LN(2)/2)*DW164*DZ164*VLOOKUP('Données projet'!$B$14,Paramètres!$A$1:$I$89,3,0)*0.475*44/12</f>
        <v>4.548008909579656E-19</v>
      </c>
      <c r="ED164" s="22">
        <f t="shared" si="178"/>
        <v>0.3400016774949961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-1.1527845344971866E-13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465.40148250851843</v>
      </c>
      <c r="T165" s="59">
        <f t="shared" si="142"/>
        <v>290.8428650572356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8.9585927068063079E-2</v>
      </c>
      <c r="AB165" s="21">
        <f>EXP(-LN(2)/2)*AB164+(1-EXP(-LN(2)/2))/(LN(2)/2)*V165*Y165*VLOOKUP('Données projet'!$B$9,Paramètres!$A$1:$I$89,3,0)*0.475*44/12</f>
        <v>9.4004910636333341E-20</v>
      </c>
      <c r="AC165" s="22">
        <f t="shared" si="163"/>
        <v>8.9585927068063079E-2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-1.223725121235475E-13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489.34829722967373</v>
      </c>
      <c r="AO165" s="59">
        <f t="shared" si="144"/>
        <v>304.94365539329362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9.5098907195328541E-2</v>
      </c>
      <c r="AW165" s="21">
        <f>EXP(-LN(2)/2)*AW164+(1-EXP(-LN(2)/2))/(LN(2)/2)*AQ165*AT165*VLOOKUP('Données projet'!$B$10,Paramètres!$A$1:$I$89,3,0)*0.475*44/12</f>
        <v>9.9789828213954043E-20</v>
      </c>
      <c r="AX165" s="21">
        <f t="shared" si="166"/>
        <v>9.5098907195328541E-2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5.6843418860808015E-14</v>
      </c>
      <c r="BE165" s="13">
        <f>BD165*VLOOKUP('Données projet'!$B$11,Paramètres!$A$1:$I$89,3,0)*VLOOKUP('Données projet'!$B$11,Paramètres!$A$1:$I$89,5,0)</f>
        <v>4.9658410716801891E-14</v>
      </c>
      <c r="BF165" s="13">
        <f t="shared" si="167"/>
        <v>8.0934058173791862E-13</v>
      </c>
      <c r="BG165" s="20">
        <f t="shared" si="168"/>
        <v>1.4960899118586383E-12</v>
      </c>
      <c r="BH165" s="59">
        <f t="shared" si="116"/>
        <v>287.95080179856319</v>
      </c>
      <c r="BI165" s="59">
        <f ca="1">AVERAGE(OFFSET($BH$3,0,0,'Données projet'!$E$11+1,1))-AVERAGE(OFFSET($H$3,0,0,'Données projet'!$E$11+1,1))</f>
        <v>360.3011551173708</v>
      </c>
      <c r="BJ165" s="59">
        <f t="shared" si="146"/>
        <v>388.50312617855309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0.29060181057289131</v>
      </c>
      <c r="BR165" s="21">
        <f>EXP(-LN(2)/2)*BR164+(1-EXP(-LN(2)/2))/(LN(2)/2)*BL165*BO165*VLOOKUP('Données projet'!$B$11,Paramètres!$A$1:$I$89,3,0)*0.475*44/12</f>
        <v>1.6014497044080931E-19</v>
      </c>
      <c r="BS165" s="22">
        <f t="shared" si="169"/>
        <v>0.29060181057289131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-4.5474735088646412E-13</v>
      </c>
      <c r="DP165" s="17">
        <f>DO165*VLOOKUP('Données projet'!$B$14,Paramètres!$A$1:$I$89,3,0)*VLOOKUP('Données projet'!$B$14,Paramètres!$A$1:$I$89,5,0)</f>
        <v>-2.7193891583010558E-13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350.88566459278962</v>
      </c>
      <c r="DU165" s="59">
        <f t="shared" si="152"/>
        <v>342.18151800581552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0.33070431374398429</v>
      </c>
      <c r="EC165" s="21">
        <f>EXP(-LN(2)/2)*EC164+(1-EXP(-LN(2)/2))/(LN(2)/2)*DW165*DZ165*VLOOKUP('Données projet'!$B$14,Paramètres!$A$1:$I$89,3,0)*0.475*44/12</f>
        <v>3.2159279408606105E-19</v>
      </c>
      <c r="ED165" s="22">
        <f t="shared" si="178"/>
        <v>0.33070431374398429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-1.1527845344971866E-13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465.40148250851843</v>
      </c>
      <c r="T166" s="59">
        <f t="shared" si="142"/>
        <v>290.8428650572356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8.7136195181267737E-2</v>
      </c>
      <c r="AB166" s="21">
        <f>EXP(-LN(2)/2)*AB165+(1-EXP(-LN(2)/2))/(LN(2)/2)*V166*Y166*VLOOKUP('Données projet'!$B$9,Paramètres!$A$1:$I$89,3,0)*0.475*44/12</f>
        <v>6.6471509775786714E-20</v>
      </c>
      <c r="AC166" s="22">
        <f t="shared" si="163"/>
        <v>8.7136195181267737E-2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-1.223725121235475E-13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489.34829722967373</v>
      </c>
      <c r="AO166" s="59">
        <f t="shared" si="144"/>
        <v>304.94365539329362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9.2498422577038109E-2</v>
      </c>
      <c r="AW166" s="21">
        <f>EXP(-LN(2)/2)*AW165+(1-EXP(-LN(2)/2))/(LN(2)/2)*AQ166*AT166*VLOOKUP('Données projet'!$B$10,Paramètres!$A$1:$I$89,3,0)*0.475*44/12</f>
        <v>7.0562064223527567E-20</v>
      </c>
      <c r="AX166" s="21">
        <f t="shared" si="166"/>
        <v>9.2498422577038109E-2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5.6843418860808015E-14</v>
      </c>
      <c r="BE166" s="13">
        <f>BD166*VLOOKUP('Données projet'!$B$11,Paramètres!$A$1:$I$89,3,0)*VLOOKUP('Données projet'!$B$11,Paramètres!$A$1:$I$89,5,0)</f>
        <v>4.9658410716801891E-14</v>
      </c>
      <c r="BF166" s="13">
        <f t="shared" si="167"/>
        <v>8.0934058173791862E-13</v>
      </c>
      <c r="BG166" s="20">
        <f t="shared" si="168"/>
        <v>1.4960899118586383E-12</v>
      </c>
      <c r="BH166" s="59">
        <f t="shared" si="116"/>
        <v>288.04417668715371</v>
      </c>
      <c r="BI166" s="59">
        <f ca="1">AVERAGE(OFFSET($BH$3,0,0,'Données projet'!$E$11+1,1))-AVERAGE(OFFSET($H$3,0,0,'Données projet'!$E$11+1,1))</f>
        <v>360.3011551173708</v>
      </c>
      <c r="BJ166" s="59">
        <f t="shared" si="146"/>
        <v>388.50312617855309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0.28265528878069057</v>
      </c>
      <c r="BR166" s="21">
        <f>EXP(-LN(2)/2)*BR165+(1-EXP(-LN(2)/2))/(LN(2)/2)*BL166*BO166*VLOOKUP('Données projet'!$B$11,Paramètres!$A$1:$I$89,3,0)*0.475*44/12</f>
        <v>1.1323959457161547E-19</v>
      </c>
      <c r="BS166" s="22">
        <f t="shared" si="169"/>
        <v>0.28265528878069057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-4.5474735088646412E-13</v>
      </c>
      <c r="DP166" s="17">
        <f>DO166*VLOOKUP('Données projet'!$B$14,Paramètres!$A$1:$I$89,3,0)*VLOOKUP('Données projet'!$B$14,Paramètres!$A$1:$I$89,5,0)</f>
        <v>-2.7193891583010558E-13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350.88566459278962</v>
      </c>
      <c r="DU166" s="59">
        <f t="shared" si="152"/>
        <v>342.18151800581552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0.32166118689367101</v>
      </c>
      <c r="EC166" s="21">
        <f>EXP(-LN(2)/2)*EC165+(1-EXP(-LN(2)/2))/(LN(2)/2)*DW166*DZ166*VLOOKUP('Données projet'!$B$14,Paramètres!$A$1:$I$89,3,0)*0.475*44/12</f>
        <v>2.274004454789828E-19</v>
      </c>
      <c r="ED166" s="22">
        <f t="shared" si="178"/>
        <v>0.32166118689367101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-1.1527845344971866E-13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465.40148250851843</v>
      </c>
      <c r="T167" s="59">
        <f t="shared" si="142"/>
        <v>290.8428650572356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8.4753451341742614E-2</v>
      </c>
      <c r="AB167" s="21">
        <f>EXP(-LN(2)/2)*AB166+(1-EXP(-LN(2)/2))/(LN(2)/2)*V167*Y167*VLOOKUP('Données projet'!$B$9,Paramètres!$A$1:$I$89,3,0)*0.475*44/12</f>
        <v>4.7002455318166671E-20</v>
      </c>
      <c r="AC167" s="22">
        <f t="shared" si="163"/>
        <v>8.4753451341742614E-2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-1.223725121235475E-13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489.34829722967373</v>
      </c>
      <c r="AO167" s="59">
        <f t="shared" si="144"/>
        <v>304.94365539329362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8.9969048347388364E-2</v>
      </c>
      <c r="AW167" s="21">
        <f>EXP(-LN(2)/2)*AW166+(1-EXP(-LN(2)/2))/(LN(2)/2)*AQ167*AT167*VLOOKUP('Données projet'!$B$10,Paramètres!$A$1:$I$89,3,0)*0.475*44/12</f>
        <v>4.9894914106977022E-20</v>
      </c>
      <c r="AX167" s="21">
        <f t="shared" si="166"/>
        <v>8.9969048347388364E-2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5.6843418860808015E-14</v>
      </c>
      <c r="BE167" s="13">
        <f>BD167*VLOOKUP('Données projet'!$B$11,Paramètres!$A$1:$I$89,3,0)*VLOOKUP('Données projet'!$B$11,Paramètres!$A$1:$I$89,5,0)</f>
        <v>4.9658410716801891E-14</v>
      </c>
      <c r="BF167" s="13">
        <f t="shared" si="167"/>
        <v>8.0934058173791862E-13</v>
      </c>
      <c r="BG167" s="20">
        <f t="shared" si="168"/>
        <v>1.4960899118586383E-12</v>
      </c>
      <c r="BH167" s="59">
        <f t="shared" si="116"/>
        <v>288.13593173018216</v>
      </c>
      <c r="BI167" s="59">
        <f ca="1">AVERAGE(OFFSET($BH$3,0,0,'Données projet'!$E$11+1,1))-AVERAGE(OFFSET($H$3,0,0,'Données projet'!$E$11+1,1))</f>
        <v>360.3011551173708</v>
      </c>
      <c r="BJ167" s="59">
        <f t="shared" si="146"/>
        <v>388.50312617855309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0.27492606504478695</v>
      </c>
      <c r="BR167" s="21">
        <f>EXP(-LN(2)/2)*BR166+(1-EXP(-LN(2)/2))/(LN(2)/2)*BL167*BO167*VLOOKUP('Données projet'!$B$11,Paramètres!$A$1:$I$89,3,0)*0.475*44/12</f>
        <v>8.0072485220404654E-20</v>
      </c>
      <c r="BS167" s="22">
        <f t="shared" si="169"/>
        <v>0.27492606504478695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-4.5474735088646412E-13</v>
      </c>
      <c r="DP167" s="17">
        <f>DO167*VLOOKUP('Données projet'!$B$14,Paramètres!$A$1:$I$89,3,0)*VLOOKUP('Données projet'!$B$14,Paramètres!$A$1:$I$89,5,0)</f>
        <v>-2.7193891583010558E-13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350.88566459278962</v>
      </c>
      <c r="DU167" s="59">
        <f t="shared" si="152"/>
        <v>342.18151800581552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0.31286534482263695</v>
      </c>
      <c r="EC167" s="21">
        <f>EXP(-LN(2)/2)*EC166+(1-EXP(-LN(2)/2))/(LN(2)/2)*DW167*DZ167*VLOOKUP('Données projet'!$B$14,Paramètres!$A$1:$I$89,3,0)*0.475*44/12</f>
        <v>1.6079639704303053E-19</v>
      </c>
      <c r="ED167" s="22">
        <f t="shared" si="178"/>
        <v>0.31286534482263695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-1.1527845344971866E-13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465.40148250851843</v>
      </c>
      <c r="T168" s="59">
        <f t="shared" si="142"/>
        <v>290.8428650572356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8.2435863757812367E-2</v>
      </c>
      <c r="AB168" s="21">
        <f>EXP(-LN(2)/2)*AB167+(1-EXP(-LN(2)/2))/(LN(2)/2)*V168*Y168*VLOOKUP('Données projet'!$B$9,Paramètres!$A$1:$I$89,3,0)*0.475*44/12</f>
        <v>3.3235754887893357E-20</v>
      </c>
      <c r="AC168" s="22">
        <f t="shared" si="163"/>
        <v>8.2435863757812367E-2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-1.223725121235475E-13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489.34829722967373</v>
      </c>
      <c r="AO168" s="59">
        <f t="shared" si="144"/>
        <v>304.94365539329362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8.7508839989062406E-2</v>
      </c>
      <c r="AW168" s="21">
        <f>EXP(-LN(2)/2)*AW167+(1-EXP(-LN(2)/2))/(LN(2)/2)*AQ168*AT168*VLOOKUP('Données projet'!$B$10,Paramètres!$A$1:$I$89,3,0)*0.475*44/12</f>
        <v>3.5281032111763784E-20</v>
      </c>
      <c r="AX168" s="21">
        <f t="shared" si="166"/>
        <v>8.7508839989062406E-2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5.6843418860808015E-14</v>
      </c>
      <c r="BE168" s="13">
        <f>BD168*VLOOKUP('Données projet'!$B$11,Paramètres!$A$1:$I$89,3,0)*VLOOKUP('Données projet'!$B$11,Paramètres!$A$1:$I$89,5,0)</f>
        <v>4.9658410716801891E-14</v>
      </c>
      <c r="BF168" s="13">
        <f t="shared" si="167"/>
        <v>8.0934058173791862E-13</v>
      </c>
      <c r="BG168" s="20">
        <f t="shared" si="168"/>
        <v>1.4960899118586383E-12</v>
      </c>
      <c r="BH168" s="59">
        <f t="shared" si="116"/>
        <v>288.22609502834763</v>
      </c>
      <c r="BI168" s="59">
        <f ca="1">AVERAGE(OFFSET($BH$3,0,0,'Données projet'!$E$11+1,1))-AVERAGE(OFFSET($H$3,0,0,'Données projet'!$E$11+1,1))</f>
        <v>360.3011551173708</v>
      </c>
      <c r="BJ168" s="59">
        <f t="shared" si="146"/>
        <v>388.50312617855309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0.26740819733840382</v>
      </c>
      <c r="BR168" s="21">
        <f>EXP(-LN(2)/2)*BR167+(1-EXP(-LN(2)/2))/(LN(2)/2)*BL168*BO168*VLOOKUP('Données projet'!$B$11,Paramètres!$A$1:$I$89,3,0)*0.475*44/12</f>
        <v>5.6619797285807733E-20</v>
      </c>
      <c r="BS168" s="22">
        <f t="shared" si="169"/>
        <v>0.26740819733840382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-4.5474735088646412E-13</v>
      </c>
      <c r="DP168" s="17">
        <f>DO168*VLOOKUP('Données projet'!$B$14,Paramètres!$A$1:$I$89,3,0)*VLOOKUP('Données projet'!$B$14,Paramètres!$A$1:$I$89,5,0)</f>
        <v>-2.7193891583010558E-13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350.88566459278962</v>
      </c>
      <c r="DU168" s="59">
        <f t="shared" si="152"/>
        <v>342.18151800581552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0.3043100255155885</v>
      </c>
      <c r="EC168" s="21">
        <f>EXP(-LN(2)/2)*EC167+(1-EXP(-LN(2)/2))/(LN(2)/2)*DW168*DZ168*VLOOKUP('Données projet'!$B$14,Paramètres!$A$1:$I$89,3,0)*0.475*44/12</f>
        <v>1.137002227394914E-19</v>
      </c>
      <c r="ED168" s="22">
        <f t="shared" si="178"/>
        <v>0.3043100255155885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-1.1527845344971866E-13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465.40148250851843</v>
      </c>
      <c r="T169" s="59">
        <f t="shared" si="142"/>
        <v>290.8428650572356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8.0181650728241322E-2</v>
      </c>
      <c r="AB169" s="21">
        <f>EXP(-LN(2)/2)*AB168+(1-EXP(-LN(2)/2))/(LN(2)/2)*V169*Y169*VLOOKUP('Données projet'!$B$9,Paramètres!$A$1:$I$89,3,0)*0.475*44/12</f>
        <v>2.3501227659083335E-20</v>
      </c>
      <c r="AC169" s="22">
        <f t="shared" si="163"/>
        <v>8.0181650728241322E-2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-1.223725121235475E-13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489.34829722967373</v>
      </c>
      <c r="AO169" s="59">
        <f t="shared" si="144"/>
        <v>304.94365539329362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8.5115906157671603E-2</v>
      </c>
      <c r="AW169" s="21">
        <f>EXP(-LN(2)/2)*AW168+(1-EXP(-LN(2)/2))/(LN(2)/2)*AQ169*AT169*VLOOKUP('Données projet'!$B$10,Paramètres!$A$1:$I$89,3,0)*0.475*44/12</f>
        <v>2.4947457053488511E-20</v>
      </c>
      <c r="AX169" s="21">
        <f t="shared" si="166"/>
        <v>8.5115906157671603E-2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5.6843418860808015E-14</v>
      </c>
      <c r="BE169" s="13">
        <f>BD169*VLOOKUP('Données projet'!$B$11,Paramètres!$A$1:$I$89,3,0)*VLOOKUP('Données projet'!$B$11,Paramètres!$A$1:$I$89,5,0)</f>
        <v>4.9658410716801891E-14</v>
      </c>
      <c r="BF169" s="13">
        <f t="shared" si="167"/>
        <v>8.0934058173791862E-13</v>
      </c>
      <c r="BG169" s="20">
        <f t="shared" si="168"/>
        <v>1.4960899118586383E-12</v>
      </c>
      <c r="BH169" s="59">
        <f t="shared" si="116"/>
        <v>288.3146941948649</v>
      </c>
      <c r="BI169" s="59">
        <f ca="1">AVERAGE(OFFSET($BH$3,0,0,'Données projet'!$E$11+1,1))-AVERAGE(OFFSET($H$3,0,0,'Données projet'!$E$11+1,1))</f>
        <v>360.3011551173708</v>
      </c>
      <c r="BJ169" s="59">
        <f t="shared" si="146"/>
        <v>388.50312617855309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0.26009590611979921</v>
      </c>
      <c r="BR169" s="21">
        <f>EXP(-LN(2)/2)*BR168+(1-EXP(-LN(2)/2))/(LN(2)/2)*BL169*BO169*VLOOKUP('Données projet'!$B$11,Paramètres!$A$1:$I$89,3,0)*0.475*44/12</f>
        <v>4.0036242610202327E-20</v>
      </c>
      <c r="BS169" s="22">
        <f t="shared" si="169"/>
        <v>0.26009590611979921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-4.5474735088646412E-13</v>
      </c>
      <c r="DP169" s="17">
        <f>DO169*VLOOKUP('Données projet'!$B$14,Paramètres!$A$1:$I$89,3,0)*VLOOKUP('Données projet'!$B$14,Paramètres!$A$1:$I$89,5,0)</f>
        <v>-2.7193891583010558E-13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350.88566459278962</v>
      </c>
      <c r="DU169" s="59">
        <f t="shared" si="152"/>
        <v>342.18151800581552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0.29598865186489598</v>
      </c>
      <c r="EC169" s="21">
        <f>EXP(-LN(2)/2)*EC168+(1-EXP(-LN(2)/2))/(LN(2)/2)*DW169*DZ169*VLOOKUP('Données projet'!$B$14,Paramètres!$A$1:$I$89,3,0)*0.475*44/12</f>
        <v>8.0398198521515263E-20</v>
      </c>
      <c r="ED169" s="22">
        <f t="shared" si="178"/>
        <v>0.29598865186489598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-1.1527845344971866E-13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465.40148250851843</v>
      </c>
      <c r="T170" s="59">
        <f t="shared" si="142"/>
        <v>290.8428650572356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7.7989079272507811E-2</v>
      </c>
      <c r="AB170" s="21">
        <f>EXP(-LN(2)/2)*AB169+(1-EXP(-LN(2)/2))/(LN(2)/2)*V170*Y170*VLOOKUP('Données projet'!$B$9,Paramètres!$A$1:$I$89,3,0)*0.475*44/12</f>
        <v>1.6617877443946678E-20</v>
      </c>
      <c r="AC170" s="22">
        <f t="shared" si="163"/>
        <v>7.7989079272507811E-2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-1.223725121235475E-13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489.34829722967373</v>
      </c>
      <c r="AO170" s="59">
        <f t="shared" si="144"/>
        <v>304.94365539329362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8.27884072277391E-2</v>
      </c>
      <c r="AW170" s="21">
        <f>EXP(-LN(2)/2)*AW169+(1-EXP(-LN(2)/2))/(LN(2)/2)*AQ170*AT170*VLOOKUP('Données projet'!$B$10,Paramètres!$A$1:$I$89,3,0)*0.475*44/12</f>
        <v>1.7640516055881892E-20</v>
      </c>
      <c r="AX170" s="21">
        <f t="shared" si="166"/>
        <v>8.27884072277391E-2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5.6843418860808015E-14</v>
      </c>
      <c r="BE170" s="13">
        <f>BD170*VLOOKUP('Données projet'!$B$11,Paramètres!$A$1:$I$89,3,0)*VLOOKUP('Données projet'!$B$11,Paramètres!$A$1:$I$89,5,0)</f>
        <v>4.9658410716801891E-14</v>
      </c>
      <c r="BF170" s="13">
        <f t="shared" si="167"/>
        <v>8.0934058173791862E-13</v>
      </c>
      <c r="BG170" s="20">
        <f t="shared" si="168"/>
        <v>1.4960899118586383E-12</v>
      </c>
      <c r="BH170" s="59">
        <f t="shared" si="116"/>
        <v>288.40175636392109</v>
      </c>
      <c r="BI170" s="59">
        <f ca="1">AVERAGE(OFFSET($BH$3,0,0,'Données projet'!$E$11+1,1))-AVERAGE(OFFSET($H$3,0,0,'Données projet'!$E$11+1,1))</f>
        <v>360.3011551173708</v>
      </c>
      <c r="BJ170" s="59">
        <f t="shared" si="146"/>
        <v>388.50312617855309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0.25298356988910403</v>
      </c>
      <c r="BR170" s="21">
        <f>EXP(-LN(2)/2)*BR169+(1-EXP(-LN(2)/2))/(LN(2)/2)*BL170*BO170*VLOOKUP('Données projet'!$B$11,Paramètres!$A$1:$I$89,3,0)*0.475*44/12</f>
        <v>2.8309898642903866E-20</v>
      </c>
      <c r="BS170" s="22">
        <f t="shared" si="169"/>
        <v>0.25298356988910403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-4.5474735088646412E-13</v>
      </c>
      <c r="DP170" s="17">
        <f>DO170*VLOOKUP('Données projet'!$B$14,Paramètres!$A$1:$I$89,3,0)*VLOOKUP('Données projet'!$B$14,Paramètres!$A$1:$I$89,5,0)</f>
        <v>-2.7193891583010558E-13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350.88566459278962</v>
      </c>
      <c r="DU170" s="59">
        <f t="shared" si="152"/>
        <v>342.18151800581552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0.28789482661428367</v>
      </c>
      <c r="EC170" s="21">
        <f>EXP(-LN(2)/2)*EC169+(1-EXP(-LN(2)/2))/(LN(2)/2)*DW170*DZ170*VLOOKUP('Données projet'!$B$14,Paramètres!$A$1:$I$89,3,0)*0.475*44/12</f>
        <v>5.6850111369745701E-20</v>
      </c>
      <c r="ED170" s="22">
        <f t="shared" si="178"/>
        <v>0.28789482661428367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-1.1527845344971866E-13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465.40148250851843</v>
      </c>
      <c r="T171" s="59">
        <f t="shared" si="142"/>
        <v>290.8428650572356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7.5856463798533655E-2</v>
      </c>
      <c r="AB171" s="21">
        <f>EXP(-LN(2)/2)*AB170+(1-EXP(-LN(2)/2))/(LN(2)/2)*V171*Y171*VLOOKUP('Données projet'!$B$9,Paramètres!$A$1:$I$89,3,0)*0.475*44/12</f>
        <v>1.1750613829541668E-20</v>
      </c>
      <c r="AC171" s="22">
        <f t="shared" si="163"/>
        <v>7.5856463798533655E-2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-1.223725121235475E-13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489.34829722967373</v>
      </c>
      <c r="AO171" s="59">
        <f t="shared" si="144"/>
        <v>304.94365539329362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8.0524553878443456E-2</v>
      </c>
      <c r="AW171" s="21">
        <f>EXP(-LN(2)/2)*AW170+(1-EXP(-LN(2)/2))/(LN(2)/2)*AQ171*AT171*VLOOKUP('Données projet'!$B$10,Paramètres!$A$1:$I$89,3,0)*0.475*44/12</f>
        <v>1.2473728526744255E-20</v>
      </c>
      <c r="AX171" s="21">
        <f t="shared" si="166"/>
        <v>8.0524553878443456E-2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5.6843418860808015E-14</v>
      </c>
      <c r="BE171" s="13">
        <f>BD171*VLOOKUP('Données projet'!$B$11,Paramètres!$A$1:$I$89,3,0)*VLOOKUP('Données projet'!$B$11,Paramètres!$A$1:$I$89,5,0)</f>
        <v>4.9658410716801891E-14</v>
      </c>
      <c r="BF171" s="13">
        <f t="shared" si="167"/>
        <v>8.0934058173791862E-13</v>
      </c>
      <c r="BG171" s="20">
        <f t="shared" si="168"/>
        <v>1.4960899118586383E-12</v>
      </c>
      <c r="BH171" s="59">
        <f t="shared" si="116"/>
        <v>288.487308198986</v>
      </c>
      <c r="BI171" s="59">
        <f ca="1">AVERAGE(OFFSET($BH$3,0,0,'Données projet'!$E$11+1,1))-AVERAGE(OFFSET($H$3,0,0,'Données projet'!$E$11+1,1))</f>
        <v>360.3011551173708</v>
      </c>
      <c r="BJ171" s="59">
        <f t="shared" si="146"/>
        <v>388.50312617855309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0.24606572086665873</v>
      </c>
      <c r="BR171" s="21">
        <f>EXP(-LN(2)/2)*BR170+(1-EXP(-LN(2)/2))/(LN(2)/2)*BL171*BO171*VLOOKUP('Données projet'!$B$11,Paramètres!$A$1:$I$89,3,0)*0.475*44/12</f>
        <v>2.0018121305101164E-20</v>
      </c>
      <c r="BS171" s="22">
        <f t="shared" si="169"/>
        <v>0.24606572086665873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-4.5474735088646412E-13</v>
      </c>
      <c r="DP171" s="17">
        <f>DO171*VLOOKUP('Données projet'!$B$14,Paramètres!$A$1:$I$89,3,0)*VLOOKUP('Données projet'!$B$14,Paramètres!$A$1:$I$89,5,0)</f>
        <v>-2.7193891583010558E-13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350.88566459278962</v>
      </c>
      <c r="DU171" s="59">
        <f t="shared" si="152"/>
        <v>342.18151800581552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0.28002232744078515</v>
      </c>
      <c r="EC171" s="21">
        <f>EXP(-LN(2)/2)*EC170+(1-EXP(-LN(2)/2))/(LN(2)/2)*DW171*DZ171*VLOOKUP('Données projet'!$B$14,Paramètres!$A$1:$I$89,3,0)*0.475*44/12</f>
        <v>4.0199099260757632E-20</v>
      </c>
      <c r="ED171" s="22">
        <f t="shared" si="178"/>
        <v>0.28002232744078515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-1.1527845344971866E-13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465.40148250851843</v>
      </c>
      <c r="T172" s="59">
        <f t="shared" si="142"/>
        <v>290.8428650572356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7.3782164806844699E-2</v>
      </c>
      <c r="AB172" s="21">
        <f>EXP(-LN(2)/2)*AB171+(1-EXP(-LN(2)/2))/(LN(2)/2)*V172*Y172*VLOOKUP('Données projet'!$B$9,Paramètres!$A$1:$I$89,3,0)*0.475*44/12</f>
        <v>8.3089387219733392E-21</v>
      </c>
      <c r="AC172" s="22">
        <f t="shared" si="163"/>
        <v>7.3782164806844699E-2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-1.223725121235475E-13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489.34829722967373</v>
      </c>
      <c r="AO172" s="59">
        <f t="shared" si="144"/>
        <v>304.94365539329362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7.8322605718035176E-2</v>
      </c>
      <c r="AW172" s="21">
        <f>EXP(-LN(2)/2)*AW171+(1-EXP(-LN(2)/2))/(LN(2)/2)*AQ172*AT172*VLOOKUP('Données projet'!$B$10,Paramètres!$A$1:$I$89,3,0)*0.475*44/12</f>
        <v>8.8202580279409459E-21</v>
      </c>
      <c r="AX172" s="21">
        <f t="shared" si="166"/>
        <v>7.8322605718035176E-2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5.6843418860808015E-14</v>
      </c>
      <c r="BE172" s="13">
        <f>BD172*VLOOKUP('Données projet'!$B$11,Paramètres!$A$1:$I$89,3,0)*VLOOKUP('Données projet'!$B$11,Paramètres!$A$1:$I$89,5,0)</f>
        <v>4.9658410716801891E-14</v>
      </c>
      <c r="BF172" s="13">
        <f t="shared" si="167"/>
        <v>8.0934058173791862E-13</v>
      </c>
      <c r="BG172" s="20">
        <f t="shared" si="168"/>
        <v>1.4960899118586383E-12</v>
      </c>
      <c r="BH172" s="59">
        <f t="shared" si="116"/>
        <v>288.5713759009779</v>
      </c>
      <c r="BI172" s="59">
        <f ca="1">AVERAGE(OFFSET($BH$3,0,0,'Données projet'!$E$11+1,1))-AVERAGE(OFFSET($H$3,0,0,'Données projet'!$E$11+1,1))</f>
        <v>360.3011551173708</v>
      </c>
      <c r="BJ172" s="59">
        <f t="shared" si="146"/>
        <v>388.50312617855309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0.23933704078952608</v>
      </c>
      <c r="BR172" s="21">
        <f>EXP(-LN(2)/2)*BR171+(1-EXP(-LN(2)/2))/(LN(2)/2)*BL172*BO172*VLOOKUP('Données projet'!$B$11,Paramètres!$A$1:$I$89,3,0)*0.475*44/12</f>
        <v>1.4154949321451933E-20</v>
      </c>
      <c r="BS172" s="22">
        <f t="shared" si="169"/>
        <v>0.23933704078952608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-4.5474735088646412E-13</v>
      </c>
      <c r="DP172" s="17">
        <f>DO172*VLOOKUP('Données projet'!$B$14,Paramètres!$A$1:$I$89,3,0)*VLOOKUP('Données projet'!$B$14,Paramètres!$A$1:$I$89,5,0)</f>
        <v>-2.7193891583010558E-13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350.88566459278962</v>
      </c>
      <c r="DU172" s="59">
        <f t="shared" si="152"/>
        <v>342.18151800581552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0.27236510217118265</v>
      </c>
      <c r="EC172" s="21">
        <f>EXP(-LN(2)/2)*EC171+(1-EXP(-LN(2)/2))/(LN(2)/2)*DW172*DZ172*VLOOKUP('Données projet'!$B$14,Paramètres!$A$1:$I$89,3,0)*0.475*44/12</f>
        <v>2.842505568487285E-20</v>
      </c>
      <c r="ED172" s="22">
        <f t="shared" si="178"/>
        <v>0.27236510217118265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-1.1527845344971866E-13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465.40148250851843</v>
      </c>
      <c r="T173" s="59">
        <f t="shared" si="142"/>
        <v>290.8428650572356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7.1764587630166118E-2</v>
      </c>
      <c r="AB173" s="21">
        <f>EXP(-LN(2)/2)*AB172+(1-EXP(-LN(2)/2))/(LN(2)/2)*V173*Y173*VLOOKUP('Données projet'!$B$9,Paramètres!$A$1:$I$89,3,0)*0.475*44/12</f>
        <v>5.8753069147708338E-21</v>
      </c>
      <c r="AC173" s="22">
        <f t="shared" si="163"/>
        <v>7.1764587630166118E-2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-1.223725121235475E-13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489.34829722967373</v>
      </c>
      <c r="AO173" s="59">
        <f t="shared" si="144"/>
        <v>304.94365539329362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7.6180869945868673E-2</v>
      </c>
      <c r="AW173" s="21">
        <f>EXP(-LN(2)/2)*AW172+(1-EXP(-LN(2)/2))/(LN(2)/2)*AQ173*AT173*VLOOKUP('Données projet'!$B$10,Paramètres!$A$1:$I$89,3,0)*0.475*44/12</f>
        <v>6.2368642633721277E-21</v>
      </c>
      <c r="AX173" s="21">
        <f t="shared" si="166"/>
        <v>7.6180869945868673E-2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5.6843418860808015E-14</v>
      </c>
      <c r="BE173" s="13">
        <f>BD173*VLOOKUP('Données projet'!$B$11,Paramètres!$A$1:$I$89,3,0)*VLOOKUP('Données projet'!$B$11,Paramètres!$A$1:$I$89,5,0)</f>
        <v>4.9658410716801891E-14</v>
      </c>
      <c r="BF173" s="13">
        <f t="shared" si="167"/>
        <v>8.0934058173791862E-13</v>
      </c>
      <c r="BG173" s="20">
        <f t="shared" si="168"/>
        <v>1.4960899118586383E-12</v>
      </c>
      <c r="BH173" s="59">
        <f t="shared" si="116"/>
        <v>288.65398521628737</v>
      </c>
      <c r="BI173" s="59">
        <f ca="1">AVERAGE(OFFSET($BH$3,0,0,'Données projet'!$E$11+1,1))-AVERAGE(OFFSET($H$3,0,0,'Données projet'!$E$11+1,1))</f>
        <v>360.3011551173708</v>
      </c>
      <c r="BJ173" s="59">
        <f t="shared" si="146"/>
        <v>388.50312617855309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0.23279235682294852</v>
      </c>
      <c r="BR173" s="21">
        <f>EXP(-LN(2)/2)*BR172+(1-EXP(-LN(2)/2))/(LN(2)/2)*BL173*BO173*VLOOKUP('Données projet'!$B$11,Paramètres!$A$1:$I$89,3,0)*0.475*44/12</f>
        <v>1.0009060652550582E-20</v>
      </c>
      <c r="BS173" s="22">
        <f t="shared" si="169"/>
        <v>0.23279235682294852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-4.5474735088646412E-13</v>
      </c>
      <c r="DP173" s="17">
        <f>DO173*VLOOKUP('Données projet'!$B$14,Paramètres!$A$1:$I$89,3,0)*VLOOKUP('Données projet'!$B$14,Paramètres!$A$1:$I$89,5,0)</f>
        <v>-2.7193891583010558E-13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350.88566459278962</v>
      </c>
      <c r="DU173" s="59">
        <f t="shared" si="152"/>
        <v>342.18151800581552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0.26491726412925343</v>
      </c>
      <c r="EC173" s="21">
        <f>EXP(-LN(2)/2)*EC172+(1-EXP(-LN(2)/2))/(LN(2)/2)*DW173*DZ173*VLOOKUP('Données projet'!$B$14,Paramètres!$A$1:$I$89,3,0)*0.475*44/12</f>
        <v>2.0099549630378816E-20</v>
      </c>
      <c r="ED173" s="22">
        <f t="shared" si="178"/>
        <v>0.26491726412925343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-1.1527845344971866E-13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465.40148250851843</v>
      </c>
      <c r="T174" s="59">
        <f t="shared" si="142"/>
        <v>290.8428650572356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6.9802181207483577E-2</v>
      </c>
      <c r="AB174" s="21">
        <f>EXP(-LN(2)/2)*AB173+(1-EXP(-LN(2)/2))/(LN(2)/2)*V174*Y174*VLOOKUP('Données projet'!$B$9,Paramètres!$A$1:$I$89,3,0)*0.475*44/12</f>
        <v>4.1544693609866696E-21</v>
      </c>
      <c r="AC174" s="22">
        <f t="shared" si="163"/>
        <v>6.9802181207483577E-2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-1.223725121235475E-13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489.34829722967373</v>
      </c>
      <c r="AO174" s="59">
        <f t="shared" si="144"/>
        <v>304.94365539329362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7.4097700051021051E-2</v>
      </c>
      <c r="AW174" s="21">
        <f>EXP(-LN(2)/2)*AW173+(1-EXP(-LN(2)/2))/(LN(2)/2)*AQ174*AT174*VLOOKUP('Données projet'!$B$10,Paramètres!$A$1:$I$89,3,0)*0.475*44/12</f>
        <v>4.4101290139704729E-21</v>
      </c>
      <c r="AX174" s="21">
        <f t="shared" si="166"/>
        <v>7.4097700051021051E-2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5.6843418860808015E-14</v>
      </c>
      <c r="BE174" s="13">
        <f>BD174*VLOOKUP('Données projet'!$B$11,Paramètres!$A$1:$I$89,3,0)*VLOOKUP('Données projet'!$B$11,Paramètres!$A$1:$I$89,5,0)</f>
        <v>4.9658410716801891E-14</v>
      </c>
      <c r="BF174" s="13">
        <f t="shared" si="167"/>
        <v>8.0934058173791862E-13</v>
      </c>
      <c r="BG174" s="20">
        <f t="shared" si="168"/>
        <v>1.4960899118586383E-12</v>
      </c>
      <c r="BH174" s="59">
        <f t="shared" si="116"/>
        <v>288.73516144466299</v>
      </c>
      <c r="BI174" s="59">
        <f ca="1">AVERAGE(OFFSET($BH$3,0,0,'Données projet'!$E$11+1,1))-AVERAGE(OFFSET($H$3,0,0,'Données projet'!$E$11+1,1))</f>
        <v>360.3011551173708</v>
      </c>
      <c r="BJ174" s="59">
        <f t="shared" si="146"/>
        <v>388.50312617855309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0.22642663758360701</v>
      </c>
      <c r="BR174" s="21">
        <f>EXP(-LN(2)/2)*BR173+(1-EXP(-LN(2)/2))/(LN(2)/2)*BL174*BO174*VLOOKUP('Données projet'!$B$11,Paramètres!$A$1:$I$89,3,0)*0.475*44/12</f>
        <v>7.0774746607259666E-21</v>
      </c>
      <c r="BS174" s="22">
        <f t="shared" si="169"/>
        <v>0.22642663758360701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-4.5474735088646412E-13</v>
      </c>
      <c r="DP174" s="17">
        <f>DO174*VLOOKUP('Données projet'!$B$14,Paramètres!$A$1:$I$89,3,0)*VLOOKUP('Données projet'!$B$14,Paramètres!$A$1:$I$89,5,0)</f>
        <v>-2.7193891583010558E-13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350.88566459278962</v>
      </c>
      <c r="DU174" s="59">
        <f t="shared" si="152"/>
        <v>342.18151800581552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0.25767308761024554</v>
      </c>
      <c r="EC174" s="21">
        <f>EXP(-LN(2)/2)*EC173+(1-EXP(-LN(2)/2))/(LN(2)/2)*DW174*DZ174*VLOOKUP('Données projet'!$B$14,Paramètres!$A$1:$I$89,3,0)*0.475*44/12</f>
        <v>1.4212527842436425E-20</v>
      </c>
      <c r="ED174" s="22">
        <f t="shared" si="178"/>
        <v>0.25767308761024554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-1.1527845344971866E-13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465.40148250851843</v>
      </c>
      <c r="T175" s="59">
        <f t="shared" si="142"/>
        <v>290.8428650572356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6.7893436891627759E-2</v>
      </c>
      <c r="AB175" s="21">
        <f>EXP(-LN(2)/2)*AB174+(1-EXP(-LN(2)/2))/(LN(2)/2)*V175*Y175*VLOOKUP('Données projet'!$B$9,Paramètres!$A$1:$I$89,3,0)*0.475*44/12</f>
        <v>2.9376534573854169E-21</v>
      </c>
      <c r="AC175" s="22">
        <f t="shared" si="163"/>
        <v>6.7893436891627759E-2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-1.223725121235475E-13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489.34829722967373</v>
      </c>
      <c r="AO175" s="59">
        <f t="shared" si="144"/>
        <v>304.94365539329362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7.2071494546497181E-2</v>
      </c>
      <c r="AW175" s="21">
        <f>EXP(-LN(2)/2)*AW174+(1-EXP(-LN(2)/2))/(LN(2)/2)*AQ175*AT175*VLOOKUP('Données projet'!$B$10,Paramètres!$A$1:$I$89,3,0)*0.475*44/12</f>
        <v>3.1184321316860639E-21</v>
      </c>
      <c r="AX175" s="21">
        <f t="shared" si="166"/>
        <v>7.2071494546497181E-2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5.6843418860808015E-14</v>
      </c>
      <c r="BE175" s="13">
        <f>BD175*VLOOKUP('Données projet'!$B$11,Paramètres!$A$1:$I$89,3,0)*VLOOKUP('Données projet'!$B$11,Paramètres!$A$1:$I$89,5,0)</f>
        <v>4.9658410716801891E-14</v>
      </c>
      <c r="BF175" s="13">
        <f t="shared" si="167"/>
        <v>8.0934058173791862E-13</v>
      </c>
      <c r="BG175" s="20">
        <f t="shared" si="168"/>
        <v>1.4960899118586383E-12</v>
      </c>
      <c r="BH175" s="59">
        <f t="shared" si="116"/>
        <v>288.81492944695913</v>
      </c>
      <c r="BI175" s="59">
        <f ca="1">AVERAGE(OFFSET($BH$3,0,0,'Données projet'!$E$11+1,1))-AVERAGE(OFFSET($H$3,0,0,'Données projet'!$E$11+1,1))</f>
        <v>360.3011551173708</v>
      </c>
      <c r="BJ175" s="59">
        <f t="shared" si="146"/>
        <v>388.50312617855309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0.22023498927162391</v>
      </c>
      <c r="BR175" s="21">
        <f>EXP(-LN(2)/2)*BR174+(1-EXP(-LN(2)/2))/(LN(2)/2)*BL175*BO175*VLOOKUP('Données projet'!$B$11,Paramètres!$A$1:$I$89,3,0)*0.475*44/12</f>
        <v>5.0045303262752909E-21</v>
      </c>
      <c r="BS175" s="22">
        <f t="shared" si="169"/>
        <v>0.22023498927162391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-4.5474735088646412E-13</v>
      </c>
      <c r="DP175" s="17">
        <f>DO175*VLOOKUP('Données projet'!$B$14,Paramètres!$A$1:$I$89,3,0)*VLOOKUP('Données projet'!$B$14,Paramètres!$A$1:$I$89,5,0)</f>
        <v>-2.7193891583010558E-13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350.88566459278962</v>
      </c>
      <c r="DU175" s="59">
        <f t="shared" si="152"/>
        <v>342.18151800581552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0.2506270034791046</v>
      </c>
      <c r="EC175" s="21">
        <f>EXP(-LN(2)/2)*EC174+(1-EXP(-LN(2)/2))/(LN(2)/2)*DW175*DZ175*VLOOKUP('Données projet'!$B$14,Paramètres!$A$1:$I$89,3,0)*0.475*44/12</f>
        <v>1.0049774815189408E-20</v>
      </c>
      <c r="ED175" s="22">
        <f t="shared" si="178"/>
        <v>0.2506270034791046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-1.1527845344971866E-13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465.40148250851843</v>
      </c>
      <c r="T176" s="59">
        <f t="shared" si="142"/>
        <v>290.8428650572356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6.6036887289465523E-2</v>
      </c>
      <c r="AB176" s="21">
        <f>EXP(-LN(2)/2)*AB175+(1-EXP(-LN(2)/2))/(LN(2)/2)*V176*Y176*VLOOKUP('Données projet'!$B$9,Paramètres!$A$1:$I$89,3,0)*0.475*44/12</f>
        <v>2.0772346804933348E-21</v>
      </c>
      <c r="AC176" s="22">
        <f t="shared" si="163"/>
        <v>6.6036887289465523E-2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-1.223725121235475E-13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489.34829722967373</v>
      </c>
      <c r="AO176" s="59">
        <f t="shared" si="144"/>
        <v>304.94365539329362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7.0100695738048044E-2</v>
      </c>
      <c r="AW176" s="21">
        <f>EXP(-LN(2)/2)*AW175+(1-EXP(-LN(2)/2))/(LN(2)/2)*AQ176*AT176*VLOOKUP('Données projet'!$B$10,Paramètres!$A$1:$I$89,3,0)*0.475*44/12</f>
        <v>2.2050645069852365E-21</v>
      </c>
      <c r="AX176" s="21">
        <f t="shared" si="166"/>
        <v>7.0100695738048044E-2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5.6843418860808015E-14</v>
      </c>
      <c r="BE176" s="13">
        <f>BD176*VLOOKUP('Données projet'!$B$11,Paramètres!$A$1:$I$89,3,0)*VLOOKUP('Données projet'!$B$11,Paramètres!$A$1:$I$89,5,0)</f>
        <v>4.9658410716801891E-14</v>
      </c>
      <c r="BF176" s="13">
        <f t="shared" si="167"/>
        <v>8.0934058173791862E-13</v>
      </c>
      <c r="BG176" s="20">
        <f t="shared" si="168"/>
        <v>1.4960899118586383E-12</v>
      </c>
      <c r="BH176" s="59">
        <f t="shared" si="116"/>
        <v>288.89331365274995</v>
      </c>
      <c r="BI176" s="59">
        <f ca="1">AVERAGE(OFFSET($BH$3,0,0,'Données projet'!$E$11+1,1))-AVERAGE(OFFSET($H$3,0,0,'Données projet'!$E$11+1,1))</f>
        <v>360.3011551173708</v>
      </c>
      <c r="BJ176" s="59">
        <f t="shared" si="146"/>
        <v>388.50312617855309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0.21421265190833663</v>
      </c>
      <c r="BR176" s="21">
        <f>EXP(-LN(2)/2)*BR175+(1-EXP(-LN(2)/2))/(LN(2)/2)*BL176*BO176*VLOOKUP('Données projet'!$B$11,Paramètres!$A$1:$I$89,3,0)*0.475*44/12</f>
        <v>3.5387373303629833E-21</v>
      </c>
      <c r="BS176" s="22">
        <f t="shared" si="169"/>
        <v>0.21421265190833663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-4.5474735088646412E-13</v>
      </c>
      <c r="DP176" s="17">
        <f>DO176*VLOOKUP('Données projet'!$B$14,Paramètres!$A$1:$I$89,3,0)*VLOOKUP('Données projet'!$B$14,Paramètres!$A$1:$I$89,5,0)</f>
        <v>-2.7193891583010558E-13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350.88566459278962</v>
      </c>
      <c r="DU176" s="59">
        <f t="shared" si="152"/>
        <v>342.18151800581552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0.24377359488906719</v>
      </c>
      <c r="EC176" s="21">
        <f>EXP(-LN(2)/2)*EC175+(1-EXP(-LN(2)/2))/(LN(2)/2)*DW176*DZ176*VLOOKUP('Données projet'!$B$14,Paramètres!$A$1:$I$89,3,0)*0.475*44/12</f>
        <v>7.1062639212182126E-21</v>
      </c>
      <c r="ED176" s="22">
        <f t="shared" si="178"/>
        <v>0.24377359488906719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-1.1527845344971866E-13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465.40148250851843</v>
      </c>
      <c r="T177" s="59">
        <f t="shared" si="142"/>
        <v>290.8428650572356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6.4231105133806116E-2</v>
      </c>
      <c r="AB177" s="21">
        <f>EXP(-LN(2)/2)*AB176+(1-EXP(-LN(2)/2))/(LN(2)/2)*V177*Y177*VLOOKUP('Données projet'!$B$9,Paramètres!$A$1:$I$89,3,0)*0.475*44/12</f>
        <v>1.4688267286927085E-21</v>
      </c>
      <c r="AC177" s="22">
        <f t="shared" si="163"/>
        <v>6.4231105133806116E-2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-1.223725121235475E-13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489.34829722967373</v>
      </c>
      <c r="AO177" s="59">
        <f t="shared" si="144"/>
        <v>304.94365539329362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6.8183788526655742E-2</v>
      </c>
      <c r="AW177" s="21">
        <f>EXP(-LN(2)/2)*AW176+(1-EXP(-LN(2)/2))/(LN(2)/2)*AQ177*AT177*VLOOKUP('Données projet'!$B$10,Paramètres!$A$1:$I$89,3,0)*0.475*44/12</f>
        <v>1.5592160658430319E-21</v>
      </c>
      <c r="AX177" s="21">
        <f t="shared" si="166"/>
        <v>6.8183788526655742E-2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5.6843418860808015E-14</v>
      </c>
      <c r="BE177" s="13">
        <f>BD177*VLOOKUP('Données projet'!$B$11,Paramètres!$A$1:$I$89,3,0)*VLOOKUP('Données projet'!$B$11,Paramètres!$A$1:$I$89,5,0)</f>
        <v>4.9658410716801891E-14</v>
      </c>
      <c r="BF177" s="13">
        <f t="shared" si="167"/>
        <v>8.0934058173791862E-13</v>
      </c>
      <c r="BG177" s="20">
        <f t="shared" si="168"/>
        <v>1.4960899118586383E-12</v>
      </c>
      <c r="BH177" s="59">
        <f t="shared" si="116"/>
        <v>288.97033806781121</v>
      </c>
      <c r="BI177" s="59">
        <f ca="1">AVERAGE(OFFSET($BH$3,0,0,'Données projet'!$E$11+1,1))-AVERAGE(OFFSET($H$3,0,0,'Données projet'!$E$11+1,1))</f>
        <v>360.3011551173708</v>
      </c>
      <c r="BJ177" s="59">
        <f t="shared" si="146"/>
        <v>388.50312617855309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0.2083549956769494</v>
      </c>
      <c r="BR177" s="21">
        <f>EXP(-LN(2)/2)*BR176+(1-EXP(-LN(2)/2))/(LN(2)/2)*BL177*BO177*VLOOKUP('Données projet'!$B$11,Paramètres!$A$1:$I$89,3,0)*0.475*44/12</f>
        <v>2.5022651631376454E-21</v>
      </c>
      <c r="BS177" s="22">
        <f t="shared" si="169"/>
        <v>0.2083549956769494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-4.5474735088646412E-13</v>
      </c>
      <c r="DP177" s="17">
        <f>DO177*VLOOKUP('Données projet'!$B$14,Paramètres!$A$1:$I$89,3,0)*VLOOKUP('Données projet'!$B$14,Paramètres!$A$1:$I$89,5,0)</f>
        <v>-2.7193891583010558E-13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350.88566459278962</v>
      </c>
      <c r="DU177" s="59">
        <f t="shared" si="152"/>
        <v>342.18151800581552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0.23710759311732946</v>
      </c>
      <c r="EC177" s="21">
        <f>EXP(-LN(2)/2)*EC176+(1-EXP(-LN(2)/2))/(LN(2)/2)*DW177*DZ177*VLOOKUP('Données projet'!$B$14,Paramètres!$A$1:$I$89,3,0)*0.475*44/12</f>
        <v>5.024887407594704E-21</v>
      </c>
      <c r="ED177" s="22">
        <f t="shared" si="178"/>
        <v>0.23710759311732946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-1.1527845344971866E-13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465.40148250851843</v>
      </c>
      <c r="T178" s="59">
        <f t="shared" si="142"/>
        <v>290.8428650572356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6.2474702186155168E-2</v>
      </c>
      <c r="AB178" s="21">
        <f>EXP(-LN(2)/2)*AB177+(1-EXP(-LN(2)/2))/(LN(2)/2)*V178*Y178*VLOOKUP('Données projet'!$B$9,Paramètres!$A$1:$I$89,3,0)*0.475*44/12</f>
        <v>1.0386173402466674E-21</v>
      </c>
      <c r="AC178" s="22">
        <f t="shared" si="163"/>
        <v>6.2474702186155168E-2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-1.223725121235475E-13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489.34829722967373</v>
      </c>
      <c r="AO178" s="59">
        <f t="shared" si="144"/>
        <v>304.94365539329362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6.6319299243764743E-2</v>
      </c>
      <c r="AW178" s="21">
        <f>EXP(-LN(2)/2)*AW177+(1-EXP(-LN(2)/2))/(LN(2)/2)*AQ178*AT178*VLOOKUP('Données projet'!$B$10,Paramètres!$A$1:$I$89,3,0)*0.475*44/12</f>
        <v>1.1025322534926182E-21</v>
      </c>
      <c r="AX178" s="21">
        <f t="shared" si="166"/>
        <v>6.6319299243764743E-2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5.6843418860808015E-14</v>
      </c>
      <c r="BE178" s="13">
        <f>BD178*VLOOKUP('Données projet'!$B$11,Paramètres!$A$1:$I$89,3,0)*VLOOKUP('Données projet'!$B$11,Paramètres!$A$1:$I$89,5,0)</f>
        <v>4.9658410716801891E-14</v>
      </c>
      <c r="BF178" s="13">
        <f t="shared" si="167"/>
        <v>8.0934058173791862E-13</v>
      </c>
      <c r="BG178" s="20">
        <f t="shared" si="168"/>
        <v>1.4960899118586383E-12</v>
      </c>
      <c r="BH178" s="59">
        <f t="shared" si="116"/>
        <v>289.04602628147188</v>
      </c>
      <c r="BI178" s="59">
        <f ca="1">AVERAGE(OFFSET($BH$3,0,0,'Données projet'!$E$11+1,1))-AVERAGE(OFFSET($H$3,0,0,'Données projet'!$E$11+1,1))</f>
        <v>360.3011551173708</v>
      </c>
      <c r="BJ178" s="59">
        <f t="shared" si="146"/>
        <v>388.50312617855309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0.20265751736325019</v>
      </c>
      <c r="BR178" s="21">
        <f>EXP(-LN(2)/2)*BR177+(1-EXP(-LN(2)/2))/(LN(2)/2)*BL178*BO178*VLOOKUP('Données projet'!$B$11,Paramètres!$A$1:$I$89,3,0)*0.475*44/12</f>
        <v>1.7693686651814916E-21</v>
      </c>
      <c r="BS178" s="22">
        <f t="shared" si="169"/>
        <v>0.20265751736325019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-4.5474735088646412E-13</v>
      </c>
      <c r="DP178" s="17">
        <f>DO178*VLOOKUP('Données projet'!$B$14,Paramètres!$A$1:$I$89,3,0)*VLOOKUP('Données projet'!$B$14,Paramètres!$A$1:$I$89,5,0)</f>
        <v>-2.7193891583010558E-13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350.88566459278962</v>
      </c>
      <c r="DU178" s="59">
        <f t="shared" si="152"/>
        <v>342.18151800581552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0.23062387351458968</v>
      </c>
      <c r="EC178" s="21">
        <f>EXP(-LN(2)/2)*EC177+(1-EXP(-LN(2)/2))/(LN(2)/2)*DW178*DZ178*VLOOKUP('Données projet'!$B$14,Paramètres!$A$1:$I$89,3,0)*0.475*44/12</f>
        <v>3.5531319606091063E-21</v>
      </c>
      <c r="ED178" s="22">
        <f t="shared" si="178"/>
        <v>0.23062387351458968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-1.1527845344971866E-13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465.40148250851843</v>
      </c>
      <c r="T179" s="59">
        <f t="shared" si="142"/>
        <v>290.8428650572356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6.0766328169472958E-2</v>
      </c>
      <c r="AB179" s="21">
        <f>EXP(-LN(2)/2)*AB178+(1-EXP(-LN(2)/2))/(LN(2)/2)*V179*Y179*VLOOKUP('Données projet'!$B$9,Paramètres!$A$1:$I$89,3,0)*0.475*44/12</f>
        <v>7.3441336434635423E-22</v>
      </c>
      <c r="AC179" s="22">
        <f t="shared" si="163"/>
        <v>6.0766328169472958E-2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-1.223725121235475E-13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489.34829722967373</v>
      </c>
      <c r="AO179" s="59">
        <f t="shared" si="144"/>
        <v>304.94365539329362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6.4505794518363621E-2</v>
      </c>
      <c r="AW179" s="21">
        <f>EXP(-LN(2)/2)*AW178+(1-EXP(-LN(2)/2))/(LN(2)/2)*AQ179*AT179*VLOOKUP('Données projet'!$B$10,Paramètres!$A$1:$I$89,3,0)*0.475*44/12</f>
        <v>7.7960803292151596E-22</v>
      </c>
      <c r="AX179" s="21">
        <f t="shared" si="166"/>
        <v>6.4505794518363621E-2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5.6843418860808015E-14</v>
      </c>
      <c r="BE179" s="13">
        <f>BD179*VLOOKUP('Données projet'!$B$11,Paramètres!$A$1:$I$89,3,0)*VLOOKUP('Données projet'!$B$11,Paramètres!$A$1:$I$89,5,0)</f>
        <v>4.9658410716801891E-14</v>
      </c>
      <c r="BF179" s="13">
        <f t="shared" si="167"/>
        <v>8.0934058173791862E-13</v>
      </c>
      <c r="BG179" s="20">
        <f t="shared" si="168"/>
        <v>1.4960899118586383E-12</v>
      </c>
      <c r="BH179" s="59">
        <f t="shared" si="116"/>
        <v>289.12040147383908</v>
      </c>
      <c r="BI179" s="59">
        <f ca="1">AVERAGE(OFFSET($BH$3,0,0,'Données projet'!$E$11+1,1))-AVERAGE(OFFSET($H$3,0,0,'Données projet'!$E$11+1,1))</f>
        <v>360.3011551173708</v>
      </c>
      <c r="BJ179" s="59">
        <f t="shared" si="146"/>
        <v>388.50312617855309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0.19711583689365644</v>
      </c>
      <c r="BR179" s="21">
        <f>EXP(-LN(2)/2)*BR178+(1-EXP(-LN(2)/2))/(LN(2)/2)*BL179*BO179*VLOOKUP('Données projet'!$B$11,Paramètres!$A$1:$I$89,3,0)*0.475*44/12</f>
        <v>1.2511325815688227E-21</v>
      </c>
      <c r="BS179" s="22">
        <f t="shared" si="169"/>
        <v>0.19711583689365644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-4.5474735088646412E-13</v>
      </c>
      <c r="DP179" s="17">
        <f>DO179*VLOOKUP('Données projet'!$B$14,Paramètres!$A$1:$I$89,3,0)*VLOOKUP('Données projet'!$B$14,Paramètres!$A$1:$I$89,5,0)</f>
        <v>-2.7193891583010558E-13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350.88566459278962</v>
      </c>
      <c r="DU179" s="59">
        <f t="shared" si="152"/>
        <v>342.18151800581552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0.22431745156535082</v>
      </c>
      <c r="EC179" s="21">
        <f>EXP(-LN(2)/2)*EC178+(1-EXP(-LN(2)/2))/(LN(2)/2)*DW179*DZ179*VLOOKUP('Données projet'!$B$14,Paramètres!$A$1:$I$89,3,0)*0.475*44/12</f>
        <v>2.512443703797352E-21</v>
      </c>
      <c r="ED179" s="22">
        <f t="shared" si="178"/>
        <v>0.22431745156535082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-1.1527845344971866E-13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465.40148250851843</v>
      </c>
      <c r="T180" s="59">
        <f t="shared" si="142"/>
        <v>290.8428650572356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5.9104669730116403E-2</v>
      </c>
      <c r="AB180" s="21">
        <f>EXP(-LN(2)/2)*AB179+(1-EXP(-LN(2)/2))/(LN(2)/2)*V180*Y180*VLOOKUP('Données projet'!$B$9,Paramètres!$A$1:$I$89,3,0)*0.475*44/12</f>
        <v>5.193086701233337E-22</v>
      </c>
      <c r="AC180" s="22">
        <f t="shared" si="163"/>
        <v>5.9104669730116403E-2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-1.223725121235475E-13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489.34829722967373</v>
      </c>
      <c r="AO180" s="59">
        <f t="shared" si="144"/>
        <v>304.94365539329362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6.2741880175046658E-2</v>
      </c>
      <c r="AW180" s="21">
        <f>EXP(-LN(2)/2)*AW179+(1-EXP(-LN(2)/2))/(LN(2)/2)*AQ180*AT180*VLOOKUP('Données projet'!$B$10,Paramètres!$A$1:$I$89,3,0)*0.475*44/12</f>
        <v>5.5126612674630912E-22</v>
      </c>
      <c r="AX180" s="21">
        <f t="shared" si="166"/>
        <v>6.2741880175046658E-2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5.6843418860808015E-14</v>
      </c>
      <c r="BE180" s="13">
        <f>BD180*VLOOKUP('Données projet'!$B$11,Paramètres!$A$1:$I$89,3,0)*VLOOKUP('Données projet'!$B$11,Paramètres!$A$1:$I$89,5,0)</f>
        <v>4.9658410716801891E-14</v>
      </c>
      <c r="BF180" s="13">
        <f t="shared" si="167"/>
        <v>8.0934058173791862E-13</v>
      </c>
      <c r="BG180" s="20">
        <f t="shared" si="168"/>
        <v>1.4960899118586383E-12</v>
      </c>
      <c r="BH180" s="59">
        <f t="shared" si="116"/>
        <v>289.19348642289674</v>
      </c>
      <c r="BI180" s="59">
        <f ca="1">AVERAGE(OFFSET($BH$3,0,0,'Données projet'!$E$11+1,1))-AVERAGE(OFFSET($H$3,0,0,'Données projet'!$E$11+1,1))</f>
        <v>360.3011551173708</v>
      </c>
      <c r="BJ180" s="59">
        <f t="shared" si="146"/>
        <v>388.50312617855309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0.19172569396792807</v>
      </c>
      <c r="BR180" s="21">
        <f>EXP(-LN(2)/2)*BR179+(1-EXP(-LN(2)/2))/(LN(2)/2)*BL180*BO180*VLOOKUP('Données projet'!$B$11,Paramètres!$A$1:$I$89,3,0)*0.475*44/12</f>
        <v>8.8468433259074582E-22</v>
      </c>
      <c r="BS180" s="22">
        <f t="shared" si="169"/>
        <v>0.19172569396792807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-4.5474735088646412E-13</v>
      </c>
      <c r="DP180" s="17">
        <f>DO180*VLOOKUP('Données projet'!$B$14,Paramètres!$A$1:$I$89,3,0)*VLOOKUP('Données projet'!$B$14,Paramètres!$A$1:$I$89,5,0)</f>
        <v>-2.7193891583010558E-13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350.88566459278962</v>
      </c>
      <c r="DU180" s="59">
        <f t="shared" si="152"/>
        <v>342.18151800581552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0.2181834790559542</v>
      </c>
      <c r="EC180" s="21">
        <f>EXP(-LN(2)/2)*EC179+(1-EXP(-LN(2)/2))/(LN(2)/2)*DW180*DZ180*VLOOKUP('Données projet'!$B$14,Paramètres!$A$1:$I$89,3,0)*0.475*44/12</f>
        <v>1.7765659803045531E-21</v>
      </c>
      <c r="ED180" s="22">
        <f t="shared" si="178"/>
        <v>0.2181834790559542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-1.1527845344971866E-13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465.40148250851843</v>
      </c>
      <c r="T181" s="59">
        <f t="shared" si="142"/>
        <v>290.8428650572356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5.7488449428166874E-2</v>
      </c>
      <c r="AB181" s="21">
        <f>EXP(-LN(2)/2)*AB180+(1-EXP(-LN(2)/2))/(LN(2)/2)*V181*Y181*VLOOKUP('Données projet'!$B$9,Paramètres!$A$1:$I$89,3,0)*0.475*44/12</f>
        <v>3.6720668217317711E-22</v>
      </c>
      <c r="AC181" s="22">
        <f t="shared" si="163"/>
        <v>5.7488449428166874E-2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-1.223725121235475E-13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489.34829722967373</v>
      </c>
      <c r="AO181" s="59">
        <f t="shared" si="144"/>
        <v>304.94365539329362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6.102620016220793E-2</v>
      </c>
      <c r="AW181" s="21">
        <f>EXP(-LN(2)/2)*AW180+(1-EXP(-LN(2)/2))/(LN(2)/2)*AQ181*AT181*VLOOKUP('Données projet'!$B$10,Paramètres!$A$1:$I$89,3,0)*0.475*44/12</f>
        <v>3.8980401646075798E-22</v>
      </c>
      <c r="AX181" s="21">
        <f t="shared" si="166"/>
        <v>6.102620016220793E-2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5.6843418860808015E-14</v>
      </c>
      <c r="BE181" s="13">
        <f>BD181*VLOOKUP('Données projet'!$B$11,Paramètres!$A$1:$I$89,3,0)*VLOOKUP('Données projet'!$B$11,Paramètres!$A$1:$I$89,5,0)</f>
        <v>4.9658410716801891E-14</v>
      </c>
      <c r="BF181" s="13">
        <f t="shared" si="167"/>
        <v>8.0934058173791862E-13</v>
      </c>
      <c r="BG181" s="20">
        <f t="shared" si="168"/>
        <v>1.4960899118586383E-12</v>
      </c>
      <c r="BH181" s="59">
        <f t="shared" si="116"/>
        <v>289.26530351148165</v>
      </c>
      <c r="BI181" s="59">
        <f ca="1">AVERAGE(OFFSET($BH$3,0,0,'Données projet'!$E$11+1,1))-AVERAGE(OFFSET($H$3,0,0,'Données projet'!$E$11+1,1))</f>
        <v>360.3011551173708</v>
      </c>
      <c r="BJ181" s="59">
        <f t="shared" si="146"/>
        <v>388.50312617855309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0.18648294478395902</v>
      </c>
      <c r="BR181" s="21">
        <f>EXP(-LN(2)/2)*BR180+(1-EXP(-LN(2)/2))/(LN(2)/2)*BL181*BO181*VLOOKUP('Données projet'!$B$11,Paramètres!$A$1:$I$89,3,0)*0.475*44/12</f>
        <v>6.2556629078441136E-22</v>
      </c>
      <c r="BS181" s="22">
        <f t="shared" si="169"/>
        <v>0.18648294478395902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-4.5474735088646412E-13</v>
      </c>
      <c r="DP181" s="17">
        <f>DO181*VLOOKUP('Données projet'!$B$14,Paramètres!$A$1:$I$89,3,0)*VLOOKUP('Données projet'!$B$14,Paramètres!$A$1:$I$89,5,0)</f>
        <v>-2.7193891583010558E-13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350.88566459278962</v>
      </c>
      <c r="DU181" s="59">
        <f t="shared" si="152"/>
        <v>342.18151800581552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0.21221724034739864</v>
      </c>
      <c r="EC181" s="21">
        <f>EXP(-LN(2)/2)*EC180+(1-EXP(-LN(2)/2))/(LN(2)/2)*DW181*DZ181*VLOOKUP('Données projet'!$B$14,Paramètres!$A$1:$I$89,3,0)*0.475*44/12</f>
        <v>1.256221851898676E-21</v>
      </c>
      <c r="ED181" s="22">
        <f t="shared" si="178"/>
        <v>0.21221724034739864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-1.1527845344971866E-13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465.40148250851843</v>
      </c>
      <c r="T182" s="59">
        <f t="shared" si="142"/>
        <v>290.8428650572356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5.591642475536749E-2</v>
      </c>
      <c r="AB182" s="21">
        <f>EXP(-LN(2)/2)*AB181+(1-EXP(-LN(2)/2))/(LN(2)/2)*V182*Y182*VLOOKUP('Données projet'!$B$9,Paramètres!$A$1:$I$89,3,0)*0.475*44/12</f>
        <v>2.5965433506166685E-22</v>
      </c>
      <c r="AC182" s="22">
        <f t="shared" si="163"/>
        <v>5.591642475536749E-2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-1.223725121235475E-13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489.34829722967373</v>
      </c>
      <c r="AO182" s="59">
        <f t="shared" si="144"/>
        <v>304.94365539329362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5.9357435509543963E-2</v>
      </c>
      <c r="AW182" s="21">
        <f>EXP(-LN(2)/2)*AW181+(1-EXP(-LN(2)/2))/(LN(2)/2)*AQ182*AT182*VLOOKUP('Données projet'!$B$10,Paramètres!$A$1:$I$89,3,0)*0.475*44/12</f>
        <v>2.7563306337315456E-22</v>
      </c>
      <c r="AX182" s="21">
        <f t="shared" si="166"/>
        <v>5.9357435509543963E-2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5.6843418860808015E-14</v>
      </c>
      <c r="BE182" s="13">
        <f>BD182*VLOOKUP('Données projet'!$B$11,Paramètres!$A$1:$I$89,3,0)*VLOOKUP('Données projet'!$B$11,Paramètres!$A$1:$I$89,5,0)</f>
        <v>4.9658410716801891E-14</v>
      </c>
      <c r="BF182" s="13">
        <f t="shared" si="167"/>
        <v>8.0934058173791862E-13</v>
      </c>
      <c r="BG182" s="20">
        <f t="shared" si="168"/>
        <v>1.4960899118586383E-12</v>
      </c>
      <c r="BH182" s="59">
        <f t="shared" si="116"/>
        <v>289.3358747341386</v>
      </c>
      <c r="BI182" s="59">
        <f ca="1">AVERAGE(OFFSET($BH$3,0,0,'Données projet'!$E$11+1,1))-AVERAGE(OFFSET($H$3,0,0,'Données projet'!$E$11+1,1))</f>
        <v>360.3011551173708</v>
      </c>
      <c r="BJ182" s="59">
        <f t="shared" si="146"/>
        <v>388.50312617855309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0.18138355885212981</v>
      </c>
      <c r="BR182" s="21">
        <f>EXP(-LN(2)/2)*BR181+(1-EXP(-LN(2)/2))/(LN(2)/2)*BL182*BO182*VLOOKUP('Données projet'!$B$11,Paramètres!$A$1:$I$89,3,0)*0.475*44/12</f>
        <v>4.4234216629537291E-22</v>
      </c>
      <c r="BS182" s="22">
        <f t="shared" si="169"/>
        <v>0.18138355885212981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-4.5474735088646412E-13</v>
      </c>
      <c r="DP182" s="17">
        <f>DO182*VLOOKUP('Données projet'!$B$14,Paramètres!$A$1:$I$89,3,0)*VLOOKUP('Données projet'!$B$14,Paramètres!$A$1:$I$89,5,0)</f>
        <v>-2.7193891583010558E-13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350.88566459278962</v>
      </c>
      <c r="DU182" s="59">
        <f t="shared" si="152"/>
        <v>342.18151800581552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0.20641414875007938</v>
      </c>
      <c r="EC182" s="21">
        <f>EXP(-LN(2)/2)*EC181+(1-EXP(-LN(2)/2))/(LN(2)/2)*DW182*DZ182*VLOOKUP('Données projet'!$B$14,Paramètres!$A$1:$I$89,3,0)*0.475*44/12</f>
        <v>8.8828299015227657E-22</v>
      </c>
      <c r="ED182" s="22">
        <f t="shared" si="178"/>
        <v>0.20641414875007938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-1.1527845344971866E-13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465.40148250851843</v>
      </c>
      <c r="T183" s="59">
        <f t="shared" si="142"/>
        <v>290.8428650572356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5.4387387179914988E-2</v>
      </c>
      <c r="AB183" s="21">
        <f>EXP(-LN(2)/2)*AB182+(1-EXP(-LN(2)/2))/(LN(2)/2)*V183*Y183*VLOOKUP('Données projet'!$B$9,Paramètres!$A$1:$I$89,3,0)*0.475*44/12</f>
        <v>1.8360334108658856E-22</v>
      </c>
      <c r="AC183" s="22">
        <f t="shared" si="163"/>
        <v>5.4387387179914988E-2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-1.223725121235475E-13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489.34829722967373</v>
      </c>
      <c r="AO183" s="59">
        <f t="shared" si="144"/>
        <v>304.94365539329362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5.7734303314063616E-2</v>
      </c>
      <c r="AW183" s="21">
        <f>EXP(-LN(2)/2)*AW182+(1-EXP(-LN(2)/2))/(LN(2)/2)*AQ183*AT183*VLOOKUP('Données projet'!$B$10,Paramètres!$A$1:$I$89,3,0)*0.475*44/12</f>
        <v>1.9490200823037899E-22</v>
      </c>
      <c r="AX183" s="21">
        <f t="shared" si="166"/>
        <v>5.7734303314063616E-2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5.6843418860808015E-14</v>
      </c>
      <c r="BE183" s="13">
        <f>BD183*VLOOKUP('Données projet'!$B$11,Paramètres!$A$1:$I$89,3,0)*VLOOKUP('Données projet'!$B$11,Paramètres!$A$1:$I$89,5,0)</f>
        <v>4.9658410716801891E-14</v>
      </c>
      <c r="BF183" s="13">
        <f t="shared" si="167"/>
        <v>8.0934058173791862E-13</v>
      </c>
      <c r="BG183" s="20">
        <f t="shared" si="168"/>
        <v>1.4960899118586383E-12</v>
      </c>
      <c r="BH183" s="59">
        <f t="shared" si="116"/>
        <v>289.40522170385611</v>
      </c>
      <c r="BI183" s="59">
        <f ca="1">AVERAGE(OFFSET($BH$3,0,0,'Données projet'!$E$11+1,1))-AVERAGE(OFFSET($H$3,0,0,'Données projet'!$E$11+1,1))</f>
        <v>360.3011551173708</v>
      </c>
      <c r="BJ183" s="59">
        <f t="shared" si="146"/>
        <v>388.50312617855309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0.17642361589677152</v>
      </c>
      <c r="BR183" s="21">
        <f>EXP(-LN(2)/2)*BR182+(1-EXP(-LN(2)/2))/(LN(2)/2)*BL183*BO183*VLOOKUP('Données projet'!$B$11,Paramètres!$A$1:$I$89,3,0)*0.475*44/12</f>
        <v>3.1278314539220568E-22</v>
      </c>
      <c r="BS183" s="22">
        <f t="shared" si="169"/>
        <v>0.17642361589677152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-4.5474735088646412E-13</v>
      </c>
      <c r="DP183" s="17">
        <f>DO183*VLOOKUP('Données projet'!$B$14,Paramètres!$A$1:$I$89,3,0)*VLOOKUP('Données projet'!$B$14,Paramètres!$A$1:$I$89,5,0)</f>
        <v>-2.7193891583010558E-13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350.88566459278962</v>
      </c>
      <c r="DU183" s="59">
        <f t="shared" si="152"/>
        <v>342.18151800581552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0.20076974299766015</v>
      </c>
      <c r="EC183" s="21">
        <f>EXP(-LN(2)/2)*EC182+(1-EXP(-LN(2)/2))/(LN(2)/2)*DW183*DZ183*VLOOKUP('Données projet'!$B$14,Paramètres!$A$1:$I$89,3,0)*0.475*44/12</f>
        <v>6.2811092594933799E-22</v>
      </c>
      <c r="ED183" s="22">
        <f t="shared" si="178"/>
        <v>0.20076974299766015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-1.1527845344971866E-13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465.40148250851843</v>
      </c>
      <c r="T184" s="59">
        <f t="shared" si="142"/>
        <v>290.8428650572356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5.2900161217371823E-2</v>
      </c>
      <c r="AB184" s="21">
        <f>EXP(-LN(2)/2)*AB183+(1-EXP(-LN(2)/2))/(LN(2)/2)*V184*Y184*VLOOKUP('Données projet'!$B$9,Paramètres!$A$1:$I$89,3,0)*0.475*44/12</f>
        <v>1.2982716753083343E-22</v>
      </c>
      <c r="AC184" s="22">
        <f t="shared" si="163"/>
        <v>5.2900161217371823E-2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-1.223725121235475E-13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489.34829722967373</v>
      </c>
      <c r="AO184" s="59">
        <f t="shared" si="144"/>
        <v>304.94365539329362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5.6155555753825491E-2</v>
      </c>
      <c r="AW184" s="21">
        <f>EXP(-LN(2)/2)*AW183+(1-EXP(-LN(2)/2))/(LN(2)/2)*AQ184*AT184*VLOOKUP('Données projet'!$B$10,Paramètres!$A$1:$I$89,3,0)*0.475*44/12</f>
        <v>1.3781653168657728E-22</v>
      </c>
      <c r="AX184" s="21">
        <f t="shared" si="166"/>
        <v>5.6155555753825491E-2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5.6843418860808015E-14</v>
      </c>
      <c r="BE184" s="13">
        <f>BD184*VLOOKUP('Données projet'!$B$11,Paramètres!$A$1:$I$89,3,0)*VLOOKUP('Données projet'!$B$11,Paramètres!$A$1:$I$89,5,0)</f>
        <v>4.9658410716801891E-14</v>
      </c>
      <c r="BF184" s="13">
        <f t="shared" si="167"/>
        <v>8.0934058173791862E-13</v>
      </c>
      <c r="BG184" s="20">
        <f t="shared" si="168"/>
        <v>1.4960899118586383E-12</v>
      </c>
      <c r="BH184" s="59">
        <f t="shared" si="116"/>
        <v>289.47336565868557</v>
      </c>
      <c r="BI184" s="59">
        <f ca="1">AVERAGE(OFFSET($BH$3,0,0,'Données projet'!$E$11+1,1))-AVERAGE(OFFSET($H$3,0,0,'Données projet'!$E$11+1,1))</f>
        <v>360.3011551173708</v>
      </c>
      <c r="BJ184" s="59">
        <f t="shared" si="146"/>
        <v>388.50312617855309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0.17159930284235958</v>
      </c>
      <c r="BR184" s="21">
        <f>EXP(-LN(2)/2)*BR183+(1-EXP(-LN(2)/2))/(LN(2)/2)*BL184*BO184*VLOOKUP('Données projet'!$B$11,Paramètres!$A$1:$I$89,3,0)*0.475*44/12</f>
        <v>2.2117108314768646E-22</v>
      </c>
      <c r="BS184" s="22">
        <f t="shared" si="169"/>
        <v>0.17159930284235958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-4.5474735088646412E-13</v>
      </c>
      <c r="DP184" s="17">
        <f>DO184*VLOOKUP('Données projet'!$B$14,Paramètres!$A$1:$I$89,3,0)*VLOOKUP('Données projet'!$B$14,Paramètres!$A$1:$I$89,5,0)</f>
        <v>-2.7193891583010558E-13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350.88566459278962</v>
      </c>
      <c r="DU184" s="59">
        <f t="shared" si="152"/>
        <v>342.18151800581552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0.19527968381736721</v>
      </c>
      <c r="EC184" s="21">
        <f>EXP(-LN(2)/2)*EC183+(1-EXP(-LN(2)/2))/(LN(2)/2)*DW184*DZ184*VLOOKUP('Données projet'!$B$14,Paramètres!$A$1:$I$89,3,0)*0.475*44/12</f>
        <v>4.4414149507613829E-22</v>
      </c>
      <c r="ED184" s="22">
        <f t="shared" si="178"/>
        <v>0.19527968381736721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-1.1527845344971866E-13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465.40148250851843</v>
      </c>
      <c r="T185" s="59">
        <f t="shared" si="142"/>
        <v>290.8428650572356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5.1453603526984214E-2</v>
      </c>
      <c r="AB185" s="21">
        <f>EXP(-LN(2)/2)*AB184+(1-EXP(-LN(2)/2))/(LN(2)/2)*V185*Y185*VLOOKUP('Données projet'!$B$9,Paramètres!$A$1:$I$89,3,0)*0.475*44/12</f>
        <v>9.1801670543294279E-23</v>
      </c>
      <c r="AC185" s="22">
        <f t="shared" si="163"/>
        <v>5.1453603526984214E-2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-1.223725121235475E-13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489.34829722967373</v>
      </c>
      <c r="AO185" s="59">
        <f t="shared" si="144"/>
        <v>304.94365539329362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5.4619979128644802E-2</v>
      </c>
      <c r="AW185" s="21">
        <f>EXP(-LN(2)/2)*AW184+(1-EXP(-LN(2)/2))/(LN(2)/2)*AQ185*AT185*VLOOKUP('Données projet'!$B$10,Paramètres!$A$1:$I$89,3,0)*0.475*44/12</f>
        <v>9.7451004115189495E-23</v>
      </c>
      <c r="AX185" s="21">
        <f t="shared" si="166"/>
        <v>5.4619979128644802E-2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5.6843418860808015E-14</v>
      </c>
      <c r="BE185" s="13">
        <f>BD185*VLOOKUP('Données projet'!$B$11,Paramètres!$A$1:$I$89,3,0)*VLOOKUP('Données projet'!$B$11,Paramètres!$A$1:$I$89,5,0)</f>
        <v>4.9658410716801891E-14</v>
      </c>
      <c r="BF185" s="13">
        <f t="shared" si="167"/>
        <v>8.0934058173791862E-13</v>
      </c>
      <c r="BG185" s="20">
        <f t="shared" si="168"/>
        <v>1.4960899118586383E-12</v>
      </c>
      <c r="BH185" s="59">
        <f t="shared" si="116"/>
        <v>289.54032746824589</v>
      </c>
      <c r="BI185" s="59">
        <f ca="1">AVERAGE(OFFSET($BH$3,0,0,'Données projet'!$E$11+1,1))-AVERAGE(OFFSET($H$3,0,0,'Données projet'!$E$11+1,1))</f>
        <v>360.3011551173708</v>
      </c>
      <c r="BJ185" s="59">
        <f t="shared" si="146"/>
        <v>388.50312617855309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0.16690691088212012</v>
      </c>
      <c r="BR185" s="21">
        <f>EXP(-LN(2)/2)*BR184+(1-EXP(-LN(2)/2))/(LN(2)/2)*BL185*BO185*VLOOKUP('Données projet'!$B$11,Paramètres!$A$1:$I$89,3,0)*0.475*44/12</f>
        <v>1.5639157269610284E-22</v>
      </c>
      <c r="BS185" s="22">
        <f t="shared" si="169"/>
        <v>0.16690691088212012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-4.5474735088646412E-13</v>
      </c>
      <c r="DP185" s="17">
        <f>DO185*VLOOKUP('Données projet'!$B$14,Paramètres!$A$1:$I$89,3,0)*VLOOKUP('Données projet'!$B$14,Paramètres!$A$1:$I$89,5,0)</f>
        <v>-2.7193891583010558E-13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350.88566459278962</v>
      </c>
      <c r="DU185" s="59">
        <f t="shared" si="152"/>
        <v>342.18151800581552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0.18993975059406906</v>
      </c>
      <c r="EC185" s="21">
        <f>EXP(-LN(2)/2)*EC184+(1-EXP(-LN(2)/2))/(LN(2)/2)*DW185*DZ185*VLOOKUP('Données projet'!$B$14,Paramètres!$A$1:$I$89,3,0)*0.475*44/12</f>
        <v>3.14055462974669E-22</v>
      </c>
      <c r="ED185" s="22">
        <f t="shared" si="178"/>
        <v>0.18993975059406906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-1.1527845344971866E-13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465.40148250851843</v>
      </c>
      <c r="T186" s="59">
        <f t="shared" si="142"/>
        <v>290.8428650572356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5.0046602032711419E-2</v>
      </c>
      <c r="AB186" s="21">
        <f>EXP(-LN(2)/2)*AB185+(1-EXP(-LN(2)/2))/(LN(2)/2)*V186*Y186*VLOOKUP('Données projet'!$B$9,Paramètres!$A$1:$I$89,3,0)*0.475*44/12</f>
        <v>6.4913583765416713E-23</v>
      </c>
      <c r="AC186" s="22">
        <f t="shared" si="163"/>
        <v>5.0046602032711419E-2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-1.223725121235475E-13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489.34829722967373</v>
      </c>
      <c r="AO186" s="59">
        <f t="shared" si="144"/>
        <v>304.94365539329362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5.312639292703214E-2</v>
      </c>
      <c r="AW186" s="21">
        <f>EXP(-LN(2)/2)*AW185+(1-EXP(-LN(2)/2))/(LN(2)/2)*AQ186*AT186*VLOOKUP('Données projet'!$B$10,Paramètres!$A$1:$I$89,3,0)*0.475*44/12</f>
        <v>6.890826584328864E-23</v>
      </c>
      <c r="AX186" s="21">
        <f t="shared" si="166"/>
        <v>5.312639292703214E-2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5.6843418860808015E-14</v>
      </c>
      <c r="BE186" s="13">
        <f>BD186*VLOOKUP('Données projet'!$B$11,Paramètres!$A$1:$I$89,3,0)*VLOOKUP('Données projet'!$B$11,Paramètres!$A$1:$I$89,5,0)</f>
        <v>4.9658410716801891E-14</v>
      </c>
      <c r="BF186" s="13">
        <f t="shared" si="167"/>
        <v>8.0934058173791862E-13</v>
      </c>
      <c r="BG186" s="20">
        <f t="shared" si="168"/>
        <v>1.4960899118586383E-12</v>
      </c>
      <c r="BH186" s="59">
        <f t="shared" si="116"/>
        <v>289.60612764011444</v>
      </c>
      <c r="BI186" s="59">
        <f ca="1">AVERAGE(OFFSET($BH$3,0,0,'Données projet'!$E$11+1,1))-AVERAGE(OFFSET($H$3,0,0,'Données projet'!$E$11+1,1))</f>
        <v>360.3011551173708</v>
      </c>
      <c r="BJ186" s="59">
        <f t="shared" si="146"/>
        <v>388.50312617855309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0.16234283262679558</v>
      </c>
      <c r="BR186" s="21">
        <f>EXP(-LN(2)/2)*BR185+(1-EXP(-LN(2)/2))/(LN(2)/2)*BL186*BO186*VLOOKUP('Données projet'!$B$11,Paramètres!$A$1:$I$89,3,0)*0.475*44/12</f>
        <v>1.1058554157384323E-22</v>
      </c>
      <c r="BS186" s="22">
        <f t="shared" si="169"/>
        <v>0.16234283262679558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-4.5474735088646412E-13</v>
      </c>
      <c r="DP186" s="17">
        <f>DO186*VLOOKUP('Données projet'!$B$14,Paramètres!$A$1:$I$89,3,0)*VLOOKUP('Données projet'!$B$14,Paramètres!$A$1:$I$89,5,0)</f>
        <v>-2.7193891583010558E-13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350.88566459278962</v>
      </c>
      <c r="DU186" s="59">
        <f t="shared" si="152"/>
        <v>342.18151800581552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0.18474583812557688</v>
      </c>
      <c r="EC186" s="21">
        <f>EXP(-LN(2)/2)*EC185+(1-EXP(-LN(2)/2))/(LN(2)/2)*DW186*DZ186*VLOOKUP('Données projet'!$B$14,Paramètres!$A$1:$I$89,3,0)*0.475*44/12</f>
        <v>2.2207074753806914E-22</v>
      </c>
      <c r="ED186" s="22">
        <f t="shared" si="178"/>
        <v>0.18474583812557688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-1.1527845344971866E-13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465.40148250851843</v>
      </c>
      <c r="T187" s="59">
        <f t="shared" si="142"/>
        <v>290.8428650572356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4.8678075068290506E-2</v>
      </c>
      <c r="AB187" s="21">
        <f>EXP(-LN(2)/2)*AB186+(1-EXP(-LN(2)/2))/(LN(2)/2)*V187*Y187*VLOOKUP('Données projet'!$B$9,Paramètres!$A$1:$I$89,3,0)*0.475*44/12</f>
        <v>4.5900835271647139E-23</v>
      </c>
      <c r="AC187" s="22">
        <f t="shared" si="163"/>
        <v>4.8678075068290506E-2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-1.223725121235475E-13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489.34829722967373</v>
      </c>
      <c r="AO187" s="59">
        <f t="shared" si="144"/>
        <v>304.94365539329362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5.1673648918646863E-2</v>
      </c>
      <c r="AW187" s="21">
        <f>EXP(-LN(2)/2)*AW186+(1-EXP(-LN(2)/2))/(LN(2)/2)*AQ187*AT187*VLOOKUP('Données projet'!$B$10,Paramètres!$A$1:$I$89,3,0)*0.475*44/12</f>
        <v>4.8725502057594748E-23</v>
      </c>
      <c r="AX187" s="21">
        <f t="shared" si="166"/>
        <v>5.1673648918646863E-2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5.6843418860808015E-14</v>
      </c>
      <c r="BE187" s="13">
        <f>BD187*VLOOKUP('Données projet'!$B$11,Paramètres!$A$1:$I$89,3,0)*VLOOKUP('Données projet'!$B$11,Paramètres!$A$1:$I$89,5,0)</f>
        <v>4.9658410716801891E-14</v>
      </c>
      <c r="BF187" s="13">
        <f t="shared" si="167"/>
        <v>8.0934058173791862E-13</v>
      </c>
      <c r="BG187" s="20">
        <f t="shared" si="168"/>
        <v>1.4960899118586383E-12</v>
      </c>
      <c r="BH187" s="59">
        <f t="shared" si="116"/>
        <v>289.67078632610821</v>
      </c>
      <c r="BI187" s="59">
        <f ca="1">AVERAGE(OFFSET($BH$3,0,0,'Données projet'!$E$11+1,1))-AVERAGE(OFFSET($H$3,0,0,'Données projet'!$E$11+1,1))</f>
        <v>360.3011551173708</v>
      </c>
      <c r="BJ187" s="59">
        <f t="shared" si="146"/>
        <v>388.50312617855309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0.15790355933137731</v>
      </c>
      <c r="BR187" s="21">
        <f>EXP(-LN(2)/2)*BR186+(1-EXP(-LN(2)/2))/(LN(2)/2)*BL187*BO187*VLOOKUP('Données projet'!$B$11,Paramètres!$A$1:$I$89,3,0)*0.475*44/12</f>
        <v>7.819578634805142E-23</v>
      </c>
      <c r="BS187" s="22">
        <f t="shared" si="169"/>
        <v>0.15790355933137731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-4.5474735088646412E-13</v>
      </c>
      <c r="DP187" s="17">
        <f>DO187*VLOOKUP('Données projet'!$B$14,Paramètres!$A$1:$I$89,3,0)*VLOOKUP('Données projet'!$B$14,Paramètres!$A$1:$I$89,5,0)</f>
        <v>-2.7193891583010558E-13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350.88566459278962</v>
      </c>
      <c r="DU187" s="59">
        <f t="shared" si="152"/>
        <v>342.18151800581552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0.17969395346667158</v>
      </c>
      <c r="EC187" s="21">
        <f>EXP(-LN(2)/2)*EC186+(1-EXP(-LN(2)/2))/(LN(2)/2)*DW187*DZ187*VLOOKUP('Données projet'!$B$14,Paramètres!$A$1:$I$89,3,0)*0.475*44/12</f>
        <v>1.570277314873345E-22</v>
      </c>
      <c r="ED187" s="22">
        <f t="shared" si="178"/>
        <v>0.17969395346667158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-1.1527845344971866E-13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465.40148250851843</v>
      </c>
      <c r="T188" s="59">
        <f t="shared" si="142"/>
        <v>290.8428650572356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4.7346970545679393E-2</v>
      </c>
      <c r="AB188" s="21">
        <f>EXP(-LN(2)/2)*AB187+(1-EXP(-LN(2)/2))/(LN(2)/2)*V188*Y188*VLOOKUP('Données projet'!$B$9,Paramètres!$A$1:$I$89,3,0)*0.475*44/12</f>
        <v>3.2456791882708356E-23</v>
      </c>
      <c r="AC188" s="22">
        <f t="shared" si="163"/>
        <v>4.7346970545679393E-2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-1.223725121235475E-13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489.34829722967373</v>
      </c>
      <c r="AO188" s="59">
        <f t="shared" si="144"/>
        <v>304.94365539329362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5.0260630271567366E-2</v>
      </c>
      <c r="AW188" s="21">
        <f>EXP(-LN(2)/2)*AW187+(1-EXP(-LN(2)/2))/(LN(2)/2)*AQ188*AT188*VLOOKUP('Données projet'!$B$10,Paramètres!$A$1:$I$89,3,0)*0.475*44/12</f>
        <v>3.445413292164432E-23</v>
      </c>
      <c r="AX188" s="21">
        <f t="shared" si="166"/>
        <v>5.0260630271567366E-2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5.6843418860808015E-14</v>
      </c>
      <c r="BE188" s="13">
        <f>BD188*VLOOKUP('Données projet'!$B$11,Paramètres!$A$1:$I$89,3,0)*VLOOKUP('Données projet'!$B$11,Paramètres!$A$1:$I$89,5,0)</f>
        <v>4.9658410716801891E-14</v>
      </c>
      <c r="BF188" s="13">
        <f t="shared" si="167"/>
        <v>8.0934058173791862E-13</v>
      </c>
      <c r="BG188" s="20">
        <f t="shared" si="168"/>
        <v>1.4960899118586383E-12</v>
      </c>
      <c r="BH188" s="59">
        <f t="shared" si="116"/>
        <v>289.73432332845522</v>
      </c>
      <c r="BI188" s="59">
        <f ca="1">AVERAGE(OFFSET($BH$3,0,0,'Données projet'!$E$11+1,1))-AVERAGE(OFFSET($H$3,0,0,'Données projet'!$E$11+1,1))</f>
        <v>360.3011551173708</v>
      </c>
      <c r="BJ188" s="59">
        <f t="shared" si="146"/>
        <v>388.50312617855309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0.15358567819767352</v>
      </c>
      <c r="BR188" s="21">
        <f>EXP(-LN(2)/2)*BR187+(1-EXP(-LN(2)/2))/(LN(2)/2)*BL188*BO188*VLOOKUP('Données projet'!$B$11,Paramètres!$A$1:$I$89,3,0)*0.475*44/12</f>
        <v>5.5292770786921614E-23</v>
      </c>
      <c r="BS188" s="22">
        <f t="shared" si="169"/>
        <v>0.15358567819767352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-4.5474735088646412E-13</v>
      </c>
      <c r="DP188" s="17">
        <f>DO188*VLOOKUP('Données projet'!$B$14,Paramètres!$A$1:$I$89,3,0)*VLOOKUP('Données projet'!$B$14,Paramètres!$A$1:$I$89,5,0)</f>
        <v>-2.7193891583010558E-13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350.88566459278962</v>
      </c>
      <c r="DU188" s="59">
        <f t="shared" si="152"/>
        <v>342.18151800581552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0.17478021285943113</v>
      </c>
      <c r="EC188" s="21">
        <f>EXP(-LN(2)/2)*EC187+(1-EXP(-LN(2)/2))/(LN(2)/2)*DW188*DZ188*VLOOKUP('Données projet'!$B$14,Paramètres!$A$1:$I$89,3,0)*0.475*44/12</f>
        <v>1.1103537376903457E-22</v>
      </c>
      <c r="ED188" s="22">
        <f t="shared" si="178"/>
        <v>0.17478021285943113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-1.1527845344971866E-13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465.40148250851843</v>
      </c>
      <c r="T189" s="59">
        <f t="shared" si="142"/>
        <v>290.8428650572356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4.6052265146238822E-2</v>
      </c>
      <c r="AB189" s="21">
        <f>EXP(-LN(2)/2)*AB188+(1-EXP(-LN(2)/2))/(LN(2)/2)*V189*Y189*VLOOKUP('Données projet'!$B$9,Paramètres!$A$1:$I$89,3,0)*0.475*44/12</f>
        <v>2.295041763582357E-23</v>
      </c>
      <c r="AC189" s="22">
        <f t="shared" si="163"/>
        <v>4.6052265146238822E-2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-1.223725121235475E-13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489.34829722967373</v>
      </c>
      <c r="AO189" s="59">
        <f t="shared" si="144"/>
        <v>304.94365539329362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4.888625069369968E-2</v>
      </c>
      <c r="AW189" s="21">
        <f>EXP(-LN(2)/2)*AW188+(1-EXP(-LN(2)/2))/(LN(2)/2)*AQ189*AT189*VLOOKUP('Données projet'!$B$10,Paramètres!$A$1:$I$89,3,0)*0.475*44/12</f>
        <v>2.4362751028797374E-23</v>
      </c>
      <c r="AX189" s="21">
        <f t="shared" si="166"/>
        <v>4.888625069369968E-2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5.6843418860808015E-14</v>
      </c>
      <c r="BE189" s="13">
        <f>BD189*VLOOKUP('Données projet'!$B$11,Paramètres!$A$1:$I$89,3,0)*VLOOKUP('Données projet'!$B$11,Paramètres!$A$1:$I$89,5,0)</f>
        <v>4.9658410716801891E-14</v>
      </c>
      <c r="BF189" s="13">
        <f t="shared" si="167"/>
        <v>8.0934058173791862E-13</v>
      </c>
      <c r="BG189" s="20">
        <f t="shared" si="168"/>
        <v>1.4960899118586383E-12</v>
      </c>
      <c r="BH189" s="59">
        <f t="shared" si="116"/>
        <v>289.79675810585888</v>
      </c>
      <c r="BI189" s="59">
        <f ca="1">AVERAGE(OFFSET($BH$3,0,0,'Données projet'!$E$11+1,1))-AVERAGE(OFFSET($H$3,0,0,'Données projet'!$E$11+1,1))</f>
        <v>360.3011551173708</v>
      </c>
      <c r="BJ189" s="59">
        <f t="shared" si="146"/>
        <v>388.50312617855309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0.14938586975063833</v>
      </c>
      <c r="BR189" s="21">
        <f>EXP(-LN(2)/2)*BR188+(1-EXP(-LN(2)/2))/(LN(2)/2)*BL189*BO189*VLOOKUP('Données projet'!$B$11,Paramètres!$A$1:$I$89,3,0)*0.475*44/12</f>
        <v>3.909789317402571E-23</v>
      </c>
      <c r="BS189" s="22">
        <f t="shared" si="169"/>
        <v>0.14938586975063833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-4.5474735088646412E-13</v>
      </c>
      <c r="DP189" s="17">
        <f>DO189*VLOOKUP('Données projet'!$B$14,Paramètres!$A$1:$I$89,3,0)*VLOOKUP('Données projet'!$B$14,Paramètres!$A$1:$I$89,5,0)</f>
        <v>-2.7193891583010558E-13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350.88566459278962</v>
      </c>
      <c r="DU189" s="59">
        <f t="shared" si="152"/>
        <v>342.18151800581552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0.17000083874749805</v>
      </c>
      <c r="EC189" s="21">
        <f>EXP(-LN(2)/2)*EC188+(1-EXP(-LN(2)/2))/(LN(2)/2)*DW189*DZ189*VLOOKUP('Données projet'!$B$14,Paramètres!$A$1:$I$89,3,0)*0.475*44/12</f>
        <v>7.8513865743667249E-23</v>
      </c>
      <c r="ED189" s="22">
        <f t="shared" si="178"/>
        <v>0.17000083874749805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-1.1527845344971866E-13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465.40148250851843</v>
      </c>
      <c r="T190" s="59">
        <f t="shared" si="142"/>
        <v>290.8428650572356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4.4792963534031553E-2</v>
      </c>
      <c r="AB190" s="21">
        <f>EXP(-LN(2)/2)*AB189+(1-EXP(-LN(2)/2))/(LN(2)/2)*V190*Y190*VLOOKUP('Données projet'!$B$9,Paramètres!$A$1:$I$89,3,0)*0.475*44/12</f>
        <v>1.6228395941354178E-23</v>
      </c>
      <c r="AC190" s="22">
        <f t="shared" si="163"/>
        <v>4.4792963534031553E-2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-1.223725121235475E-13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489.34829722967373</v>
      </c>
      <c r="AO190" s="59">
        <f t="shared" si="144"/>
        <v>304.94365539329362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4.7549453597664271E-2</v>
      </c>
      <c r="AW190" s="21">
        <f>EXP(-LN(2)/2)*AW189+(1-EXP(-LN(2)/2))/(LN(2)/2)*AQ190*AT190*VLOOKUP('Données projet'!$B$10,Paramètres!$A$1:$I$89,3,0)*0.475*44/12</f>
        <v>1.722706646082216E-23</v>
      </c>
      <c r="AX190" s="21">
        <f t="shared" si="166"/>
        <v>4.7549453597664271E-2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5.6843418860808015E-14</v>
      </c>
      <c r="BE190" s="13">
        <f>BD190*VLOOKUP('Données projet'!$B$11,Paramètres!$A$1:$I$89,3,0)*VLOOKUP('Données projet'!$B$11,Paramètres!$A$1:$I$89,5,0)</f>
        <v>4.9658410716801891E-14</v>
      </c>
      <c r="BF190" s="13">
        <f t="shared" si="167"/>
        <v>8.0934058173791862E-13</v>
      </c>
      <c r="BG190" s="20">
        <f t="shared" si="168"/>
        <v>1.4960899118586383E-12</v>
      </c>
      <c r="BH190" s="59">
        <f t="shared" si="116"/>
        <v>289.85810977945789</v>
      </c>
      <c r="BI190" s="59">
        <f ca="1">AVERAGE(OFFSET($BH$3,0,0,'Données projet'!$E$11+1,1))-AVERAGE(OFFSET($H$3,0,0,'Données projet'!$E$11+1,1))</f>
        <v>360.3011551173708</v>
      </c>
      <c r="BJ190" s="59">
        <f t="shared" si="146"/>
        <v>388.50312617855309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0.14530090528644565</v>
      </c>
      <c r="BR190" s="21">
        <f>EXP(-LN(2)/2)*BR189+(1-EXP(-LN(2)/2))/(LN(2)/2)*BL190*BO190*VLOOKUP('Données projet'!$B$11,Paramètres!$A$1:$I$89,3,0)*0.475*44/12</f>
        <v>2.7646385393460807E-23</v>
      </c>
      <c r="BS190" s="22">
        <f t="shared" si="169"/>
        <v>0.14530090528644565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-4.5474735088646412E-13</v>
      </c>
      <c r="DP190" s="17">
        <f>DO190*VLOOKUP('Données projet'!$B$14,Paramètres!$A$1:$I$89,3,0)*VLOOKUP('Données projet'!$B$14,Paramètres!$A$1:$I$89,5,0)</f>
        <v>-2.7193891583010558E-13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350.88566459278962</v>
      </c>
      <c r="DU190" s="59">
        <f t="shared" si="152"/>
        <v>342.18151800581552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0.16535215687199215</v>
      </c>
      <c r="EC190" s="21">
        <f>EXP(-LN(2)/2)*EC189+(1-EXP(-LN(2)/2))/(LN(2)/2)*DW190*DZ190*VLOOKUP('Données projet'!$B$14,Paramètres!$A$1:$I$89,3,0)*0.475*44/12</f>
        <v>5.5517686884517286E-23</v>
      </c>
      <c r="ED190" s="22">
        <f t="shared" si="178"/>
        <v>0.16535215687199215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-1.1527845344971866E-13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465.40148250851843</v>
      </c>
      <c r="T191" s="59">
        <f t="shared" si="142"/>
        <v>290.8428650572356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4.3568097590633882E-2</v>
      </c>
      <c r="AB191" s="21">
        <f>EXP(-LN(2)/2)*AB190+(1-EXP(-LN(2)/2))/(LN(2)/2)*V191*Y191*VLOOKUP('Données projet'!$B$9,Paramètres!$A$1:$I$89,3,0)*0.475*44/12</f>
        <v>1.1475208817911785E-23</v>
      </c>
      <c r="AC191" s="22">
        <f t="shared" si="163"/>
        <v>4.3568097590633882E-2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-1.223725121235475E-13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489.34829722967373</v>
      </c>
      <c r="AO191" s="59">
        <f t="shared" si="144"/>
        <v>304.94365539329362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4.6249211288519054E-2</v>
      </c>
      <c r="AW191" s="21">
        <f>EXP(-LN(2)/2)*AW190+(1-EXP(-LN(2)/2))/(LN(2)/2)*AQ191*AT191*VLOOKUP('Données projet'!$B$10,Paramètres!$A$1:$I$89,3,0)*0.475*44/12</f>
        <v>1.2181375514398687E-23</v>
      </c>
      <c r="AX191" s="21">
        <f t="shared" si="166"/>
        <v>4.6249211288519054E-2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5.6843418860808015E-14</v>
      </c>
      <c r="BE191" s="13">
        <f>BD191*VLOOKUP('Données projet'!$B$11,Paramètres!$A$1:$I$89,3,0)*VLOOKUP('Données projet'!$B$11,Paramètres!$A$1:$I$89,5,0)</f>
        <v>4.9658410716801891E-14</v>
      </c>
      <c r="BF191" s="13">
        <f t="shared" si="167"/>
        <v>8.0934058173791862E-13</v>
      </c>
      <c r="BG191" s="20">
        <f t="shared" si="168"/>
        <v>1.4960899118586383E-12</v>
      </c>
      <c r="BH191" s="59">
        <f t="shared" si="116"/>
        <v>289.91839713868171</v>
      </c>
      <c r="BI191" s="59">
        <f ca="1">AVERAGE(OFFSET($BH$3,0,0,'Données projet'!$E$11+1,1))-AVERAGE(OFFSET($H$3,0,0,'Données projet'!$E$11+1,1))</f>
        <v>360.3011551173708</v>
      </c>
      <c r="BJ191" s="59">
        <f t="shared" si="146"/>
        <v>388.50312617855309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0.14132764439034529</v>
      </c>
      <c r="BR191" s="21">
        <f>EXP(-LN(2)/2)*BR190+(1-EXP(-LN(2)/2))/(LN(2)/2)*BL191*BO191*VLOOKUP('Données projet'!$B$11,Paramètres!$A$1:$I$89,3,0)*0.475*44/12</f>
        <v>1.9548946587012855E-23</v>
      </c>
      <c r="BS191" s="22">
        <f t="shared" si="169"/>
        <v>0.14132764439034529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-4.5474735088646412E-13</v>
      </c>
      <c r="DP191" s="17">
        <f>DO191*VLOOKUP('Données projet'!$B$14,Paramètres!$A$1:$I$89,3,0)*VLOOKUP('Données projet'!$B$14,Paramètres!$A$1:$I$89,5,0)</f>
        <v>-2.7193891583010558E-13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350.88566459278962</v>
      </c>
      <c r="DU191" s="59">
        <f t="shared" si="152"/>
        <v>342.18151800581552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0.16083059344683551</v>
      </c>
      <c r="EC191" s="21">
        <f>EXP(-LN(2)/2)*EC190+(1-EXP(-LN(2)/2))/(LN(2)/2)*DW191*DZ191*VLOOKUP('Données projet'!$B$14,Paramètres!$A$1:$I$89,3,0)*0.475*44/12</f>
        <v>3.9256932871833625E-23</v>
      </c>
      <c r="ED191" s="22">
        <f t="shared" si="178"/>
        <v>0.16083059344683551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-1.1527845344971866E-13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465.40148250851843</v>
      </c>
      <c r="T192" s="59">
        <f t="shared" si="142"/>
        <v>290.8428650572356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4.2376725670871321E-2</v>
      </c>
      <c r="AB192" s="21">
        <f>EXP(-LN(2)/2)*AB191+(1-EXP(-LN(2)/2))/(LN(2)/2)*V192*Y192*VLOOKUP('Données projet'!$B$9,Paramètres!$A$1:$I$89,3,0)*0.475*44/12</f>
        <v>8.1141979706770891E-24</v>
      </c>
      <c r="AC192" s="22">
        <f t="shared" si="163"/>
        <v>4.2376725670871321E-2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-1.223725121235475E-13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489.34829722967373</v>
      </c>
      <c r="AO192" s="59">
        <f t="shared" si="144"/>
        <v>304.94365539329362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4.4984524173694182E-2</v>
      </c>
      <c r="AW192" s="21">
        <f>EXP(-LN(2)/2)*AW191+(1-EXP(-LN(2)/2))/(LN(2)/2)*AQ192*AT192*VLOOKUP('Données projet'!$B$10,Paramètres!$A$1:$I$89,3,0)*0.475*44/12</f>
        <v>8.61353323041108E-24</v>
      </c>
      <c r="AX192" s="21">
        <f t="shared" si="166"/>
        <v>4.4984524173694182E-2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5.6843418860808015E-14</v>
      </c>
      <c r="BE192" s="13">
        <f>BD192*VLOOKUP('Données projet'!$B$11,Paramètres!$A$1:$I$89,3,0)*VLOOKUP('Données projet'!$B$11,Paramètres!$A$1:$I$89,5,0)</f>
        <v>4.9658410716801891E-14</v>
      </c>
      <c r="BF192" s="13">
        <f t="shared" si="167"/>
        <v>8.0934058173791862E-13</v>
      </c>
      <c r="BG192" s="20">
        <f t="shared" si="168"/>
        <v>1.4960899118586383E-12</v>
      </c>
      <c r="BH192" s="59">
        <f t="shared" si="116"/>
        <v>289.97763864700534</v>
      </c>
      <c r="BI192" s="59">
        <f ca="1">AVERAGE(OFFSET($BH$3,0,0,'Données projet'!$E$11+1,1))-AVERAGE(OFFSET($H$3,0,0,'Données projet'!$E$11+1,1))</f>
        <v>360.3011551173708</v>
      </c>
      <c r="BJ192" s="59">
        <f t="shared" si="146"/>
        <v>388.50312617855309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0.13746303252239347</v>
      </c>
      <c r="BR192" s="21">
        <f>EXP(-LN(2)/2)*BR191+(1-EXP(-LN(2)/2))/(LN(2)/2)*BL192*BO192*VLOOKUP('Données projet'!$B$11,Paramètres!$A$1:$I$89,3,0)*0.475*44/12</f>
        <v>1.3823192696730403E-23</v>
      </c>
      <c r="BS192" s="22">
        <f t="shared" si="169"/>
        <v>0.13746303252239347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-4.5474735088646412E-13</v>
      </c>
      <c r="DP192" s="17">
        <f>DO192*VLOOKUP('Données projet'!$B$14,Paramètres!$A$1:$I$89,3,0)*VLOOKUP('Données projet'!$B$14,Paramètres!$A$1:$I$89,5,0)</f>
        <v>-2.7193891583010558E-13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350.88566459278962</v>
      </c>
      <c r="DU192" s="59">
        <f t="shared" si="152"/>
        <v>342.18151800581552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0.15643267241131847</v>
      </c>
      <c r="EC192" s="21">
        <f>EXP(-LN(2)/2)*EC191+(1-EXP(-LN(2)/2))/(LN(2)/2)*DW192*DZ192*VLOOKUP('Données projet'!$B$14,Paramètres!$A$1:$I$89,3,0)*0.475*44/12</f>
        <v>2.7758843442258643E-23</v>
      </c>
      <c r="ED192" s="22">
        <f t="shared" si="178"/>
        <v>0.15643267241131847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-1.1527845344971866E-13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465.40148250851843</v>
      </c>
      <c r="T193" s="59">
        <f t="shared" si="142"/>
        <v>290.8428650572356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4.1217931878906197E-2</v>
      </c>
      <c r="AB193" s="21">
        <f>EXP(-LN(2)/2)*AB192+(1-EXP(-LN(2)/2))/(LN(2)/2)*V193*Y193*VLOOKUP('Données projet'!$B$9,Paramètres!$A$1:$I$89,3,0)*0.475*44/12</f>
        <v>5.7376044089558924E-24</v>
      </c>
      <c r="AC193" s="22">
        <f t="shared" si="163"/>
        <v>4.1217931878906197E-2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-1.223725121235475E-13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489.34829722967373</v>
      </c>
      <c r="AO193" s="59">
        <f t="shared" si="144"/>
        <v>304.94365539329362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4.3754419994531203E-2</v>
      </c>
      <c r="AW193" s="21">
        <f>EXP(-LN(2)/2)*AW192+(1-EXP(-LN(2)/2))/(LN(2)/2)*AQ193*AT193*VLOOKUP('Données projet'!$B$10,Paramètres!$A$1:$I$89,3,0)*0.475*44/12</f>
        <v>6.0906877571993435E-24</v>
      </c>
      <c r="AX193" s="21">
        <f t="shared" si="166"/>
        <v>4.3754419994531203E-2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5.6843418860808015E-14</v>
      </c>
      <c r="BE193" s="13">
        <f>BD193*VLOOKUP('Données projet'!$B$11,Paramètres!$A$1:$I$89,3,0)*VLOOKUP('Données projet'!$B$11,Paramètres!$A$1:$I$89,5,0)</f>
        <v>4.9658410716801891E-14</v>
      </c>
      <c r="BF193" s="13">
        <f t="shared" si="167"/>
        <v>8.0934058173791862E-13</v>
      </c>
      <c r="BG193" s="20">
        <f t="shared" si="168"/>
        <v>1.4960899118586383E-12</v>
      </c>
      <c r="BH193" s="59">
        <f t="shared" si="116"/>
        <v>290.03585244760376</v>
      </c>
      <c r="BI193" s="59">
        <f ca="1">AVERAGE(OFFSET($BH$3,0,0,'Données projet'!$E$11+1,1))-AVERAGE(OFFSET($H$3,0,0,'Données projet'!$E$11+1,1))</f>
        <v>360.3011551173708</v>
      </c>
      <c r="BJ193" s="59">
        <f t="shared" si="146"/>
        <v>388.50312617855309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0.13370409866920191</v>
      </c>
      <c r="BR193" s="21">
        <f>EXP(-LN(2)/2)*BR192+(1-EXP(-LN(2)/2))/(LN(2)/2)*BL193*BO193*VLOOKUP('Données projet'!$B$11,Paramètres!$A$1:$I$89,3,0)*0.475*44/12</f>
        <v>9.7744732935064275E-24</v>
      </c>
      <c r="BS193" s="22">
        <f t="shared" si="169"/>
        <v>0.13370409866920191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-4.5474735088646412E-13</v>
      </c>
      <c r="DP193" s="17">
        <f>DO193*VLOOKUP('Données projet'!$B$14,Paramètres!$A$1:$I$89,3,0)*VLOOKUP('Données projet'!$B$14,Paramètres!$A$1:$I$89,5,0)</f>
        <v>-2.7193891583010558E-13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350.88566459278962</v>
      </c>
      <c r="DU193" s="59">
        <f t="shared" si="152"/>
        <v>342.18151800581552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0.15215501275779425</v>
      </c>
      <c r="EC193" s="21">
        <f>EXP(-LN(2)/2)*EC192+(1-EXP(-LN(2)/2))/(LN(2)/2)*DW193*DZ193*VLOOKUP('Données projet'!$B$14,Paramètres!$A$1:$I$89,3,0)*0.475*44/12</f>
        <v>1.9628466435916812E-23</v>
      </c>
      <c r="ED193" s="22">
        <f t="shared" si="178"/>
        <v>0.15215501275779425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-1.1527845344971866E-13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465.40148250851843</v>
      </c>
      <c r="T194" s="59">
        <f t="shared" si="142"/>
        <v>290.8428650572356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4.0090825364120675E-2</v>
      </c>
      <c r="AB194" s="21">
        <f>EXP(-LN(2)/2)*AB193+(1-EXP(-LN(2)/2))/(LN(2)/2)*V194*Y194*VLOOKUP('Données projet'!$B$9,Paramètres!$A$1:$I$89,3,0)*0.475*44/12</f>
        <v>4.0570989853385445E-24</v>
      </c>
      <c r="AC194" s="22">
        <f t="shared" si="163"/>
        <v>4.0090825364120675E-2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-1.223725121235475E-13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489.34829722967373</v>
      </c>
      <c r="AO194" s="59">
        <f t="shared" si="144"/>
        <v>304.94365539329362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4.2557953078835802E-2</v>
      </c>
      <c r="AW194" s="21">
        <f>EXP(-LN(2)/2)*AW193+(1-EXP(-LN(2)/2))/(LN(2)/2)*AQ194*AT194*VLOOKUP('Données projet'!$B$10,Paramètres!$A$1:$I$89,3,0)*0.475*44/12</f>
        <v>4.30676661520554E-24</v>
      </c>
      <c r="AX194" s="21">
        <f t="shared" si="166"/>
        <v>4.2557953078835802E-2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5.6843418860808015E-14</v>
      </c>
      <c r="BE194" s="13">
        <f>BD194*VLOOKUP('Données projet'!$B$11,Paramètres!$A$1:$I$89,3,0)*VLOOKUP('Données projet'!$B$11,Paramètres!$A$1:$I$89,5,0)</f>
        <v>4.9658410716801891E-14</v>
      </c>
      <c r="BF194" s="13">
        <f t="shared" si="167"/>
        <v>8.0934058173791862E-13</v>
      </c>
      <c r="BG194" s="20">
        <f t="shared" si="168"/>
        <v>1.4960899118586383E-12</v>
      </c>
      <c r="BH194" s="59">
        <f t="shared" si="116"/>
        <v>290.09305636890832</v>
      </c>
      <c r="BI194" s="59">
        <f ca="1">AVERAGE(OFFSET($BH$3,0,0,'Données projet'!$E$11+1,1))-AVERAGE(OFFSET($H$3,0,0,'Données projet'!$E$11+1,1))</f>
        <v>360.3011551173708</v>
      </c>
      <c r="BJ194" s="59">
        <f t="shared" si="146"/>
        <v>388.50312617855309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0.13004795305989961</v>
      </c>
      <c r="BR194" s="21">
        <f>EXP(-LN(2)/2)*BR193+(1-EXP(-LN(2)/2))/(LN(2)/2)*BL194*BO194*VLOOKUP('Données projet'!$B$11,Paramètres!$A$1:$I$89,3,0)*0.475*44/12</f>
        <v>6.9115963483652017E-24</v>
      </c>
      <c r="BS194" s="22">
        <f t="shared" si="169"/>
        <v>0.13004795305989961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-4.5474735088646412E-13</v>
      </c>
      <c r="DP194" s="17">
        <f>DO194*VLOOKUP('Données projet'!$B$14,Paramètres!$A$1:$I$89,3,0)*VLOOKUP('Données projet'!$B$14,Paramètres!$A$1:$I$89,5,0)</f>
        <v>-2.7193891583010558E-13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350.88566459278962</v>
      </c>
      <c r="DU194" s="59">
        <f t="shared" si="152"/>
        <v>342.18151800581552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0.14799432593244799</v>
      </c>
      <c r="EC194" s="21">
        <f>EXP(-LN(2)/2)*EC193+(1-EXP(-LN(2)/2))/(LN(2)/2)*DW194*DZ194*VLOOKUP('Données projet'!$B$14,Paramètres!$A$1:$I$89,3,0)*0.475*44/12</f>
        <v>1.3879421721129321E-23</v>
      </c>
      <c r="ED194" s="22">
        <f t="shared" si="178"/>
        <v>0.14799432593244799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-1.1527845344971866E-13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465.40148250851843</v>
      </c>
      <c r="T195" s="59">
        <f t="shared" si="142"/>
        <v>290.8428650572356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3.8994539636253919E-2</v>
      </c>
      <c r="AB195" s="21">
        <f>EXP(-LN(2)/2)*AB194+(1-EXP(-LN(2)/2))/(LN(2)/2)*V195*Y195*VLOOKUP('Données projet'!$B$9,Paramètres!$A$1:$I$89,3,0)*0.475*44/12</f>
        <v>2.8688022044779462E-24</v>
      </c>
      <c r="AC195" s="22">
        <f t="shared" si="163"/>
        <v>3.8994539636253919E-2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-1.223725121235475E-13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489.34829722967373</v>
      </c>
      <c r="AO195" s="59">
        <f t="shared" si="144"/>
        <v>304.94365539329362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4.139420361386955E-2</v>
      </c>
      <c r="AW195" s="21">
        <f>EXP(-LN(2)/2)*AW194+(1-EXP(-LN(2)/2))/(LN(2)/2)*AQ195*AT195*VLOOKUP('Données projet'!$B$10,Paramètres!$A$1:$I$89,3,0)*0.475*44/12</f>
        <v>3.0453438785996717E-24</v>
      </c>
      <c r="AX195" s="21">
        <f t="shared" si="166"/>
        <v>4.139420361386955E-2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5.6843418860808015E-14</v>
      </c>
      <c r="BE195" s="13">
        <f>BD195*VLOOKUP('Données projet'!$B$11,Paramètres!$A$1:$I$89,3,0)*VLOOKUP('Données projet'!$B$11,Paramètres!$A$1:$I$89,5,0)</f>
        <v>4.9658410716801891E-14</v>
      </c>
      <c r="BF195" s="13">
        <f t="shared" si="167"/>
        <v>8.0934058173791862E-13</v>
      </c>
      <c r="BG195" s="20">
        <f t="shared" si="168"/>
        <v>1.4960899118586383E-12</v>
      </c>
      <c r="BH195" s="59">
        <f t="shared" si="116"/>
        <v>290.14926793006714</v>
      </c>
      <c r="BI195" s="59">
        <f ca="1">AVERAGE(OFFSET($BH$3,0,0,'Données projet'!$E$11+1,1))-AVERAGE(OFFSET($H$3,0,0,'Données projet'!$E$11+1,1))</f>
        <v>360.3011551173708</v>
      </c>
      <c r="BJ195" s="59">
        <f t="shared" si="146"/>
        <v>388.50312617855309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0.12649178494455202</v>
      </c>
      <c r="BR195" s="21">
        <f>EXP(-LN(2)/2)*BR194+(1-EXP(-LN(2)/2))/(LN(2)/2)*BL195*BO195*VLOOKUP('Données projet'!$B$11,Paramètres!$A$1:$I$89,3,0)*0.475*44/12</f>
        <v>4.8872366467532137E-24</v>
      </c>
      <c r="BS195" s="22">
        <f t="shared" si="169"/>
        <v>0.12649178494455202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-4.5474735088646412E-13</v>
      </c>
      <c r="DP195" s="17">
        <f>DO195*VLOOKUP('Données projet'!$B$14,Paramètres!$A$1:$I$89,3,0)*VLOOKUP('Données projet'!$B$14,Paramètres!$A$1:$I$89,5,0)</f>
        <v>-2.7193891583010558E-13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350.88566459278962</v>
      </c>
      <c r="DU195" s="59">
        <f t="shared" si="152"/>
        <v>342.18151800581552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0.14394741330714184</v>
      </c>
      <c r="EC195" s="21">
        <f>EXP(-LN(2)/2)*EC194+(1-EXP(-LN(2)/2))/(LN(2)/2)*DW195*DZ195*VLOOKUP('Données projet'!$B$14,Paramètres!$A$1:$I$89,3,0)*0.475*44/12</f>
        <v>9.8142332179584062E-24</v>
      </c>
      <c r="ED195" s="22">
        <f t="shared" si="178"/>
        <v>0.14394741330714184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-1.1527845344971866E-13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465.40148250851843</v>
      </c>
      <c r="T196" s="59">
        <f t="shared" si="142"/>
        <v>290.8428650572356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3.7928231899266841E-2</v>
      </c>
      <c r="AB196" s="21">
        <f>EXP(-LN(2)/2)*AB195+(1-EXP(-LN(2)/2))/(LN(2)/2)*V196*Y196*VLOOKUP('Données projet'!$B$9,Paramètres!$A$1:$I$89,3,0)*0.475*44/12</f>
        <v>2.0285494926692723E-24</v>
      </c>
      <c r="AC196" s="22">
        <f t="shared" si="163"/>
        <v>3.7928231899266841E-2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-1.223725121235475E-13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489.34829722967373</v>
      </c>
      <c r="AO196" s="59">
        <f t="shared" si="144"/>
        <v>304.94365539329362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4.0262276939221728E-2</v>
      </c>
      <c r="AW196" s="21">
        <f>EXP(-LN(2)/2)*AW195+(1-EXP(-LN(2)/2))/(LN(2)/2)*AQ196*AT196*VLOOKUP('Données projet'!$B$10,Paramètres!$A$1:$I$89,3,0)*0.475*44/12</f>
        <v>2.15338330760277E-24</v>
      </c>
      <c r="AX196" s="21">
        <f t="shared" si="166"/>
        <v>4.0262276939221728E-2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5.6843418860808015E-14</v>
      </c>
      <c r="BE196" s="13">
        <f>BD196*VLOOKUP('Données projet'!$B$11,Paramètres!$A$1:$I$89,3,0)*VLOOKUP('Données projet'!$B$11,Paramètres!$A$1:$I$89,5,0)</f>
        <v>4.9658410716801891E-14</v>
      </c>
      <c r="BF196" s="13">
        <f t="shared" si="167"/>
        <v>8.0934058173791862E-13</v>
      </c>
      <c r="BG196" s="20">
        <f t="shared" si="168"/>
        <v>1.4960899118586383E-12</v>
      </c>
      <c r="BH196" s="59">
        <f t="shared" ref="BH196:BH203" si="194">BG196+(AY196+AZ196)*44/12</f>
        <v>290.20450434630999</v>
      </c>
      <c r="BI196" s="59">
        <f ca="1">AVERAGE(OFFSET($BH$3,0,0,'Données projet'!$E$11+1,1))-AVERAGE(OFFSET($H$3,0,0,'Données projet'!$E$11+1,1))</f>
        <v>360.3011551173708</v>
      </c>
      <c r="BJ196" s="59">
        <f t="shared" si="146"/>
        <v>388.50312617855309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0.12303286043332937</v>
      </c>
      <c r="BR196" s="21">
        <f>EXP(-LN(2)/2)*BR195+(1-EXP(-LN(2)/2))/(LN(2)/2)*BL196*BO196*VLOOKUP('Données projet'!$B$11,Paramètres!$A$1:$I$89,3,0)*0.475*44/12</f>
        <v>3.4557981741826009E-24</v>
      </c>
      <c r="BS196" s="22">
        <f t="shared" si="169"/>
        <v>0.12303286043332937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-4.5474735088646412E-13</v>
      </c>
      <c r="DP196" s="17">
        <f>DO196*VLOOKUP('Données projet'!$B$14,Paramètres!$A$1:$I$89,3,0)*VLOOKUP('Données projet'!$B$14,Paramètres!$A$1:$I$89,5,0)</f>
        <v>-2.7193891583010558E-13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350.88566459278962</v>
      </c>
      <c r="DU196" s="59">
        <f t="shared" si="152"/>
        <v>342.18151800581552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0.14001116372039257</v>
      </c>
      <c r="EC196" s="21">
        <f>EXP(-LN(2)/2)*EC195+(1-EXP(-LN(2)/2))/(LN(2)/2)*DW196*DZ196*VLOOKUP('Données projet'!$B$14,Paramètres!$A$1:$I$89,3,0)*0.475*44/12</f>
        <v>6.9397108605646607E-24</v>
      </c>
      <c r="ED196" s="22">
        <f t="shared" si="178"/>
        <v>0.14001116372039257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-1.1527845344971866E-13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465.40148250851843</v>
      </c>
      <c r="T197" s="59">
        <f t="shared" ref="T197:T203" si="204">$T$3</f>
        <v>290.8428650572356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3.6891082403422357E-2</v>
      </c>
      <c r="AB197" s="21">
        <f>EXP(-LN(2)/2)*AB196+(1-EXP(-LN(2)/2))/(LN(2)/2)*V197*Y197*VLOOKUP('Données projet'!$B$9,Paramètres!$A$1:$I$89,3,0)*0.475*44/12</f>
        <v>1.4344011022389731E-24</v>
      </c>
      <c r="AC197" s="22">
        <f t="shared" si="163"/>
        <v>3.6891082403422357E-2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-1.223725121235475E-13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489.34829722967373</v>
      </c>
      <c r="AO197" s="59">
        <f t="shared" ref="AO197:AO203" si="205">$AO$3</f>
        <v>304.94365539329362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3.9161302859017588E-2</v>
      </c>
      <c r="AW197" s="21">
        <f>EXP(-LN(2)/2)*AW196+(1-EXP(-LN(2)/2))/(LN(2)/2)*AQ197*AT197*VLOOKUP('Données projet'!$B$10,Paramètres!$A$1:$I$89,3,0)*0.475*44/12</f>
        <v>1.5226719392998359E-24</v>
      </c>
      <c r="AX197" s="21">
        <f t="shared" si="166"/>
        <v>3.9161302859017588E-2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5.6843418860808015E-14</v>
      </c>
      <c r="BE197" s="13">
        <f>BD197*VLOOKUP('Données projet'!$B$11,Paramètres!$A$1:$I$89,3,0)*VLOOKUP('Données projet'!$B$11,Paramètres!$A$1:$I$89,5,0)</f>
        <v>4.9658410716801891E-14</v>
      </c>
      <c r="BF197" s="13">
        <f t="shared" si="167"/>
        <v>8.0934058173791862E-13</v>
      </c>
      <c r="BG197" s="20">
        <f t="shared" si="168"/>
        <v>1.4960899118586383E-12</v>
      </c>
      <c r="BH197" s="59">
        <f t="shared" si="194"/>
        <v>290.25878253422121</v>
      </c>
      <c r="BI197" s="59">
        <f ca="1">AVERAGE(OFFSET($BH$3,0,0,'Données projet'!$E$11+1,1))-AVERAGE(OFFSET($H$3,0,0,'Données projet'!$E$11+1,1))</f>
        <v>360.3011551173708</v>
      </c>
      <c r="BJ197" s="59">
        <f t="shared" ref="BJ197:BJ203" si="206">$BJ$3</f>
        <v>388.50312617855309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0.11966852039476304</v>
      </c>
      <c r="BR197" s="21">
        <f>EXP(-LN(2)/2)*BR196+(1-EXP(-LN(2)/2))/(LN(2)/2)*BL197*BO197*VLOOKUP('Données projet'!$B$11,Paramètres!$A$1:$I$89,3,0)*0.475*44/12</f>
        <v>2.4436183233766069E-24</v>
      </c>
      <c r="BS197" s="22">
        <f t="shared" si="169"/>
        <v>0.11966852039476304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-4.5474735088646412E-13</v>
      </c>
      <c r="DP197" s="17">
        <f>DO197*VLOOKUP('Données projet'!$B$14,Paramètres!$A$1:$I$89,3,0)*VLOOKUP('Données projet'!$B$14,Paramètres!$A$1:$I$89,5,0)</f>
        <v>-2.7193891583010558E-13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350.88566459278962</v>
      </c>
      <c r="DU197" s="59">
        <f t="shared" ref="DU197:DU203" si="209">$DU$3</f>
        <v>342.18151800581552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0.13618255108559132</v>
      </c>
      <c r="EC197" s="21">
        <f>EXP(-LN(2)/2)*EC196+(1-EXP(-LN(2)/2))/(LN(2)/2)*DW197*DZ197*VLOOKUP('Données projet'!$B$14,Paramètres!$A$1:$I$89,3,0)*0.475*44/12</f>
        <v>4.9071166089792031E-24</v>
      </c>
      <c r="ED197" s="22">
        <f t="shared" si="178"/>
        <v>0.13618255108559132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-1.1527845344971866E-13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465.40148250851843</v>
      </c>
      <c r="T198" s="59">
        <f t="shared" si="204"/>
        <v>290.8428650572356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3.5882293815083066E-2</v>
      </c>
      <c r="AB198" s="21">
        <f>EXP(-LN(2)/2)*AB197+(1-EXP(-LN(2)/2))/(LN(2)/2)*V198*Y198*VLOOKUP('Données projet'!$B$9,Paramètres!$A$1:$I$89,3,0)*0.475*44/12</f>
        <v>1.0142747463346361E-24</v>
      </c>
      <c r="AC198" s="22">
        <f t="shared" si="163"/>
        <v>3.5882293815083066E-2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-1.223725121235475E-13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489.34829722967373</v>
      </c>
      <c r="AO198" s="59">
        <f t="shared" si="205"/>
        <v>304.94365539329362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3.8090434972934337E-2</v>
      </c>
      <c r="AW198" s="21">
        <f>EXP(-LN(2)/2)*AW197+(1-EXP(-LN(2)/2))/(LN(2)/2)*AQ198*AT198*VLOOKUP('Données projet'!$B$10,Paramètres!$A$1:$I$89,3,0)*0.475*44/12</f>
        <v>1.076691653801385E-24</v>
      </c>
      <c r="AX198" s="21">
        <f t="shared" si="166"/>
        <v>3.8090434972934337E-2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5.6843418860808015E-14</v>
      </c>
      <c r="BE198" s="13">
        <f>BD198*VLOOKUP('Données projet'!$B$11,Paramètres!$A$1:$I$89,3,0)*VLOOKUP('Données projet'!$B$11,Paramètres!$A$1:$I$89,5,0)</f>
        <v>4.9658410716801891E-14</v>
      </c>
      <c r="BF198" s="13">
        <f t="shared" si="167"/>
        <v>8.0934058173791862E-13</v>
      </c>
      <c r="BG198" s="20">
        <f t="shared" si="168"/>
        <v>1.4960899118586383E-12</v>
      </c>
      <c r="BH198" s="59">
        <f t="shared" si="194"/>
        <v>290.31211911691997</v>
      </c>
      <c r="BI198" s="59">
        <f ca="1">AVERAGE(OFFSET($BH$3,0,0,'Données projet'!$E$11+1,1))-AVERAGE(OFFSET($H$3,0,0,'Données projet'!$E$11+1,1))</f>
        <v>360.3011551173708</v>
      </c>
      <c r="BJ198" s="59">
        <f t="shared" si="206"/>
        <v>388.50312617855309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0.11639617841147426</v>
      </c>
      <c r="BR198" s="21">
        <f>EXP(-LN(2)/2)*BR197+(1-EXP(-LN(2)/2))/(LN(2)/2)*BL198*BO198*VLOOKUP('Données projet'!$B$11,Paramètres!$A$1:$I$89,3,0)*0.475*44/12</f>
        <v>1.7278990870913004E-24</v>
      </c>
      <c r="BS198" s="22">
        <f t="shared" si="169"/>
        <v>0.11639617841147426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-4.5474735088646412E-13</v>
      </c>
      <c r="DP198" s="17">
        <f>DO198*VLOOKUP('Données projet'!$B$14,Paramètres!$A$1:$I$89,3,0)*VLOOKUP('Données projet'!$B$14,Paramètres!$A$1:$I$89,5,0)</f>
        <v>-2.7193891583010558E-13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350.88566459278962</v>
      </c>
      <c r="DU198" s="59">
        <f t="shared" si="209"/>
        <v>342.18151800581552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0.13245863206462671</v>
      </c>
      <c r="EC198" s="21">
        <f>EXP(-LN(2)/2)*EC197+(1-EXP(-LN(2)/2))/(LN(2)/2)*DW198*DZ198*VLOOKUP('Données projet'!$B$14,Paramètres!$A$1:$I$89,3,0)*0.475*44/12</f>
        <v>3.4698554302823304E-24</v>
      </c>
      <c r="ED198" s="22">
        <f t="shared" si="178"/>
        <v>0.13245863206462671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-1.1527845344971866E-13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465.40148250851843</v>
      </c>
      <c r="T199" s="59">
        <f t="shared" si="204"/>
        <v>290.8428650572356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3.4901090603741795E-2</v>
      </c>
      <c r="AB199" s="21">
        <f>EXP(-LN(2)/2)*AB198+(1-EXP(-LN(2)/2))/(LN(2)/2)*V199*Y199*VLOOKUP('Données projet'!$B$9,Paramètres!$A$1:$I$89,3,0)*0.475*44/12</f>
        <v>7.1720055111948655E-25</v>
      </c>
      <c r="AC199" s="22">
        <f t="shared" si="163"/>
        <v>3.4901090603741795E-2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-1.223725121235475E-13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489.34829722967373</v>
      </c>
      <c r="AO199" s="59">
        <f t="shared" si="205"/>
        <v>304.94365539329362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3.7048850025510525E-2</v>
      </c>
      <c r="AW199" s="21">
        <f>EXP(-LN(2)/2)*AW198+(1-EXP(-LN(2)/2))/(LN(2)/2)*AQ199*AT199*VLOOKUP('Données projet'!$B$10,Paramètres!$A$1:$I$89,3,0)*0.475*44/12</f>
        <v>7.6133596964991793E-25</v>
      </c>
      <c r="AX199" s="21">
        <f t="shared" si="166"/>
        <v>3.7048850025510525E-2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5.6843418860808015E-14</v>
      </c>
      <c r="BE199" s="13">
        <f>BD199*VLOOKUP('Données projet'!$B$11,Paramètres!$A$1:$I$89,3,0)*VLOOKUP('Données projet'!$B$11,Paramètres!$A$1:$I$89,5,0)</f>
        <v>4.9658410716801891E-14</v>
      </c>
      <c r="BF199" s="13">
        <f t="shared" si="167"/>
        <v>8.0934058173791862E-13</v>
      </c>
      <c r="BG199" s="20">
        <f t="shared" si="168"/>
        <v>1.4960899118586383E-12</v>
      </c>
      <c r="BH199" s="59">
        <f t="shared" si="194"/>
        <v>290.36453042915167</v>
      </c>
      <c r="BI199" s="59">
        <f ca="1">AVERAGE(OFFSET($BH$3,0,0,'Données projet'!$E$11+1,1))-AVERAGE(OFFSET($H$3,0,0,'Données projet'!$E$11+1,1))</f>
        <v>360.3011551173708</v>
      </c>
      <c r="BJ199" s="59">
        <f t="shared" si="206"/>
        <v>388.50312617855309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0.1132133187918035</v>
      </c>
      <c r="BR199" s="21">
        <f>EXP(-LN(2)/2)*BR198+(1-EXP(-LN(2)/2))/(LN(2)/2)*BL199*BO199*VLOOKUP('Données projet'!$B$11,Paramètres!$A$1:$I$89,3,0)*0.475*44/12</f>
        <v>1.2218091616883034E-24</v>
      </c>
      <c r="BS199" s="22">
        <f t="shared" si="169"/>
        <v>0.1132133187918035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-4.5474735088646412E-13</v>
      </c>
      <c r="DP199" s="17">
        <f>DO199*VLOOKUP('Données projet'!$B$14,Paramètres!$A$1:$I$89,3,0)*VLOOKUP('Données projet'!$B$14,Paramètres!$A$1:$I$89,5,0)</f>
        <v>-2.7193891583010558E-13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350.88566459278962</v>
      </c>
      <c r="DU199" s="59">
        <f t="shared" si="209"/>
        <v>342.18151800581552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0.12883654380512277</v>
      </c>
      <c r="EC199" s="21">
        <f>EXP(-LN(2)/2)*EC198+(1-EXP(-LN(2)/2))/(LN(2)/2)*DW199*DZ199*VLOOKUP('Données projet'!$B$14,Paramètres!$A$1:$I$89,3,0)*0.475*44/12</f>
        <v>2.4535583044896015E-24</v>
      </c>
      <c r="ED199" s="22">
        <f t="shared" si="178"/>
        <v>0.12883654380512277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-1.1527845344971866E-13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465.40148250851843</v>
      </c>
      <c r="T200" s="59">
        <f t="shared" si="204"/>
        <v>290.8428650572356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3.3946718445813887E-2</v>
      </c>
      <c r="AB200" s="21">
        <f>EXP(-LN(2)/2)*AB199+(1-EXP(-LN(2)/2))/(LN(2)/2)*V200*Y200*VLOOKUP('Données projet'!$B$9,Paramètres!$A$1:$I$89,3,0)*0.475*44/12</f>
        <v>5.0713737316731807E-25</v>
      </c>
      <c r="AC200" s="22">
        <f t="shared" si="163"/>
        <v>3.3946718445813887E-2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-1.223725121235475E-13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489.34829722967373</v>
      </c>
      <c r="AO200" s="59">
        <f t="shared" si="205"/>
        <v>304.94365539329362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3.603574727324859E-2</v>
      </c>
      <c r="AW200" s="21">
        <f>EXP(-LN(2)/2)*AW199+(1-EXP(-LN(2)/2))/(LN(2)/2)*AQ200*AT200*VLOOKUP('Données projet'!$B$10,Paramètres!$A$1:$I$89,3,0)*0.475*44/12</f>
        <v>5.383458269006925E-25</v>
      </c>
      <c r="AX200" s="21">
        <f t="shared" si="166"/>
        <v>3.603574727324859E-2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5.6843418860808015E-14</v>
      </c>
      <c r="BE200" s="13">
        <f>BD200*VLOOKUP('Données projet'!$B$11,Paramètres!$A$1:$I$89,3,0)*VLOOKUP('Données projet'!$B$11,Paramètres!$A$1:$I$89,5,0)</f>
        <v>4.9658410716801891E-14</v>
      </c>
      <c r="BF200" s="13">
        <f t="shared" si="167"/>
        <v>8.0934058173791862E-13</v>
      </c>
      <c r="BG200" s="20">
        <f t="shared" si="168"/>
        <v>1.4960899118586383E-12</v>
      </c>
      <c r="BH200" s="59">
        <f t="shared" si="194"/>
        <v>290.41603252229027</v>
      </c>
      <c r="BI200" s="59">
        <f ca="1">AVERAGE(OFFSET($BH$3,0,0,'Données projet'!$E$11+1,1))-AVERAGE(OFFSET($H$3,0,0,'Données projet'!$E$11+1,1))</f>
        <v>360.3011551173708</v>
      </c>
      <c r="BJ200" s="59">
        <f t="shared" si="206"/>
        <v>388.50312617855309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0.11011749463581195</v>
      </c>
      <c r="BR200" s="21">
        <f>EXP(-LN(2)/2)*BR199+(1-EXP(-LN(2)/2))/(LN(2)/2)*BL200*BO200*VLOOKUP('Données projet'!$B$11,Paramètres!$A$1:$I$89,3,0)*0.475*44/12</f>
        <v>8.6394954354565022E-25</v>
      </c>
      <c r="BS200" s="22">
        <f t="shared" si="169"/>
        <v>0.11011749463581195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-4.5474735088646412E-13</v>
      </c>
      <c r="DP200" s="17">
        <f>DO200*VLOOKUP('Données projet'!$B$14,Paramètres!$A$1:$I$89,3,0)*VLOOKUP('Données projet'!$B$14,Paramètres!$A$1:$I$89,5,0)</f>
        <v>-2.7193891583010558E-13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350.88566459278962</v>
      </c>
      <c r="DU200" s="59">
        <f t="shared" si="209"/>
        <v>342.18151800581552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0.1253135017395523</v>
      </c>
      <c r="EC200" s="21">
        <f>EXP(-LN(2)/2)*EC199+(1-EXP(-LN(2)/2))/(LN(2)/2)*DW200*DZ200*VLOOKUP('Données projet'!$B$14,Paramètres!$A$1:$I$89,3,0)*0.475*44/12</f>
        <v>1.7349277151411652E-24</v>
      </c>
      <c r="ED200" s="22">
        <f t="shared" si="178"/>
        <v>0.1253135017395523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-1.1527845344971866E-13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465.40148250851843</v>
      </c>
      <c r="T201" s="59">
        <f t="shared" si="204"/>
        <v>290.8428650572356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3.3018443644732769E-2</v>
      </c>
      <c r="AB201" s="21">
        <f>EXP(-LN(2)/2)*AB200+(1-EXP(-LN(2)/2))/(LN(2)/2)*V201*Y201*VLOOKUP('Données projet'!$B$9,Paramètres!$A$1:$I$89,3,0)*0.475*44/12</f>
        <v>3.5860027555974328E-25</v>
      </c>
      <c r="AC201" s="22">
        <f t="shared" si="163"/>
        <v>3.3018443644732769E-2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-1.223725121235475E-13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489.34829722967373</v>
      </c>
      <c r="AO201" s="59">
        <f t="shared" si="205"/>
        <v>304.94365539329362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3.5050347869024022E-2</v>
      </c>
      <c r="AW201" s="21">
        <f>EXP(-LN(2)/2)*AW200+(1-EXP(-LN(2)/2))/(LN(2)/2)*AQ201*AT201*VLOOKUP('Données projet'!$B$10,Paramètres!$A$1:$I$89,3,0)*0.475*44/12</f>
        <v>3.8066798482495897E-25</v>
      </c>
      <c r="AX201" s="21">
        <f t="shared" si="166"/>
        <v>3.5050347869024022E-2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5.6843418860808015E-14</v>
      </c>
      <c r="BE201" s="13">
        <f>BD201*VLOOKUP('Données projet'!$B$11,Paramètres!$A$1:$I$89,3,0)*VLOOKUP('Données projet'!$B$11,Paramètres!$A$1:$I$89,5,0)</f>
        <v>4.9658410716801891E-14</v>
      </c>
      <c r="BF201" s="13">
        <f t="shared" si="167"/>
        <v>8.0934058173791862E-13</v>
      </c>
      <c r="BG201" s="20">
        <f t="shared" si="168"/>
        <v>1.4960899118586383E-12</v>
      </c>
      <c r="BH201" s="59">
        <f t="shared" si="194"/>
        <v>290.46664116925439</v>
      </c>
      <c r="BI201" s="59">
        <f ca="1">AVERAGE(OFFSET($BH$3,0,0,'Données projet'!$E$11+1,1))-AVERAGE(OFFSET($H$3,0,0,'Données projet'!$E$11+1,1))</f>
        <v>360.3011551173708</v>
      </c>
      <c r="BJ201" s="59">
        <f t="shared" si="206"/>
        <v>388.50312617855309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0.10710632595416832</v>
      </c>
      <c r="BR201" s="21">
        <f>EXP(-LN(2)/2)*BR200+(1-EXP(-LN(2)/2))/(LN(2)/2)*BL201*BO201*VLOOKUP('Données projet'!$B$11,Paramètres!$A$1:$I$89,3,0)*0.475*44/12</f>
        <v>6.1090458084415172E-25</v>
      </c>
      <c r="BS201" s="22">
        <f t="shared" si="169"/>
        <v>0.10710632595416832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-4.5474735088646412E-13</v>
      </c>
      <c r="DP201" s="17">
        <f>DO201*VLOOKUP('Données projet'!$B$14,Paramètres!$A$1:$I$89,3,0)*VLOOKUP('Données projet'!$B$14,Paramètres!$A$1:$I$89,5,0)</f>
        <v>-2.7193891583010558E-13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350.88566459278962</v>
      </c>
      <c r="DU201" s="59">
        <f t="shared" si="209"/>
        <v>342.18151800581552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0.1218867974445336</v>
      </c>
      <c r="EC201" s="21">
        <f>EXP(-LN(2)/2)*EC200+(1-EXP(-LN(2)/2))/(LN(2)/2)*DW201*DZ201*VLOOKUP('Données projet'!$B$14,Paramètres!$A$1:$I$89,3,0)*0.475*44/12</f>
        <v>1.2267791522448008E-24</v>
      </c>
      <c r="ED201" s="22">
        <f t="shared" si="178"/>
        <v>0.1218867974445336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-1.1527845344971866E-13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465.40148250851843</v>
      </c>
      <c r="T202" s="59">
        <f t="shared" si="204"/>
        <v>290.8428650572356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3.2115552566903065E-2</v>
      </c>
      <c r="AB202" s="21">
        <f>EXP(-LN(2)/2)*AB201+(1-EXP(-LN(2)/2))/(LN(2)/2)*V202*Y202*VLOOKUP('Données projet'!$B$9,Paramètres!$A$1:$I$89,3,0)*0.475*44/12</f>
        <v>2.5356868658365903E-25</v>
      </c>
      <c r="AC202" s="22">
        <f t="shared" si="163"/>
        <v>3.2115552566903065E-2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-1.223725121235475E-13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489.34829722967373</v>
      </c>
      <c r="AO202" s="59">
        <f t="shared" si="205"/>
        <v>304.94365539329362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3.4091894263327871E-2</v>
      </c>
      <c r="AW202" s="21">
        <f>EXP(-LN(2)/2)*AW201+(1-EXP(-LN(2)/2))/(LN(2)/2)*AQ202*AT202*VLOOKUP('Données projet'!$B$10,Paramètres!$A$1:$I$89,3,0)*0.475*44/12</f>
        <v>2.6917291345034625E-25</v>
      </c>
      <c r="AX202" s="21">
        <f t="shared" si="166"/>
        <v>3.4091894263327871E-2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5.6843418860808015E-14</v>
      </c>
      <c r="BE202" s="13">
        <f>BD202*VLOOKUP('Données projet'!$B$11,Paramètres!$A$1:$I$89,3,0)*VLOOKUP('Données projet'!$B$11,Paramètres!$A$1:$I$89,5,0)</f>
        <v>4.9658410716801891E-14</v>
      </c>
      <c r="BF202" s="13">
        <f t="shared" si="167"/>
        <v>8.0934058173791862E-13</v>
      </c>
      <c r="BG202" s="20">
        <f t="shared" si="168"/>
        <v>1.4960899118586383E-12</v>
      </c>
      <c r="BH202" s="59">
        <f t="shared" si="194"/>
        <v>290.5163718693376</v>
      </c>
      <c r="BI202" s="59">
        <f ca="1">AVERAGE(OFFSET($BH$3,0,0,'Données projet'!$E$11+1,1))-AVERAGE(OFFSET($H$3,0,0,'Données projet'!$E$11+1,1))</f>
        <v>360.3011551173708</v>
      </c>
      <c r="BJ202" s="59">
        <f t="shared" si="206"/>
        <v>388.50312617855309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0.1041774978384747</v>
      </c>
      <c r="BR202" s="21">
        <f>EXP(-LN(2)/2)*BR201+(1-EXP(-LN(2)/2))/(LN(2)/2)*BL202*BO202*VLOOKUP('Données projet'!$B$11,Paramètres!$A$1:$I$89,3,0)*0.475*44/12</f>
        <v>4.3197477177282511E-25</v>
      </c>
      <c r="BS202" s="22">
        <f t="shared" si="169"/>
        <v>0.1041774978384747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-4.5474735088646412E-13</v>
      </c>
      <c r="DP202" s="17">
        <f>DO202*VLOOKUP('Données projet'!$B$14,Paramètres!$A$1:$I$89,3,0)*VLOOKUP('Données projet'!$B$14,Paramètres!$A$1:$I$89,5,0)</f>
        <v>-2.7193891583010558E-13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350.88566459278962</v>
      </c>
      <c r="DU202" s="59">
        <f t="shared" si="209"/>
        <v>342.18151800581552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0.11855379655866473</v>
      </c>
      <c r="EC202" s="21">
        <f>EXP(-LN(2)/2)*EC201+(1-EXP(-LN(2)/2))/(LN(2)/2)*DW202*DZ202*VLOOKUP('Données projet'!$B$14,Paramètres!$A$1:$I$89,3,0)*0.475*44/12</f>
        <v>8.6746385757058259E-25</v>
      </c>
      <c r="ED202" s="22">
        <f t="shared" si="178"/>
        <v>0.11855379655866473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-1.1527845344971866E-13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465.40148250851843</v>
      </c>
      <c r="T203" s="59">
        <f t="shared" si="204"/>
        <v>290.8428650572356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3.1237351093077591E-2</v>
      </c>
      <c r="AB203" s="21">
        <f>EXP(-LN(2)/2)*AB202+(1-EXP(-LN(2)/2))/(LN(2)/2)*V203*Y203*VLOOKUP('Données projet'!$B$9,Paramètres!$A$1:$I$89,3,0)*0.475*44/12</f>
        <v>1.7930013777987164E-25</v>
      </c>
      <c r="AC203" s="22">
        <f t="shared" si="163"/>
        <v>3.1237351093077591E-2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-1.223725121235475E-13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489.34829722967373</v>
      </c>
      <c r="AO203" s="59">
        <f t="shared" si="205"/>
        <v>304.94365539329362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3.3159649621882371E-2</v>
      </c>
      <c r="AW203" s="21">
        <f>EXP(-LN(2)/2)*AW202+(1-EXP(-LN(2)/2))/(LN(2)/2)*AQ203*AT203*VLOOKUP('Données projet'!$B$10,Paramètres!$A$1:$I$89,3,0)*0.475*44/12</f>
        <v>1.9033399241247948E-25</v>
      </c>
      <c r="AX203" s="21">
        <f t="shared" si="166"/>
        <v>3.3159649621882371E-2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5.6843418860808015E-14</v>
      </c>
      <c r="BE203" s="13">
        <f>BD203*VLOOKUP('Données projet'!$B$11,Paramètres!$A$1:$I$89,3,0)*VLOOKUP('Données projet'!$B$11,Paramètres!$A$1:$I$89,5,0)</f>
        <v>4.9658410716801891E-14</v>
      </c>
      <c r="BF203" s="13">
        <f t="shared" si="167"/>
        <v>8.0934058173791862E-13</v>
      </c>
      <c r="BG203" s="20">
        <f t="shared" si="168"/>
        <v>1.4960899118586383E-12</v>
      </c>
      <c r="BH203" s="59">
        <f t="shared" si="194"/>
        <v>290.56523985295559</v>
      </c>
      <c r="BI203" s="59">
        <f ca="1">AVERAGE(OFFSET($BH$3,0,0,'Données projet'!$E$11+1,1))-AVERAGE(OFFSET($H$3,0,0,'Données projet'!$E$11+1,1))</f>
        <v>360.3011551173708</v>
      </c>
      <c r="BJ203" s="59">
        <f t="shared" si="206"/>
        <v>388.50312617855309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0.10132875868162509</v>
      </c>
      <c r="BR203" s="21">
        <f>EXP(-LN(2)/2)*BR202+(1-EXP(-LN(2)/2))/(LN(2)/2)*BL203*BO203*VLOOKUP('Données projet'!$B$11,Paramètres!$A$1:$I$89,3,0)*0.475*44/12</f>
        <v>3.0545229042207586E-25</v>
      </c>
      <c r="BS203" s="22">
        <f t="shared" si="169"/>
        <v>0.10132875868162509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-4.5474735088646412E-13</v>
      </c>
      <c r="DP203" s="17">
        <f>DO203*VLOOKUP('Données projet'!$B$14,Paramètres!$A$1:$I$89,3,0)*VLOOKUP('Données projet'!$B$14,Paramètres!$A$1:$I$89,5,0)</f>
        <v>-2.7193891583010558E-13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350.88566459278962</v>
      </c>
      <c r="DU203" s="59">
        <f t="shared" si="209"/>
        <v>342.18151800581552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0.11531193675729484</v>
      </c>
      <c r="EC203" s="21">
        <f>EXP(-LN(2)/2)*EC202+(1-EXP(-LN(2)/2))/(LN(2)/2)*DW203*DZ203*VLOOKUP('Données projet'!$B$14,Paramètres!$A$1:$I$89,3,0)*0.475*44/12</f>
        <v>6.1338957612240039E-25</v>
      </c>
      <c r="ED203" s="22">
        <f t="shared" si="178"/>
        <v>0.11531193675729484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107</v>
      </c>
      <c r="BA204" s="81" t="s">
        <v>107</v>
      </c>
      <c r="BV204" s="81" t="s">
        <v>107</v>
      </c>
      <c r="CQ204" s="81" t="s">
        <v>107</v>
      </c>
      <c r="DL204" s="81" t="s">
        <v>107</v>
      </c>
      <c r="EG204" s="81" t="s">
        <v>107</v>
      </c>
      <c r="FB204" s="81" t="s">
        <v>107</v>
      </c>
      <c r="FW204" s="81" t="s">
        <v>107</v>
      </c>
      <c r="GR204" s="81" t="s">
        <v>107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1.2054868146447177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1.2557008269631629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>
        <f>EXP(LN('Données projet'!B166)/'Données projet'!A166)</f>
        <v>1.2530028811664373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108</v>
      </c>
      <c r="B1" s="112" t="s">
        <v>109</v>
      </c>
      <c r="C1" s="113" t="s">
        <v>110</v>
      </c>
      <c r="D1" s="112" t="s">
        <v>111</v>
      </c>
      <c r="E1" s="113" t="s">
        <v>112</v>
      </c>
      <c r="F1" s="113" t="s">
        <v>111</v>
      </c>
      <c r="G1" s="113" t="s">
        <v>113</v>
      </c>
      <c r="H1" s="113" t="s">
        <v>111</v>
      </c>
      <c r="I1" s="114" t="s">
        <v>114</v>
      </c>
      <c r="J1" s="78"/>
      <c r="K1" s="78"/>
      <c r="L1" s="78"/>
      <c r="M1" s="78"/>
      <c r="N1" s="78"/>
    </row>
    <row r="2" spans="1:16" x14ac:dyDescent="0.3">
      <c r="A2" s="115" t="s">
        <v>16</v>
      </c>
      <c r="B2" s="116" t="s">
        <v>115</v>
      </c>
      <c r="C2" s="117">
        <v>0.62</v>
      </c>
      <c r="D2" s="117" t="s">
        <v>116</v>
      </c>
      <c r="E2" s="117">
        <v>1.56</v>
      </c>
      <c r="F2" s="117" t="s">
        <v>117</v>
      </c>
      <c r="G2" s="118">
        <v>0.43</v>
      </c>
      <c r="H2" s="119" t="s">
        <v>118</v>
      </c>
      <c r="I2" s="120">
        <v>0.25</v>
      </c>
      <c r="J2" s="78"/>
      <c r="K2" s="78"/>
      <c r="L2" s="78"/>
      <c r="M2" s="78"/>
      <c r="N2" s="78"/>
      <c r="O2" s="282" t="s">
        <v>119</v>
      </c>
      <c r="P2" s="121">
        <v>0</v>
      </c>
    </row>
    <row r="3" spans="1:16" ht="15" thickBot="1" x14ac:dyDescent="0.35">
      <c r="A3" s="122" t="s">
        <v>120</v>
      </c>
      <c r="B3" s="123" t="s">
        <v>121</v>
      </c>
      <c r="C3" s="124">
        <v>0.64</v>
      </c>
      <c r="D3" s="124" t="s">
        <v>116</v>
      </c>
      <c r="E3" s="124">
        <v>1.56</v>
      </c>
      <c r="F3" s="125" t="s">
        <v>117</v>
      </c>
      <c r="G3" s="126">
        <v>0.43</v>
      </c>
      <c r="H3" s="124" t="s">
        <v>118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122</v>
      </c>
      <c r="B4" s="123" t="s">
        <v>123</v>
      </c>
      <c r="C4" s="124">
        <v>0.42</v>
      </c>
      <c r="D4" s="124" t="s">
        <v>116</v>
      </c>
      <c r="E4" s="124">
        <v>1.56</v>
      </c>
      <c r="F4" s="125" t="s">
        <v>117</v>
      </c>
      <c r="G4" s="126">
        <v>0.43</v>
      </c>
      <c r="H4" s="124" t="s">
        <v>118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124</v>
      </c>
      <c r="B5" s="123" t="s">
        <v>125</v>
      </c>
      <c r="C5" s="124">
        <v>0.42</v>
      </c>
      <c r="D5" s="124" t="s">
        <v>116</v>
      </c>
      <c r="E5" s="124">
        <v>1.56</v>
      </c>
      <c r="F5" s="125" t="s">
        <v>117</v>
      </c>
      <c r="G5" s="126">
        <v>0.43</v>
      </c>
      <c r="H5" s="124" t="s">
        <v>118</v>
      </c>
      <c r="I5" s="127">
        <v>0.25</v>
      </c>
      <c r="J5" s="78"/>
      <c r="K5" s="78"/>
      <c r="L5" s="78"/>
      <c r="M5" s="78"/>
      <c r="N5" s="78"/>
      <c r="O5" s="282" t="s">
        <v>126</v>
      </c>
      <c r="P5" s="121">
        <v>0</v>
      </c>
    </row>
    <row r="6" spans="1:16" x14ac:dyDescent="0.3">
      <c r="A6" s="122" t="s">
        <v>127</v>
      </c>
      <c r="B6" s="123" t="s">
        <v>128</v>
      </c>
      <c r="C6" s="124">
        <v>0.42</v>
      </c>
      <c r="D6" s="124" t="s">
        <v>116</v>
      </c>
      <c r="E6" s="124">
        <v>1.56</v>
      </c>
      <c r="F6" s="125" t="s">
        <v>117</v>
      </c>
      <c r="G6" s="126">
        <v>0.43</v>
      </c>
      <c r="H6" s="124" t="s">
        <v>118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19</v>
      </c>
      <c r="B7" s="123" t="s">
        <v>129</v>
      </c>
      <c r="C7" s="124">
        <v>0.52</v>
      </c>
      <c r="D7" s="124" t="s">
        <v>116</v>
      </c>
      <c r="E7" s="124">
        <v>1.56</v>
      </c>
      <c r="F7" s="125" t="s">
        <v>117</v>
      </c>
      <c r="G7" s="126">
        <v>0.43</v>
      </c>
      <c r="H7" s="124" t="s">
        <v>118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130</v>
      </c>
      <c r="B8" s="123" t="s">
        <v>131</v>
      </c>
      <c r="C8" s="124">
        <v>0.36</v>
      </c>
      <c r="D8" s="124" t="s">
        <v>116</v>
      </c>
      <c r="E8" s="124">
        <v>1.3</v>
      </c>
      <c r="F8" s="125" t="s">
        <v>117</v>
      </c>
      <c r="G8" s="126">
        <v>0.55000000000000004</v>
      </c>
      <c r="H8" s="124" t="s">
        <v>132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21</v>
      </c>
      <c r="B9" s="123" t="s">
        <v>133</v>
      </c>
      <c r="C9" s="124">
        <v>0.61</v>
      </c>
      <c r="D9" s="124" t="s">
        <v>116</v>
      </c>
      <c r="E9" s="124">
        <v>1.56</v>
      </c>
      <c r="F9" s="125" t="s">
        <v>117</v>
      </c>
      <c r="G9" s="126">
        <v>0.43</v>
      </c>
      <c r="H9" s="124" t="s">
        <v>118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134</v>
      </c>
      <c r="B10" s="123" t="s">
        <v>135</v>
      </c>
      <c r="C10" s="124">
        <v>0.66</v>
      </c>
      <c r="D10" s="124" t="s">
        <v>116</v>
      </c>
      <c r="E10" s="124">
        <v>1.56</v>
      </c>
      <c r="F10" s="125" t="s">
        <v>117</v>
      </c>
      <c r="G10" s="126">
        <v>0.43</v>
      </c>
      <c r="H10" s="124" t="s">
        <v>118</v>
      </c>
      <c r="I10" s="127">
        <v>0.25</v>
      </c>
      <c r="J10" s="78"/>
      <c r="K10" s="78"/>
      <c r="L10" s="78"/>
      <c r="M10" s="78"/>
      <c r="N10" s="78"/>
      <c r="O10" s="282" t="s">
        <v>136</v>
      </c>
      <c r="P10" s="121">
        <v>0</v>
      </c>
    </row>
    <row r="11" spans="1:16" ht="15" thickBot="1" x14ac:dyDescent="0.35">
      <c r="A11" s="122" t="s">
        <v>137</v>
      </c>
      <c r="B11" s="123" t="s">
        <v>138</v>
      </c>
      <c r="C11" s="124">
        <v>0.47</v>
      </c>
      <c r="D11" s="124" t="s">
        <v>116</v>
      </c>
      <c r="E11" s="124">
        <v>1.56</v>
      </c>
      <c r="F11" s="125" t="s">
        <v>117</v>
      </c>
      <c r="G11" s="126">
        <v>0.43</v>
      </c>
      <c r="H11" s="124" t="s">
        <v>118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23</v>
      </c>
      <c r="B12" s="123" t="s">
        <v>139</v>
      </c>
      <c r="C12" s="124">
        <v>0.67</v>
      </c>
      <c r="D12" s="124" t="s">
        <v>116</v>
      </c>
      <c r="E12" s="124">
        <v>1.56</v>
      </c>
      <c r="F12" s="125" t="s">
        <v>117</v>
      </c>
      <c r="G12" s="126">
        <v>0.43</v>
      </c>
      <c r="H12" s="124" t="s">
        <v>140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141</v>
      </c>
      <c r="B13" s="123" t="s">
        <v>142</v>
      </c>
      <c r="C13" s="124">
        <v>0.7</v>
      </c>
      <c r="D13" s="124" t="s">
        <v>116</v>
      </c>
      <c r="E13" s="124">
        <v>1.56</v>
      </c>
      <c r="F13" s="125" t="s">
        <v>117</v>
      </c>
      <c r="G13" s="126">
        <v>0.43</v>
      </c>
      <c r="H13" s="124" t="s">
        <v>140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143</v>
      </c>
      <c r="B14" s="123" t="s">
        <v>144</v>
      </c>
      <c r="C14" s="124">
        <v>0.54</v>
      </c>
      <c r="D14" s="124" t="s">
        <v>116</v>
      </c>
      <c r="E14" s="124">
        <v>1.56</v>
      </c>
      <c r="F14" s="125" t="s">
        <v>117</v>
      </c>
      <c r="G14" s="126">
        <v>0.43</v>
      </c>
      <c r="H14" s="124" t="s">
        <v>140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27</v>
      </c>
      <c r="B15" s="123" t="s">
        <v>145</v>
      </c>
      <c r="C15" s="124">
        <v>0.65</v>
      </c>
      <c r="D15" s="124" t="s">
        <v>116</v>
      </c>
      <c r="E15" s="124">
        <v>1.56</v>
      </c>
      <c r="F15" s="125" t="s">
        <v>117</v>
      </c>
      <c r="G15" s="126">
        <v>0.43</v>
      </c>
      <c r="H15" s="124" t="s">
        <v>140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146</v>
      </c>
      <c r="B16" s="123" t="s">
        <v>147</v>
      </c>
      <c r="C16" s="124">
        <v>0.56000000000000005</v>
      </c>
      <c r="D16" s="124" t="s">
        <v>116</v>
      </c>
      <c r="E16" s="124">
        <v>1.56</v>
      </c>
      <c r="F16" s="125" t="s">
        <v>117</v>
      </c>
      <c r="G16" s="126">
        <v>0.43</v>
      </c>
      <c r="H16" s="124" t="s">
        <v>140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25</v>
      </c>
      <c r="B17" s="123" t="s">
        <v>148</v>
      </c>
      <c r="C17" s="124">
        <v>0.57999999999999996</v>
      </c>
      <c r="D17" s="124" t="s">
        <v>116</v>
      </c>
      <c r="E17" s="124">
        <v>1.56</v>
      </c>
      <c r="F17" s="125" t="s">
        <v>117</v>
      </c>
      <c r="G17" s="126">
        <v>0.43</v>
      </c>
      <c r="H17" s="124" t="s">
        <v>140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149</v>
      </c>
      <c r="B18" s="123" t="s">
        <v>150</v>
      </c>
      <c r="C18" s="124">
        <v>0.64</v>
      </c>
      <c r="D18" s="124" t="s">
        <v>116</v>
      </c>
      <c r="E18" s="124">
        <v>1.56</v>
      </c>
      <c r="F18" s="125" t="s">
        <v>117</v>
      </c>
      <c r="G18" s="126">
        <v>0.43</v>
      </c>
      <c r="H18" s="124" t="s">
        <v>140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151</v>
      </c>
      <c r="B19" s="123" t="s">
        <v>152</v>
      </c>
      <c r="C19" s="124">
        <v>0.73</v>
      </c>
      <c r="D19" s="124" t="s">
        <v>116</v>
      </c>
      <c r="E19" s="124">
        <v>1.56</v>
      </c>
      <c r="F19" s="125" t="s">
        <v>117</v>
      </c>
      <c r="G19" s="126">
        <v>0.43</v>
      </c>
      <c r="H19" s="124" t="s">
        <v>140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29</v>
      </c>
      <c r="B20" s="123" t="s">
        <v>153</v>
      </c>
      <c r="C20" s="124">
        <v>0.69</v>
      </c>
      <c r="D20" s="124" t="s">
        <v>154</v>
      </c>
      <c r="E20" s="124">
        <v>1.56</v>
      </c>
      <c r="F20" s="125" t="s">
        <v>117</v>
      </c>
      <c r="G20" s="126">
        <v>0.43</v>
      </c>
      <c r="H20" s="124" t="s">
        <v>155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156</v>
      </c>
      <c r="B21" s="123" t="s">
        <v>157</v>
      </c>
      <c r="C21" s="124">
        <v>0.36</v>
      </c>
      <c r="D21" s="124" t="s">
        <v>116</v>
      </c>
      <c r="E21" s="124">
        <v>1.3</v>
      </c>
      <c r="F21" s="125" t="s">
        <v>117</v>
      </c>
      <c r="G21" s="126">
        <v>0.55000000000000004</v>
      </c>
      <c r="H21" s="124" t="s">
        <v>132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158</v>
      </c>
      <c r="B22" s="123" t="s">
        <v>159</v>
      </c>
      <c r="C22" s="124">
        <v>0.4</v>
      </c>
      <c r="D22" s="124" t="s">
        <v>116</v>
      </c>
      <c r="E22" s="124">
        <v>1.3</v>
      </c>
      <c r="F22" s="125" t="s">
        <v>117</v>
      </c>
      <c r="G22" s="126">
        <v>0.55000000000000004</v>
      </c>
      <c r="H22" s="124" t="s">
        <v>132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160</v>
      </c>
      <c r="B23" s="123" t="s">
        <v>161</v>
      </c>
      <c r="C23" s="124">
        <v>0.43</v>
      </c>
      <c r="D23" s="124" t="s">
        <v>116</v>
      </c>
      <c r="E23" s="124">
        <v>1.3</v>
      </c>
      <c r="F23" s="125" t="s">
        <v>117</v>
      </c>
      <c r="G23" s="126">
        <v>0.55000000000000004</v>
      </c>
      <c r="H23" s="124" t="s">
        <v>132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162</v>
      </c>
      <c r="B24" s="123" t="s">
        <v>163</v>
      </c>
      <c r="C24" s="124">
        <v>0.37</v>
      </c>
      <c r="D24" s="124" t="s">
        <v>116</v>
      </c>
      <c r="E24" s="124">
        <v>1.3</v>
      </c>
      <c r="F24" s="125" t="s">
        <v>117</v>
      </c>
      <c r="G24" s="126">
        <v>0.55000000000000004</v>
      </c>
      <c r="H24" s="124" t="s">
        <v>140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164</v>
      </c>
      <c r="B25" s="123" t="s">
        <v>165</v>
      </c>
      <c r="C25" s="124">
        <v>0.36</v>
      </c>
      <c r="D25" s="124" t="s">
        <v>116</v>
      </c>
      <c r="E25" s="124">
        <v>1.3</v>
      </c>
      <c r="F25" s="125" t="s">
        <v>117</v>
      </c>
      <c r="G25" s="126">
        <v>0.55000000000000004</v>
      </c>
      <c r="H25" s="124" t="s">
        <v>140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31</v>
      </c>
      <c r="B26" s="123" t="s">
        <v>166</v>
      </c>
      <c r="C26" s="124">
        <v>0.56000000000000005</v>
      </c>
      <c r="D26" s="124" t="s">
        <v>116</v>
      </c>
      <c r="E26" s="124">
        <v>1.56</v>
      </c>
      <c r="F26" s="125" t="s">
        <v>117</v>
      </c>
      <c r="G26" s="126">
        <v>0.53</v>
      </c>
      <c r="H26" s="124" t="s">
        <v>167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33</v>
      </c>
      <c r="B27" s="123" t="s">
        <v>168</v>
      </c>
      <c r="C27" s="124">
        <v>0.51</v>
      </c>
      <c r="D27" s="124" t="s">
        <v>116</v>
      </c>
      <c r="E27" s="124">
        <v>1.56</v>
      </c>
      <c r="F27" s="125" t="s">
        <v>117</v>
      </c>
      <c r="G27" s="126">
        <v>0.53</v>
      </c>
      <c r="H27" s="124" t="s">
        <v>167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169</v>
      </c>
      <c r="B28" s="123" t="s">
        <v>170</v>
      </c>
      <c r="C28" s="124">
        <v>0.51</v>
      </c>
      <c r="D28" s="124" t="s">
        <v>116</v>
      </c>
      <c r="E28" s="124">
        <v>1.56</v>
      </c>
      <c r="F28" s="125" t="s">
        <v>117</v>
      </c>
      <c r="G28" s="126">
        <v>0.53</v>
      </c>
      <c r="H28" s="124" t="s">
        <v>167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171</v>
      </c>
      <c r="B29" s="123" t="s">
        <v>171</v>
      </c>
      <c r="C29" s="124">
        <v>0.56000000000000005</v>
      </c>
      <c r="D29" s="124" t="s">
        <v>116</v>
      </c>
      <c r="E29" s="124">
        <v>1.56</v>
      </c>
      <c r="F29" s="125" t="s">
        <v>117</v>
      </c>
      <c r="G29" s="126">
        <v>0.53</v>
      </c>
      <c r="H29" s="124" t="s">
        <v>167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35</v>
      </c>
      <c r="B30" s="123" t="s">
        <v>172</v>
      </c>
      <c r="C30" s="124">
        <v>0.55000000000000004</v>
      </c>
      <c r="D30" s="124" t="s">
        <v>116</v>
      </c>
      <c r="E30" s="124">
        <v>1.56</v>
      </c>
      <c r="F30" s="125" t="s">
        <v>117</v>
      </c>
      <c r="G30" s="126">
        <v>0.53</v>
      </c>
      <c r="H30" s="124" t="s">
        <v>140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173</v>
      </c>
      <c r="B31" s="123" t="s">
        <v>174</v>
      </c>
      <c r="C31" s="124">
        <v>0.56000000000000005</v>
      </c>
      <c r="D31" s="124" t="s">
        <v>116</v>
      </c>
      <c r="E31" s="124">
        <v>1.56</v>
      </c>
      <c r="F31" s="125" t="s">
        <v>117</v>
      </c>
      <c r="G31" s="126">
        <v>0.43</v>
      </c>
      <c r="H31" s="124" t="s">
        <v>118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175</v>
      </c>
      <c r="B32" s="123" t="s">
        <v>176</v>
      </c>
      <c r="C32" s="124">
        <v>0.48</v>
      </c>
      <c r="D32" s="124" t="s">
        <v>116</v>
      </c>
      <c r="E32" s="124">
        <v>1.3</v>
      </c>
      <c r="F32" s="125" t="s">
        <v>117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178</v>
      </c>
      <c r="B33" s="123" t="s">
        <v>179</v>
      </c>
      <c r="C33" s="124">
        <v>0.42</v>
      </c>
      <c r="D33" s="124" t="s">
        <v>116</v>
      </c>
      <c r="E33" s="124">
        <v>1.3</v>
      </c>
      <c r="F33" s="125" t="s">
        <v>117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117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184</v>
      </c>
      <c r="B35" s="123" t="s">
        <v>185</v>
      </c>
      <c r="C35" s="124">
        <v>0.5</v>
      </c>
      <c r="D35" s="124" t="s">
        <v>116</v>
      </c>
      <c r="E35" s="124">
        <v>1.56</v>
      </c>
      <c r="F35" s="125" t="s">
        <v>117</v>
      </c>
      <c r="G35" s="126">
        <v>0.43</v>
      </c>
      <c r="H35" s="124" t="s">
        <v>118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186</v>
      </c>
      <c r="B36" s="123" t="s">
        <v>187</v>
      </c>
      <c r="C36" s="124">
        <v>0.55000000000000004</v>
      </c>
      <c r="D36" s="124" t="s">
        <v>116</v>
      </c>
      <c r="E36" s="124">
        <v>1.56</v>
      </c>
      <c r="F36" s="125" t="s">
        <v>117</v>
      </c>
      <c r="G36" s="126">
        <v>0.53</v>
      </c>
      <c r="H36" s="124" t="s">
        <v>167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188</v>
      </c>
      <c r="B37" s="123" t="s">
        <v>189</v>
      </c>
      <c r="C37" s="124">
        <v>0.52</v>
      </c>
      <c r="D37" s="124" t="s">
        <v>116</v>
      </c>
      <c r="E37" s="124">
        <v>1.56</v>
      </c>
      <c r="F37" s="125" t="s">
        <v>117</v>
      </c>
      <c r="G37" s="126">
        <v>0.53</v>
      </c>
      <c r="H37" s="124" t="s">
        <v>167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190</v>
      </c>
      <c r="B38" s="123" t="s">
        <v>191</v>
      </c>
      <c r="C38" s="124">
        <v>0.52</v>
      </c>
      <c r="D38" s="124" t="s">
        <v>116</v>
      </c>
      <c r="E38" s="124">
        <v>1.56</v>
      </c>
      <c r="F38" s="125" t="s">
        <v>117</v>
      </c>
      <c r="G38" s="126">
        <v>0.43</v>
      </c>
      <c r="H38" s="124" t="s">
        <v>118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117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117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117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117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117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117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117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117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117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117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117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117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117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117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117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117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117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117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117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117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117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117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117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218</v>
      </c>
      <c r="B62" s="123" t="s">
        <v>219</v>
      </c>
      <c r="C62" s="124">
        <v>0.37</v>
      </c>
      <c r="D62" s="124" t="s">
        <v>116</v>
      </c>
      <c r="E62" s="124">
        <v>1.56</v>
      </c>
      <c r="F62" s="125" t="s">
        <v>117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220</v>
      </c>
      <c r="B63" s="123" t="s">
        <v>221</v>
      </c>
      <c r="C63" s="124">
        <v>0.45</v>
      </c>
      <c r="D63" s="124" t="s">
        <v>116</v>
      </c>
      <c r="E63" s="124">
        <v>1.3</v>
      </c>
      <c r="F63" s="125" t="s">
        <v>117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223</v>
      </c>
      <c r="B64" s="123" t="s">
        <v>224</v>
      </c>
      <c r="C64" s="124">
        <v>0.39</v>
      </c>
      <c r="D64" s="124" t="s">
        <v>116</v>
      </c>
      <c r="E64" s="124">
        <v>1.3</v>
      </c>
      <c r="F64" s="125" t="s">
        <v>117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225</v>
      </c>
      <c r="B65" s="123" t="s">
        <v>226</v>
      </c>
      <c r="C65" s="124">
        <v>0.44</v>
      </c>
      <c r="D65" s="124" t="s">
        <v>116</v>
      </c>
      <c r="E65" s="124">
        <v>1.3</v>
      </c>
      <c r="F65" s="125" t="s">
        <v>117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227</v>
      </c>
      <c r="B66" s="123" t="s">
        <v>228</v>
      </c>
      <c r="C66" s="124">
        <v>0.46</v>
      </c>
      <c r="D66" s="124" t="s">
        <v>116</v>
      </c>
      <c r="E66" s="124">
        <v>1.3</v>
      </c>
      <c r="F66" s="125" t="s">
        <v>117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229</v>
      </c>
      <c r="B67" s="123" t="s">
        <v>230</v>
      </c>
      <c r="C67" s="124">
        <v>0.46</v>
      </c>
      <c r="D67" s="124" t="s">
        <v>116</v>
      </c>
      <c r="E67" s="124">
        <v>1.3</v>
      </c>
      <c r="F67" s="125" t="s">
        <v>117</v>
      </c>
      <c r="G67" s="126">
        <v>0.45</v>
      </c>
      <c r="H67" s="124" t="s">
        <v>140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231</v>
      </c>
      <c r="B68" s="123" t="s">
        <v>232</v>
      </c>
      <c r="C68" s="124">
        <v>0.44</v>
      </c>
      <c r="D68" s="124" t="s">
        <v>116</v>
      </c>
      <c r="E68" s="124">
        <v>1.3</v>
      </c>
      <c r="F68" s="125" t="s">
        <v>117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233</v>
      </c>
      <c r="B69" s="123" t="s">
        <v>234</v>
      </c>
      <c r="C69" s="124">
        <v>0.46</v>
      </c>
      <c r="D69" s="124" t="s">
        <v>116</v>
      </c>
      <c r="E69" s="124">
        <v>1.3</v>
      </c>
      <c r="F69" s="125" t="s">
        <v>117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235</v>
      </c>
      <c r="B70" s="123" t="s">
        <v>236</v>
      </c>
      <c r="C70" s="124">
        <v>0.48</v>
      </c>
      <c r="D70" s="124" t="s">
        <v>116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117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241</v>
      </c>
      <c r="B72" s="123" t="s">
        <v>242</v>
      </c>
      <c r="C72" s="124">
        <v>0.44</v>
      </c>
      <c r="D72" s="124" t="s">
        <v>116</v>
      </c>
      <c r="E72" s="124">
        <v>1.3</v>
      </c>
      <c r="F72" s="125" t="s">
        <v>117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117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246</v>
      </c>
      <c r="B74" s="123" t="s">
        <v>247</v>
      </c>
      <c r="C74" s="124">
        <v>0.34</v>
      </c>
      <c r="D74" s="124" t="s">
        <v>116</v>
      </c>
      <c r="E74" s="124">
        <v>1.3</v>
      </c>
      <c r="F74" s="125" t="s">
        <v>117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248</v>
      </c>
      <c r="B75" s="123" t="s">
        <v>249</v>
      </c>
      <c r="C75" s="124">
        <v>0.5</v>
      </c>
      <c r="D75" s="124" t="s">
        <v>116</v>
      </c>
      <c r="E75" s="124">
        <v>1.56</v>
      </c>
      <c r="F75" s="125" t="s">
        <v>117</v>
      </c>
      <c r="G75" s="126">
        <v>0.53</v>
      </c>
      <c r="H75" s="124" t="s">
        <v>167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250</v>
      </c>
      <c r="B76" s="123" t="s">
        <v>251</v>
      </c>
      <c r="C76" s="124">
        <v>0.57999999999999996</v>
      </c>
      <c r="D76" s="124" t="s">
        <v>116</v>
      </c>
      <c r="E76" s="124">
        <v>1.56</v>
      </c>
      <c r="F76" s="125" t="s">
        <v>117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253</v>
      </c>
      <c r="B77" s="123" t="s">
        <v>254</v>
      </c>
      <c r="C77" s="124">
        <v>0.37</v>
      </c>
      <c r="D77" s="124" t="s">
        <v>116</v>
      </c>
      <c r="E77" s="124">
        <v>1.3</v>
      </c>
      <c r="F77" s="125" t="s">
        <v>117</v>
      </c>
      <c r="G77" s="126">
        <v>0.55000000000000004</v>
      </c>
      <c r="H77" s="124" t="s">
        <v>140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255</v>
      </c>
      <c r="B78" s="123" t="s">
        <v>256</v>
      </c>
      <c r="C78" s="124">
        <v>0.37</v>
      </c>
      <c r="D78" s="124" t="s">
        <v>116</v>
      </c>
      <c r="E78" s="124">
        <v>1.3</v>
      </c>
      <c r="F78" s="125" t="s">
        <v>117</v>
      </c>
      <c r="G78" s="126">
        <v>0.55000000000000004</v>
      </c>
      <c r="H78" s="124" t="s">
        <v>140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257</v>
      </c>
      <c r="B79" s="123" t="s">
        <v>258</v>
      </c>
      <c r="C79" s="124">
        <v>0.38</v>
      </c>
      <c r="D79" s="124" t="s">
        <v>116</v>
      </c>
      <c r="E79" s="124">
        <v>1.3</v>
      </c>
      <c r="F79" s="125" t="s">
        <v>117</v>
      </c>
      <c r="G79" s="126">
        <v>0.55000000000000004</v>
      </c>
      <c r="H79" s="124" t="s">
        <v>132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259</v>
      </c>
      <c r="B80" s="123" t="s">
        <v>260</v>
      </c>
      <c r="C80" s="124">
        <v>0.36</v>
      </c>
      <c r="D80" s="124" t="s">
        <v>116</v>
      </c>
      <c r="E80" s="124">
        <v>1.3</v>
      </c>
      <c r="F80" s="125" t="s">
        <v>117</v>
      </c>
      <c r="G80" s="126">
        <v>0.55000000000000004</v>
      </c>
      <c r="H80" s="124" t="s">
        <v>132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261</v>
      </c>
      <c r="B81" s="123" t="s">
        <v>262</v>
      </c>
      <c r="C81" s="124">
        <v>0.37</v>
      </c>
      <c r="D81" s="124" t="s">
        <v>116</v>
      </c>
      <c r="E81" s="124">
        <v>1.56</v>
      </c>
      <c r="F81" s="125" t="s">
        <v>117</v>
      </c>
      <c r="G81" s="126">
        <v>0.43</v>
      </c>
      <c r="H81" s="124" t="s">
        <v>118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117</v>
      </c>
      <c r="G82" s="126">
        <v>0.55000000000000004</v>
      </c>
      <c r="H82" s="124" t="s">
        <v>132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266</v>
      </c>
      <c r="B83" s="123" t="s">
        <v>267</v>
      </c>
      <c r="C83" s="124">
        <v>0.34</v>
      </c>
      <c r="D83" s="124" t="s">
        <v>116</v>
      </c>
      <c r="E83" s="124">
        <v>1.3</v>
      </c>
      <c r="F83" s="125" t="s">
        <v>117</v>
      </c>
      <c r="G83" s="126">
        <v>0.55000000000000004</v>
      </c>
      <c r="H83" s="124" t="s">
        <v>132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268</v>
      </c>
      <c r="B84" s="123" t="s">
        <v>269</v>
      </c>
      <c r="C84" s="124">
        <v>0.31</v>
      </c>
      <c r="D84" s="124" t="s">
        <v>116</v>
      </c>
      <c r="E84" s="124">
        <v>1.3</v>
      </c>
      <c r="F84" s="125" t="s">
        <v>117</v>
      </c>
      <c r="G84" s="126">
        <v>0.55000000000000004</v>
      </c>
      <c r="H84" s="124" t="s">
        <v>132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270</v>
      </c>
      <c r="B85" s="123" t="s">
        <v>271</v>
      </c>
      <c r="C85" s="124">
        <v>0.43</v>
      </c>
      <c r="D85" s="124" t="s">
        <v>116</v>
      </c>
      <c r="E85" s="124">
        <v>1.56</v>
      </c>
      <c r="F85" s="125" t="s">
        <v>117</v>
      </c>
      <c r="G85" s="126">
        <v>0.53</v>
      </c>
      <c r="H85" s="124" t="s">
        <v>167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272</v>
      </c>
      <c r="B86" s="123" t="s">
        <v>273</v>
      </c>
      <c r="C86" s="124">
        <v>0.38</v>
      </c>
      <c r="D86" s="124" t="s">
        <v>116</v>
      </c>
      <c r="E86" s="124">
        <v>1.56</v>
      </c>
      <c r="F86" s="125" t="s">
        <v>117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117</v>
      </c>
      <c r="G87" s="255">
        <v>0.43</v>
      </c>
      <c r="H87" s="253" t="s">
        <v>118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278</v>
      </c>
      <c r="B88" s="130"/>
      <c r="C88" s="124">
        <v>0.42</v>
      </c>
      <c r="D88" s="124" t="s">
        <v>116</v>
      </c>
      <c r="E88" s="124">
        <v>1.3</v>
      </c>
      <c r="F88" s="125" t="s">
        <v>117</v>
      </c>
      <c r="G88" s="131"/>
      <c r="H88" s="130"/>
      <c r="I88" s="132"/>
    </row>
    <row r="89" spans="1:14" ht="15" thickBot="1" x14ac:dyDescent="0.35">
      <c r="A89" s="133" t="s">
        <v>77</v>
      </c>
      <c r="B89" s="134"/>
      <c r="C89" s="135">
        <v>0.56999999999999995</v>
      </c>
      <c r="D89" s="136" t="s">
        <v>116</v>
      </c>
      <c r="E89" s="135">
        <v>1.56</v>
      </c>
      <c r="F89" s="135" t="s">
        <v>117</v>
      </c>
      <c r="G89" s="134"/>
      <c r="H89" s="134"/>
      <c r="I89" s="137"/>
    </row>
    <row r="93" spans="1:14" x14ac:dyDescent="0.3">
      <c r="A93" s="122" t="s">
        <v>78</v>
      </c>
    </row>
    <row r="94" spans="1:14" x14ac:dyDescent="0.3">
      <c r="A94" s="122" t="s">
        <v>79</v>
      </c>
    </row>
    <row r="95" spans="1:14" x14ac:dyDescent="0.3">
      <c r="A95" s="122" t="s">
        <v>80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N26" sqref="N2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279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pubescent</v>
      </c>
      <c r="B6" s="146">
        <f>'Données projet'!D9</f>
        <v>3.0754314853556486</v>
      </c>
      <c r="C6" s="147">
        <f ca="1">IF(OR('Données projet'!B9="",'Données projet'!C9="",'Données projet'!C9=0%),0,Calculateur!S3)</f>
        <v>465.40148250851843</v>
      </c>
      <c r="D6" s="147">
        <f>IF(OR('Données projet'!B9="",'Données projet'!C9="",'Données projet'!C9=0%),0,Calculateur!T3)</f>
        <v>290.8428650572356</v>
      </c>
      <c r="E6" s="147">
        <f ca="1">MIN(C6,D6)</f>
        <v>290.8428650572356</v>
      </c>
      <c r="F6" s="147">
        <f ca="1">E6*B6</f>
        <v>894.46730448806659</v>
      </c>
      <c r="G6" s="147">
        <f ca="1">F6*(100%-'Données projet'!$C$24)*(100%-'Données projet'!$C$25)*(100%-'Données projet'!$C$26)*(100%-'Données projet'!$C$27)</f>
        <v>805.02057403925994</v>
      </c>
      <c r="H6" s="148">
        <f>IF(OR('Données projet'!B9="",'Données projet'!C9="",'Données projet'!C9=0%),0,AVERAGE(Calculateur!$AC$3:$AC$33)*B6)</f>
        <v>1.0334571720339927</v>
      </c>
      <c r="I6" s="149">
        <f>H6*(100%-'Données projet'!$C$24)*(100%-'Données projet'!$C$25)*(100%-'Données projet'!$C$26)*(100%-'Données projet'!$C$27)</f>
        <v>0.93011145483059343</v>
      </c>
      <c r="J6" s="150">
        <f>IF(OR('Données projet'!B9="",'Données projet'!C9="",'Données projet'!C9=0%),0,SUM(Calculateur!$V$3:$V$33)*VLOOKUP('Données projet'!$B$9,Paramètres!$A$1:$I$89,9,0)*B6)</f>
        <v>22.296878268828451</v>
      </c>
      <c r="K6" s="151">
        <f>J6*(100%-'Données projet'!$C$24)*(100%-'Données projet'!$C$25)*(100%-'Données projet'!$C$26)*(100%-'Données projet'!$C$27)</f>
        <v>20.067190441945606</v>
      </c>
      <c r="L6" s="152">
        <f ca="1">G6+I6+K6</f>
        <v>826.01787593603615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Cormier</v>
      </c>
      <c r="B7" s="154">
        <f>'Données projet'!D10</f>
        <v>0.61593880753138075</v>
      </c>
      <c r="C7" s="147">
        <f ca="1">IF(OR('Données projet'!B10="",'Données projet'!C10="",'Données projet'!C10=0%),0,Calculateur!AN3)</f>
        <v>489.34829722967373</v>
      </c>
      <c r="D7" s="147">
        <f>IF(OR('Données projet'!B10="",'Données projet'!C10="",'Données projet'!C10=0%),0,Calculateur!AO3)</f>
        <v>304.94365539329362</v>
      </c>
      <c r="E7" s="147">
        <f t="shared" ref="E7:E15" ca="1" si="0">MIN(C7,D7)</f>
        <v>304.94365539329362</v>
      </c>
      <c r="F7" s="147">
        <f t="shared" ref="F7:F15" ca="1" si="1">E7*B7</f>
        <v>187.82663146720557</v>
      </c>
      <c r="G7" s="147">
        <f ca="1">F7*(100%-'Données projet'!$C$24)*(100%-'Données projet'!$C$25)*(100%-'Données projet'!$C$26)*(100%-'Données projet'!$C$27)</f>
        <v>169.04396832048502</v>
      </c>
      <c r="H7" s="155">
        <f>IF(OR('Données projet'!B10="",'Données projet'!C10="",'Données projet'!C10=0%),0,AVERAGE(Calculateur!$AX$3:$AX$33)*B7)</f>
        <v>0.21971501111498318</v>
      </c>
      <c r="I7" s="149">
        <f>H7*(100%-'Données projet'!$C$24)*(100%-'Données projet'!$C$25)*(100%-'Données projet'!$C$26)*(100%-'Données projet'!$C$27)</f>
        <v>0.19774351000348486</v>
      </c>
      <c r="J7" s="150">
        <f>IF(OR('Données projet'!B10="",'Données projet'!C10="",'Données projet'!C10=0%),0,SUM(Calculateur!$AQ$3:$AQ$33)*VLOOKUP('Données projet'!$B$10,Paramètres!$A$1:$I$89,9,0)*B7)</f>
        <v>4.4655563546025103</v>
      </c>
      <c r="K7" s="151">
        <f>J7*(100%-'Données projet'!$C$24)*(100%-'Données projet'!$C$25)*(100%-'Données projet'!$C$26)*(100%-'Données projet'!$C$27)</f>
        <v>4.0190007191422596</v>
      </c>
      <c r="L7" s="152">
        <f t="shared" ref="L7:L15" ca="1" si="2">G7+I7+K7</f>
        <v>173.26071254963077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champêtre</v>
      </c>
      <c r="B8" s="154">
        <f>'Données projet'!D11</f>
        <v>0.73742154811715477</v>
      </c>
      <c r="C8" s="147">
        <f ca="1">IF(OR('Données projet'!B11="",'Données projet'!C11="",'Données projet'!C11=0%),0,Calculateur!BI3)</f>
        <v>360.3011551173708</v>
      </c>
      <c r="D8" s="147">
        <f>IF(OR('Données projet'!B11="",'Données projet'!C11="",'Données projet'!C11=0%),0,Calculateur!BJ3)</f>
        <v>388.50312617855309</v>
      </c>
      <c r="E8" s="147">
        <f t="shared" ca="1" si="0"/>
        <v>360.3011551173708</v>
      </c>
      <c r="F8" s="147">
        <f t="shared" ca="1" si="1"/>
        <v>265.6938355950507</v>
      </c>
      <c r="G8" s="147">
        <f ca="1">F8*(100%-'Données projet'!$C$24)*(100%-'Données projet'!$C$25)*(100%-'Données projet'!$C$26)*(100%-'Données projet'!$C$27)</f>
        <v>239.12445203554563</v>
      </c>
      <c r="H8" s="155">
        <f>IF(OR('Données projet'!B11="",'Données projet'!C11="",'Données projet'!C11=0%),0,AVERAGE(Calculateur!$BS$3:$BS$33)*B8)</f>
        <v>2.4012923691800463</v>
      </c>
      <c r="I8" s="149">
        <f>H8*(100%-'Données projet'!$C$24)*(100%-'Données projet'!$C$25)*(100%-'Données projet'!$C$26)*(100%-'Données projet'!$C$27)</f>
        <v>2.1611631322620419</v>
      </c>
      <c r="J8" s="150">
        <f>IF(OR('Données projet'!B11="",'Données projet'!C11="",'Données projet'!C11=0%),0,SUM(Calculateur!$BL$3:$BL$33)*VLOOKUP('Données projet'!$B$11,Paramètres!$A$1:$I$89,9,0)*B8)</f>
        <v>18.251183315899581</v>
      </c>
      <c r="K8" s="151">
        <f>J8*(100%-'Données projet'!$C$24)*(100%-'Données projet'!$C$25)*(100%-'Données projet'!$C$26)*(100%-'Données projet'!$C$27)</f>
        <v>16.426064984309622</v>
      </c>
      <c r="L8" s="152">
        <f t="shared" ca="1" si="2"/>
        <v>257.71168015211731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0.12276150627615062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0.12276150627615062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Pin laricio</v>
      </c>
      <c r="B11" s="154">
        <f>'Données projet'!D14</f>
        <v>1.8456851464435144</v>
      </c>
      <c r="C11" s="147">
        <f ca="1">IF(OR('Données projet'!B14="",'Données projet'!C14="",'Données projet'!C14=0%),0,Calculateur!DT3)</f>
        <v>350.88566459278962</v>
      </c>
      <c r="D11" s="147">
        <f>IF(OR('Données projet'!B14="",'Données projet'!C14="",'Données projet'!C14=0%),0,Calculateur!DU3)</f>
        <v>342.18151800581552</v>
      </c>
      <c r="E11" s="147">
        <f t="shared" ca="1" si="0"/>
        <v>342.18151800581552</v>
      </c>
      <c r="F11" s="147">
        <f t="shared" ca="1" si="1"/>
        <v>631.55934517082767</v>
      </c>
      <c r="G11" s="147">
        <f ca="1">F11*(100%-'Données projet'!$C$24)*(100%-'Données projet'!$C$25)*(100%-'Données projet'!$C$26)*(100%-'Données projet'!$C$27)</f>
        <v>568.40341065374491</v>
      </c>
      <c r="H11" s="155">
        <f>IF(OR('Données projet'!B14="",'Données projet'!C14="",'Données projet'!C14=0%),0,AVERAGE(Calculateur!$ED$3:$ED$33)*B11)</f>
        <v>2.65901925629854</v>
      </c>
      <c r="I11" s="149">
        <f>H11*(100%-'Données projet'!$C$24)*(100%-'Données projet'!$C$25)*(100%-'Données projet'!$C$26)*(100%-'Données projet'!$C$27)</f>
        <v>2.3931173306686859</v>
      </c>
      <c r="J11" s="150">
        <f>IF(OR('Données projet'!B14="",'Données projet'!C14="",'Données projet'!C14=0%),0,SUM(Calculateur!$DW$3:$DW$33)*VLOOKUP('Données projet'!$B$14,Paramètres!$A$1:$I$89,9,0)*B11)</f>
        <v>57.936056746861922</v>
      </c>
      <c r="K11" s="151">
        <f>J11*(100%-'Données projet'!$C$24)*(100%-'Données projet'!$C$25)*(100%-'Données projet'!$C$26)*(100%-'Données projet'!$C$27)</f>
        <v>52.142451072175731</v>
      </c>
      <c r="L11" s="152">
        <f t="shared" ca="1" si="2"/>
        <v>622.93897905658935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1979.5471167211508</v>
      </c>
      <c r="G16" s="166">
        <f t="shared" ca="1" si="3"/>
        <v>1781.5924050490355</v>
      </c>
      <c r="H16" s="167">
        <f t="shared" si="3"/>
        <v>6.3134838086275629</v>
      </c>
      <c r="I16" s="167">
        <f t="shared" si="3"/>
        <v>5.6821354277648055</v>
      </c>
      <c r="J16" s="168">
        <f t="shared" si="3"/>
        <v>102.94967468619247</v>
      </c>
      <c r="K16" s="168">
        <f t="shared" si="3"/>
        <v>92.654707217573218</v>
      </c>
      <c r="L16" s="169">
        <f t="shared" ca="1" si="3"/>
        <v>1879.9292476943733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290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pubescent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Cormier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champêtre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5" zoomScaleNormal="85" workbookViewId="0">
      <selection activeCell="S34" sqref="S33:S34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291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292</v>
      </c>
      <c r="I4" s="259"/>
      <c r="K4" s="301" t="s">
        <v>293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63</v>
      </c>
      <c r="O7" s="247"/>
      <c r="P7" s="248"/>
      <c r="Q7" s="249"/>
      <c r="R7" s="293" t="s">
        <v>294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Chêne pubescent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-1636.2631989261226</v>
      </c>
      <c r="U10" s="178">
        <f>'Données projet'!D9</f>
        <v>3.0754314853556486</v>
      </c>
      <c r="V10" s="177">
        <f>U10*T10</f>
        <v>-5032.2153603061506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Cormier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-3633.0666897961928</v>
      </c>
      <c r="U11" s="178">
        <f>'Données projet'!D10</f>
        <v>0.61593880753138075</v>
      </c>
      <c r="V11" s="177">
        <f t="shared" ref="V11" si="0">U11*T11</f>
        <v>-2237.7467645950478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champêtre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402.21323324056823</v>
      </c>
      <c r="U12" s="178">
        <f>'Données projet'!D11</f>
        <v>0.73742154811715477</v>
      </c>
      <c r="V12" s="177">
        <f t="shared" ref="V12:V19" si="1">U12*T12</f>
        <v>296.60070512946606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0.12276150627615062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15</v>
      </c>
      <c r="B14" s="174" t="str">
        <f>IF('Données projet'!$B$9="","",'Données projet'!$B$9)</f>
        <v>Chêne pubescent</v>
      </c>
      <c r="C14" s="4"/>
      <c r="D14" s="4"/>
      <c r="E14" s="4"/>
      <c r="F14" s="230"/>
      <c r="G14" s="23"/>
      <c r="H14" s="36" t="s">
        <v>82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0.12276150627615062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920.53894811126338</v>
      </c>
      <c r="U15" s="178">
        <f>'Données projet'!D14</f>
        <v>1.8456851464435144</v>
      </c>
      <c r="V15" s="177">
        <f t="shared" si="1"/>
        <v>1699.0250632516959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54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4"/>
      <c r="H16" s="190"/>
      <c r="I16" s="191"/>
      <c r="J16" s="202"/>
      <c r="K16" s="208"/>
      <c r="L16" s="301" t="s">
        <v>311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193</v>
      </c>
      <c r="C17" s="198" t="s">
        <v>193</v>
      </c>
      <c r="D17" s="197" t="s">
        <v>193</v>
      </c>
      <c r="E17" s="193">
        <v>2460</v>
      </c>
      <c r="F17" s="230"/>
      <c r="G17" s="304"/>
      <c r="J17" s="202"/>
      <c r="K17" s="208"/>
      <c r="L17" s="261" t="s">
        <v>312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4"/>
      <c r="J18" s="202"/>
      <c r="K18" s="208"/>
      <c r="L18" s="261" t="s">
        <v>308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4"/>
      <c r="H19" s="212" t="s">
        <v>82</v>
      </c>
      <c r="I19" s="212" t="s">
        <v>313</v>
      </c>
      <c r="J19" s="93"/>
      <c r="K19" s="173"/>
      <c r="L19" s="301" t="s">
        <v>314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4"/>
      <c r="H20" s="190">
        <v>0</v>
      </c>
      <c r="I20" s="191">
        <v>233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>
        <v>0</v>
      </c>
      <c r="I21" s="191">
        <v>2366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>
        <v>0</v>
      </c>
      <c r="I22" s="191">
        <v>4880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0</v>
      </c>
      <c r="C23" s="193">
        <v>8</v>
      </c>
      <c r="D23" s="182">
        <f>B23*C23</f>
        <v>0</v>
      </c>
      <c r="E23" s="193"/>
      <c r="F23" s="230"/>
      <c r="H23" s="190">
        <v>0</v>
      </c>
      <c r="I23" s="191">
        <v>2922</v>
      </c>
      <c r="K23" s="208"/>
      <c r="L23" s="303" t="s">
        <v>315</v>
      </c>
      <c r="M23" s="303"/>
      <c r="N23" s="303"/>
      <c r="O23" s="23"/>
      <c r="P23" s="23"/>
      <c r="Q23" s="234"/>
      <c r="R23" s="23"/>
      <c r="S23" s="36" t="s">
        <v>316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-87275.462379438017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29</v>
      </c>
      <c r="C24" s="193">
        <v>12</v>
      </c>
      <c r="D24" s="182">
        <f t="shared" ref="D24:D42" si="2">B24*C24</f>
        <v>348</v>
      </c>
      <c r="E24" s="193"/>
      <c r="F24" s="233"/>
      <c r="H24" s="190">
        <v>0</v>
      </c>
      <c r="I24" s="191">
        <v>1281</v>
      </c>
      <c r="K24" s="208"/>
      <c r="O24" s="23"/>
      <c r="P24" s="23"/>
      <c r="Q24" s="234"/>
      <c r="R24" s="23"/>
      <c r="S24" s="36" t="s">
        <v>317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42</v>
      </c>
      <c r="C25" s="193">
        <v>15</v>
      </c>
      <c r="D25" s="182">
        <f t="shared" si="2"/>
        <v>630</v>
      </c>
      <c r="E25" s="193"/>
      <c r="F25" s="233"/>
      <c r="H25" s="190">
        <v>2</v>
      </c>
      <c r="I25" s="191">
        <v>350</v>
      </c>
      <c r="K25" s="208"/>
      <c r="L25" s="130" t="s">
        <v>318</v>
      </c>
      <c r="M25" s="130"/>
      <c r="N25" s="130"/>
      <c r="O25" s="130"/>
      <c r="P25" s="192">
        <v>0</v>
      </c>
      <c r="Q25" s="234"/>
      <c r="R25" s="23"/>
      <c r="S25" s="186" t="s">
        <v>319</v>
      </c>
      <c r="T25" s="300">
        <f ca="1">T23-T24</f>
        <v>-87275.462379438017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42</v>
      </c>
      <c r="C26" s="193">
        <v>20</v>
      </c>
      <c r="D26" s="182">
        <f t="shared" si="2"/>
        <v>840</v>
      </c>
      <c r="E26" s="193"/>
      <c r="F26" s="233"/>
      <c r="G26" s="229"/>
      <c r="H26" s="190">
        <v>4</v>
      </c>
      <c r="I26" s="191">
        <v>350</v>
      </c>
      <c r="K26" s="208"/>
      <c r="L26" s="287" t="s">
        <v>320</v>
      </c>
      <c r="M26" s="288"/>
      <c r="N26" s="288"/>
      <c r="O26" s="288"/>
      <c r="P26" s="289"/>
      <c r="Q26" s="234"/>
      <c r="R26" s="23"/>
      <c r="S26" s="186" t="s">
        <v>321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42</v>
      </c>
      <c r="C27" s="193">
        <v>25</v>
      </c>
      <c r="D27" s="182">
        <f t="shared" si="2"/>
        <v>1050</v>
      </c>
      <c r="E27" s="193"/>
      <c r="F27" s="233"/>
      <c r="G27" s="229"/>
      <c r="H27" s="190">
        <v>5</v>
      </c>
      <c r="I27" s="191">
        <v>350</v>
      </c>
      <c r="K27" s="208"/>
      <c r="L27" s="290"/>
      <c r="M27" s="291"/>
      <c r="N27" s="291"/>
      <c r="O27" s="291"/>
      <c r="P27" s="292"/>
      <c r="Q27" s="234"/>
      <c r="R27" s="23"/>
      <c r="S27" s="296" t="s">
        <v>322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42</v>
      </c>
      <c r="C28" s="193">
        <v>30</v>
      </c>
      <c r="D28" s="182">
        <f t="shared" si="2"/>
        <v>1260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42</v>
      </c>
      <c r="C29" s="193">
        <v>35</v>
      </c>
      <c r="D29" s="182">
        <f t="shared" si="2"/>
        <v>1470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42</v>
      </c>
      <c r="C30" s="193">
        <v>40</v>
      </c>
      <c r="D30" s="182">
        <f t="shared" si="2"/>
        <v>1680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42</v>
      </c>
      <c r="C31" s="193">
        <v>50</v>
      </c>
      <c r="D31" s="182">
        <f t="shared" si="2"/>
        <v>2100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110</v>
      </c>
      <c r="B32" s="181">
        <f>'Données projet'!D45</f>
        <v>39</v>
      </c>
      <c r="C32" s="193">
        <v>60</v>
      </c>
      <c r="D32" s="182">
        <f t="shared" si="2"/>
        <v>2340</v>
      </c>
      <c r="E32" s="193"/>
      <c r="F32" s="233"/>
      <c r="G32" s="203"/>
      <c r="H32" s="190"/>
      <c r="I32" s="191"/>
      <c r="K32" s="173"/>
      <c r="N32" s="4"/>
      <c r="O32" s="85" t="s">
        <v>82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120</v>
      </c>
      <c r="B33" s="181">
        <f>'Données projet'!D46</f>
        <v>303</v>
      </c>
      <c r="C33" s="193">
        <v>180</v>
      </c>
      <c r="D33" s="182">
        <f t="shared" si="2"/>
        <v>54540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18</v>
      </c>
      <c r="B45" s="174" t="str">
        <f>IF('Données projet'!$B$10="","",'Données projet'!$B$10)</f>
        <v>Cormier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54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193</v>
      </c>
      <c r="C48" s="198" t="s">
        <v>193</v>
      </c>
      <c r="D48" s="197" t="s">
        <v>193</v>
      </c>
      <c r="E48" s="193">
        <v>4137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0</v>
      </c>
      <c r="C54" s="191">
        <v>8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100</v>
      </c>
      <c r="B62" s="181">
        <f>'Données projet'!D70</f>
        <v>42</v>
      </c>
      <c r="C62" s="191">
        <v>40</v>
      </c>
      <c r="D62" s="179">
        <f t="shared" si="4"/>
        <v>1680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110</v>
      </c>
      <c r="B63" s="181">
        <f>'Données projet'!D71</f>
        <v>39</v>
      </c>
      <c r="C63" s="191">
        <v>40</v>
      </c>
      <c r="D63" s="179">
        <f t="shared" si="4"/>
        <v>1560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120</v>
      </c>
      <c r="B64" s="181">
        <f>'Données projet'!D72</f>
        <v>303</v>
      </c>
      <c r="C64" s="191">
        <v>40</v>
      </c>
      <c r="D64" s="179">
        <f t="shared" si="4"/>
        <v>12120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20</v>
      </c>
      <c r="B76" s="174" t="str">
        <f>IF('Données projet'!B11="","",'Données projet'!B11)</f>
        <v>Erable champêtre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54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193</v>
      </c>
      <c r="C79" s="198" t="s">
        <v>193</v>
      </c>
      <c r="D79" s="197" t="s">
        <v>193</v>
      </c>
      <c r="E79" s="193">
        <v>1766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43</v>
      </c>
      <c r="C85" s="191">
        <v>20</v>
      </c>
      <c r="D85" s="179">
        <f>B85*C85</f>
        <v>860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56</v>
      </c>
      <c r="C86" s="191">
        <v>30</v>
      </c>
      <c r="D86" s="179">
        <f t="shared" ref="D86:D104" si="6">B86*C86</f>
        <v>1680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56</v>
      </c>
      <c r="C87" s="191">
        <v>40</v>
      </c>
      <c r="D87" s="179">
        <f t="shared" si="6"/>
        <v>2240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39</v>
      </c>
      <c r="C88" s="191">
        <v>50</v>
      </c>
      <c r="D88" s="179">
        <f t="shared" si="6"/>
        <v>1950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25</v>
      </c>
      <c r="C89" s="191">
        <v>60</v>
      </c>
      <c r="D89" s="179">
        <f t="shared" si="6"/>
        <v>1500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21</v>
      </c>
      <c r="C90" s="191">
        <v>70</v>
      </c>
      <c r="D90" s="179">
        <f t="shared" si="6"/>
        <v>1470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284</v>
      </c>
      <c r="C91" s="191">
        <v>70</v>
      </c>
      <c r="D91" s="179">
        <f t="shared" si="6"/>
        <v>19880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54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24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54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26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54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193</v>
      </c>
      <c r="C172" s="198" t="s">
        <v>193</v>
      </c>
      <c r="D172" s="197" t="s">
        <v>193</v>
      </c>
      <c r="E172" s="193">
        <v>1006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3</v>
      </c>
      <c r="C178" s="193">
        <v>10</v>
      </c>
      <c r="D178" s="179">
        <f>B178*C178</f>
        <v>30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30</v>
      </c>
      <c r="B179" s="181">
        <f>'Données projet'!D167</f>
        <v>70</v>
      </c>
      <c r="C179" s="193">
        <v>15</v>
      </c>
      <c r="D179" s="179">
        <f t="shared" ref="D179:D197" si="11">B179*C179</f>
        <v>1050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70</v>
      </c>
      <c r="C180" s="193">
        <v>25</v>
      </c>
      <c r="D180" s="179">
        <f t="shared" si="11"/>
        <v>1750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50</v>
      </c>
      <c r="B181" s="181">
        <f>'Données projet'!D169</f>
        <v>70</v>
      </c>
      <c r="C181" s="193">
        <v>35</v>
      </c>
      <c r="D181" s="179">
        <f t="shared" si="11"/>
        <v>2450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60</v>
      </c>
      <c r="B182" s="181">
        <f>'Données projet'!D170</f>
        <v>57</v>
      </c>
      <c r="C182" s="193">
        <v>40</v>
      </c>
      <c r="D182" s="179">
        <f t="shared" si="11"/>
        <v>2280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44</v>
      </c>
      <c r="C183" s="193">
        <v>50</v>
      </c>
      <c r="D183" s="179">
        <f t="shared" si="11"/>
        <v>2200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80</v>
      </c>
      <c r="B184" s="181">
        <f>'Données projet'!D172</f>
        <v>450</v>
      </c>
      <c r="C184" s="193">
        <v>60</v>
      </c>
      <c r="D184" s="179">
        <f t="shared" si="11"/>
        <v>27000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28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54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30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54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32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54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34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54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8" ma:contentTypeDescription="Create a new document." ma:contentTypeScope="" ma:versionID="a16aad2daf41f49b8a3825cb6a349cda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73be2c9b5d1a1f813b8ec5617ba2059e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929c3-d7c5-4e51-b5f8-f25933e16e57" xsi:nil="true"/>
    <lcf76f155ced4ddcb4097134ff3c332f xmlns="7f778677-e8d3-4866-966d-dd352b4d4b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ECEFA4-EC7C-424B-8178-22B0579D2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BC9C31-C345-4202-86F9-18F5093E1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A15ECE-87F7-4871-BDD9-BD54150DB1AE}">
  <ds:schemaRefs>
    <ds:schemaRef ds:uri="http://schemas.microsoft.com/office/2006/metadata/properties"/>
    <ds:schemaRef ds:uri="http://schemas.microsoft.com/office/infopath/2007/PartnerControls"/>
    <ds:schemaRef ds:uri="655929c3-d7c5-4e51-b5f8-f25933e16e57"/>
    <ds:schemaRef ds:uri="7f778677-e8d3-4866-966d-dd352b4d4b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Thomas ROBINET</cp:lastModifiedBy>
  <cp:revision/>
  <dcterms:created xsi:type="dcterms:W3CDTF">2021-02-01T08:22:39Z</dcterms:created>
  <dcterms:modified xsi:type="dcterms:W3CDTF">2024-03-14T15:14:34Z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0x0101004E006D02EFB7524E92A31806A20933C4</vt:lpwstr>
  </property>
  <property fmtid="{D5CDD505-2E9C-101B-9397-08002B2CF9AE}" pid="3" name="MediaServiceImageTags">
    <vt:lpwstr/>
  </property>
</Properties>
</file>