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SARL POUPART/GFR DE L'ETOILE - 15372451 CD/"/>
    </mc:Choice>
  </mc:AlternateContent>
  <xr:revisionPtr revIDLastSave="0" documentId="14_{3DCBB53E-7FE8-4051-9D35-37D325052C0C}" xr6:coauthVersionLast="47" xr6:coauthVersionMax="47" xr10:uidLastSave="{00000000-0000-0000-0000-000000000000}"/>
  <bookViews>
    <workbookView xWindow="11190" yWindow="0" windowWidth="11460" windowHeight="1441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I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HI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I156" i="2"/>
  <c r="FS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EY159" i="2"/>
  <c r="HH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B162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EB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HH164" i="2"/>
  <c r="ED163" i="2"/>
  <c r="EA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B167" i="2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HH168" i="2"/>
  <c r="DG168" i="2"/>
  <c r="EB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HJ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ED178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W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HH186" i="2"/>
  <c r="EB186" i="2"/>
  <c r="EA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D192" i="2"/>
  <c r="EB193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I194" i="2"/>
  <c r="HG194" i="2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X195" i="2"/>
  <c r="HI195" i="2"/>
  <c r="EB195" i="2"/>
  <c r="EA195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 l="1"/>
  <c r="FS201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HI202" i="2"/>
  <c r="EW202" i="2"/>
  <c r="FS202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BC126" i="2" a="1"/>
  <c r="BC126" i="2" s="1"/>
  <c r="BC65" i="2" a="1"/>
  <c r="BC65" i="2" s="1"/>
  <c r="GT51" i="2" a="1"/>
  <c r="GT51" i="2" s="1"/>
  <c r="GT122" i="2" a="1"/>
  <c r="GT122" i="2" s="1"/>
  <c r="GT121" i="2" a="1"/>
  <c r="GT121" i="2" s="1"/>
  <c r="EI142" i="2" a="1"/>
  <c r="EI142" i="2" s="1"/>
  <c r="CS52" i="2" a="1"/>
  <c r="CS52" i="2" s="1"/>
  <c r="CS129" i="2" a="1"/>
  <c r="CS129" i="2" s="1"/>
  <c r="CS137" i="2" a="1"/>
  <c r="CS137" i="2" s="1"/>
  <c r="BC130" i="2" a="1"/>
  <c r="BC130" i="2" s="1"/>
  <c r="BC55" i="2" a="1"/>
  <c r="BC55" i="2" s="1"/>
  <c r="BC84" i="2" a="1"/>
  <c r="BC84" i="2" s="1"/>
  <c r="BC31" i="2" a="1"/>
  <c r="BC31" i="2" s="1"/>
  <c r="BC143" i="2" a="1"/>
  <c r="BC143" i="2" s="1"/>
  <c r="BC83" i="2" a="1"/>
  <c r="BC83" i="2" s="1"/>
  <c r="BC18" i="2" a="1"/>
  <c r="BC18" i="2" s="1"/>
  <c r="GT74" i="2" a="1"/>
  <c r="GT74" i="2" s="1"/>
  <c r="GT126" i="2" a="1"/>
  <c r="GT126" i="2" s="1"/>
  <c r="GT38" i="2" a="1"/>
  <c r="GT38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39" i="2" a="1"/>
  <c r="EI139" i="2" s="1"/>
  <c r="EI35" i="2" a="1"/>
  <c r="EI35" i="2" s="1"/>
  <c r="DN6" i="2" a="1"/>
  <c r="DN6" i="2" s="1"/>
  <c r="DO6" i="2" s="1"/>
  <c r="HJ202" i="2"/>
  <c r="EY202" i="2"/>
  <c r="AX200" i="2"/>
  <c r="DN167" i="2" l="1" a="1"/>
  <c r="DN167" i="2" s="1"/>
  <c r="DN192" i="2" a="1"/>
  <c r="DN192" i="2" s="1"/>
  <c r="DN43" i="2" a="1"/>
  <c r="DN43" i="2" s="1"/>
  <c r="BC7" i="2" a="1"/>
  <c r="BC7" i="2" s="1"/>
  <c r="BC38" i="2" a="1"/>
  <c r="BC38" i="2" s="1"/>
  <c r="BC151" i="2" a="1"/>
  <c r="BC151" i="2" s="1"/>
  <c r="BC185" i="2" a="1"/>
  <c r="BC185" i="2" s="1"/>
  <c r="BC82" i="2" a="1"/>
  <c r="BC82" i="2" s="1"/>
  <c r="BC47" i="2" a="1"/>
  <c r="BC47" i="2" s="1"/>
  <c r="BC32" i="2" a="1"/>
  <c r="BC32" i="2" s="1"/>
  <c r="BC164" i="2" a="1"/>
  <c r="BC164" i="2" s="1"/>
  <c r="BC192" i="2" a="1"/>
  <c r="BC192" i="2" s="1"/>
  <c r="BC58" i="2" a="1"/>
  <c r="BC58" i="2" s="1"/>
  <c r="BC34" i="2" a="1"/>
  <c r="BC34" i="2" s="1"/>
  <c r="DN186" i="2" a="1"/>
  <c r="DN186" i="2" s="1"/>
  <c r="DN164" i="2" a="1"/>
  <c r="DN164" i="2" s="1"/>
  <c r="DN38" i="2" a="1"/>
  <c r="DN38" i="2" s="1"/>
  <c r="DN153" i="2" a="1"/>
  <c r="DN153" i="2" s="1"/>
  <c r="DN155" i="2" a="1"/>
  <c r="DN155" i="2" s="1"/>
  <c r="GT115" i="2" a="1"/>
  <c r="GT115" i="2" s="1"/>
  <c r="DN16" i="2" a="1"/>
  <c r="DN16" i="2" s="1"/>
  <c r="DN162" i="2" a="1"/>
  <c r="DN162" i="2" s="1"/>
  <c r="DN132" i="2" a="1"/>
  <c r="DN132" i="2" s="1"/>
  <c r="DN177" i="2" a="1"/>
  <c r="DN177" i="2" s="1"/>
  <c r="DN135" i="2" a="1"/>
  <c r="DN135" i="2" s="1"/>
  <c r="GT184" i="2" a="1"/>
  <c r="GT184" i="2" s="1"/>
  <c r="FD188" i="2" a="1"/>
  <c r="FD188" i="2" s="1"/>
  <c r="DN56" i="2" a="1"/>
  <c r="DN56" i="2" s="1"/>
  <c r="DN168" i="2" a="1"/>
  <c r="DN168" i="2" s="1"/>
  <c r="AH163" i="2" a="1"/>
  <c r="AH163" i="2" s="1"/>
  <c r="EI106" i="2" a="1"/>
  <c r="EI106" i="2" s="1"/>
  <c r="FS203" i="2"/>
  <c r="DN66" i="2" a="1"/>
  <c r="DN66" i="2" s="1"/>
  <c r="DN86" i="2" a="1"/>
  <c r="DN86" i="2" s="1"/>
  <c r="GT181" i="2" a="1"/>
  <c r="GT181" i="2" s="1"/>
  <c r="GT12" i="2" a="1"/>
  <c r="GT12" i="2" s="1"/>
  <c r="DN170" i="2" a="1"/>
  <c r="DN170" i="2" s="1"/>
  <c r="DN176" i="2" a="1"/>
  <c r="DN176" i="2" s="1"/>
  <c r="EI109" i="2" a="1"/>
  <c r="EI109" i="2" s="1"/>
  <c r="DN63" i="2" a="1"/>
  <c r="DN63" i="2" s="1"/>
  <c r="DN129" i="2" a="1"/>
  <c r="DN129" i="2" s="1"/>
  <c r="DN190" i="2" a="1"/>
  <c r="DN190" i="2" s="1"/>
  <c r="EI37" i="2" a="1"/>
  <c r="EI37" i="2" s="1"/>
  <c r="EI38" i="2" a="1"/>
  <c r="EI38" i="2" s="1"/>
  <c r="AH199" i="2" a="1"/>
  <c r="AH199" i="2" s="1"/>
  <c r="DN50" i="2" a="1"/>
  <c r="DN50" i="2" s="1"/>
  <c r="EI166" i="2" a="1"/>
  <c r="EI166" i="2" s="1"/>
  <c r="BC114" i="2" a="1"/>
  <c r="BC114" i="2" s="1"/>
  <c r="DN187" i="2" a="1"/>
  <c r="DN187" i="2" s="1"/>
  <c r="GT198" i="2" a="1"/>
  <c r="GT198" i="2" s="1"/>
  <c r="DN188" i="2" a="1"/>
  <c r="DN188" i="2" s="1"/>
  <c r="DN114" i="2" a="1"/>
  <c r="DN114" i="2" s="1"/>
  <c r="GT138" i="2" a="1"/>
  <c r="GT138" i="2" s="1"/>
  <c r="DN103" i="2" a="1"/>
  <c r="DN103" i="2" s="1"/>
  <c r="DN25" i="2" a="1"/>
  <c r="DN25" i="2" s="1"/>
  <c r="GT102" i="2" a="1"/>
  <c r="GT102" i="2" s="1"/>
  <c r="DN45" i="2" a="1"/>
  <c r="DN45" i="2" s="1"/>
  <c r="GT15" i="2" a="1"/>
  <c r="GT15" i="2" s="1"/>
  <c r="DN65" i="2" a="1"/>
  <c r="DN65" i="2" s="1"/>
  <c r="GT107" i="2" a="1"/>
  <c r="GT107" i="2" s="1"/>
  <c r="DN184" i="2" a="1"/>
  <c r="DN184" i="2" s="1"/>
  <c r="GT147" i="2" a="1"/>
  <c r="GT147" i="2" s="1"/>
  <c r="DN49" i="2" a="1"/>
  <c r="DN49" i="2" s="1"/>
  <c r="GT189" i="2" a="1"/>
  <c r="GT189" i="2" s="1"/>
  <c r="DN115" i="2" a="1"/>
  <c r="DN115" i="2" s="1"/>
  <c r="DN133" i="2" a="1"/>
  <c r="DN133" i="2" s="1"/>
  <c r="EI170" i="2" a="1"/>
  <c r="EI170" i="2" s="1"/>
  <c r="GT174" i="2" a="1"/>
  <c r="GT174" i="2" s="1"/>
  <c r="DN123" i="2" a="1"/>
  <c r="DN123" i="2" s="1"/>
  <c r="DN152" i="2" a="1"/>
  <c r="DN152" i="2" s="1"/>
  <c r="GT152" i="2" a="1"/>
  <c r="GT152" i="2" s="1"/>
  <c r="BC68" i="2" a="1"/>
  <c r="BC68" i="2" s="1"/>
  <c r="GT68" i="2" a="1"/>
  <c r="GT68" i="2" s="1"/>
  <c r="DN30" i="2" a="1"/>
  <c r="DN30" i="2" s="1"/>
  <c r="GT21" i="2" a="1"/>
  <c r="GT21" i="2" s="1"/>
  <c r="DN113" i="2" a="1"/>
  <c r="DN113" i="2" s="1"/>
  <c r="EI67" i="2" a="1"/>
  <c r="EI67" i="2" s="1"/>
  <c r="GT190" i="2" a="1"/>
  <c r="GT190" i="2" s="1"/>
  <c r="EI195" i="2" a="1"/>
  <c r="EI195" i="2" s="1"/>
  <c r="DN29" i="2" a="1"/>
  <c r="DN29" i="2" s="1"/>
  <c r="GT33" i="2" a="1"/>
  <c r="GT33" i="2" s="1"/>
  <c r="DN137" i="2" a="1"/>
  <c r="DN137" i="2" s="1"/>
  <c r="GT178" i="2" a="1"/>
  <c r="GT178" i="2" s="1"/>
  <c r="DN124" i="2" a="1"/>
  <c r="DN124" i="2" s="1"/>
  <c r="DN46" i="2" a="1"/>
  <c r="DN46" i="2" s="1"/>
  <c r="DN80" i="2" a="1"/>
  <c r="DN80" i="2" s="1"/>
  <c r="GT11" i="2" a="1"/>
  <c r="GT11" i="2" s="1"/>
  <c r="DN70" i="2" a="1"/>
  <c r="DN70" i="2" s="1"/>
  <c r="DN55" i="2" a="1"/>
  <c r="DN55" i="2" s="1"/>
  <c r="DN110" i="2" a="1"/>
  <c r="DN110" i="2" s="1"/>
  <c r="EI16" i="2" a="1"/>
  <c r="EI16" i="2" s="1"/>
  <c r="DN31" i="2" a="1"/>
  <c r="DN31" i="2" s="1"/>
  <c r="EI113" i="2" a="1"/>
  <c r="EI113" i="2" s="1"/>
  <c r="GT191" i="2" a="1"/>
  <c r="GT191" i="2" s="1"/>
  <c r="DN150" i="2" a="1"/>
  <c r="DN150" i="2" s="1"/>
  <c r="DN41" i="2" a="1"/>
  <c r="DN41" i="2" s="1"/>
  <c r="GT133" i="2" a="1"/>
  <c r="GT133" i="2" s="1"/>
  <c r="FY142" i="2" a="1"/>
  <c r="FY142" i="2" s="1"/>
  <c r="FY69" i="2" a="1"/>
  <c r="FY69" i="2" s="1"/>
  <c r="FY30" i="2" a="1"/>
  <c r="FY30" i="2" s="1"/>
  <c r="FY35" i="2" a="1"/>
  <c r="FY35" i="2" s="1"/>
  <c r="FD160" i="2" a="1"/>
  <c r="FD160" i="2" s="1"/>
  <c r="FY196" i="2" a="1"/>
  <c r="FY196" i="2" s="1"/>
  <c r="FY50" i="2" a="1"/>
  <c r="FY50" i="2" s="1"/>
  <c r="FD159" i="2" a="1"/>
  <c r="FD159" i="2" s="1"/>
  <c r="FY104" i="2" a="1"/>
  <c r="FY104" i="2" s="1"/>
  <c r="FD167" i="2" a="1"/>
  <c r="FD167" i="2" s="1"/>
  <c r="FY190" i="2" a="1"/>
  <c r="FY190" i="2" s="1"/>
  <c r="FD82" i="2" a="1"/>
  <c r="FD82" i="2" s="1"/>
  <c r="FD189" i="2" a="1"/>
  <c r="FD189" i="2" s="1"/>
  <c r="AH92" i="2" a="1"/>
  <c r="AH92" i="2" s="1"/>
  <c r="FD48" i="2" a="1"/>
  <c r="FD48" i="2" s="1"/>
  <c r="FY78" i="2" a="1"/>
  <c r="FY78" i="2" s="1"/>
  <c r="CS72" i="2" a="1"/>
  <c r="CS72" i="2" s="1"/>
  <c r="CS38" i="2" a="1"/>
  <c r="CS38" i="2" s="1"/>
  <c r="CS120" i="2" a="1"/>
  <c r="CS120" i="2" s="1"/>
  <c r="CS105" i="2" a="1"/>
  <c r="CS105" i="2" s="1"/>
  <c r="CS114" i="2" a="1"/>
  <c r="CS114" i="2" s="1"/>
  <c r="CS134" i="2" a="1"/>
  <c r="CS134" i="2" s="1"/>
  <c r="CS161" i="2" a="1"/>
  <c r="CS161" i="2" s="1"/>
  <c r="CS116" i="2" a="1"/>
  <c r="CS116" i="2" s="1"/>
  <c r="CS24" i="2" a="1"/>
  <c r="CS24" i="2" s="1"/>
  <c r="CS66" i="2" a="1"/>
  <c r="CS66" i="2" s="1"/>
  <c r="CS185" i="2" a="1"/>
  <c r="CS185" i="2" s="1"/>
  <c r="CS56" i="2" a="1"/>
  <c r="CS56" i="2" s="1"/>
  <c r="CS77" i="2" a="1"/>
  <c r="CS77" i="2" s="1"/>
  <c r="BX107" i="2" a="1"/>
  <c r="BX107" i="2" s="1"/>
  <c r="BC117" i="2" a="1"/>
  <c r="BC117" i="2" s="1"/>
  <c r="BC181" i="2" a="1"/>
  <c r="BC181" i="2" s="1"/>
  <c r="AH62" i="2" a="1"/>
  <c r="AH62" i="2" s="1"/>
  <c r="AH19" i="2" a="1"/>
  <c r="AH19" i="2" s="1"/>
  <c r="AH90" i="2" a="1"/>
  <c r="AH90" i="2" s="1"/>
  <c r="AH166" i="2" a="1"/>
  <c r="AH166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" i="2" l="1"/>
  <c r="BI52" i="2"/>
  <c r="BI47" i="2"/>
  <c r="BI71" i="2"/>
  <c r="BI28" i="2"/>
  <c r="BI82" i="2"/>
  <c r="BI21" i="2"/>
  <c r="BI17" i="2"/>
  <c r="BI114" i="2"/>
  <c r="BI39" i="2"/>
  <c r="BI16" i="2"/>
  <c r="BI50" i="2"/>
  <c r="BI61" i="2"/>
  <c r="BI139" i="2"/>
  <c r="BI168" i="2"/>
  <c r="BI12" i="2"/>
  <c r="BI15" i="2"/>
  <c r="BI58" i="2"/>
  <c r="BI113" i="2"/>
  <c r="BI10" i="2"/>
  <c r="BI97" i="2"/>
  <c r="BI180" i="2"/>
  <c r="BI19" i="2"/>
  <c r="BI89" i="2"/>
  <c r="BI194" i="2"/>
  <c r="BI146" i="2"/>
  <c r="BI109" i="2"/>
  <c r="BI85" i="2"/>
  <c r="BI80" i="2"/>
  <c r="BI162" i="2"/>
  <c r="BI119" i="2"/>
  <c r="BI62" i="2"/>
  <c r="BI96" i="2"/>
  <c r="BI115" i="2"/>
  <c r="BI163" i="2"/>
  <c r="BI40" i="2"/>
  <c r="BI69" i="2"/>
  <c r="BI55" i="2"/>
  <c r="BI141" i="2"/>
  <c r="BI45" i="2"/>
  <c r="BI23" i="2"/>
  <c r="BI66" i="2"/>
  <c r="BI36" i="2"/>
  <c r="BI63" i="2"/>
  <c r="BI121" i="2"/>
  <c r="BI143" i="2"/>
  <c r="BI116" i="2"/>
  <c r="BI6" i="2"/>
  <c r="BI106" i="2"/>
  <c r="BI135" i="2"/>
  <c r="BI93" i="2"/>
  <c r="BI56" i="2"/>
  <c r="BI37" i="2"/>
  <c r="BI100" i="2"/>
  <c r="BI99" i="2"/>
  <c r="BI7" i="2"/>
  <c r="BI196" i="2"/>
  <c r="BI11" i="2"/>
  <c r="BI24" i="2"/>
  <c r="BI75" i="2"/>
  <c r="BI160" i="2"/>
  <c r="BI13" i="2"/>
  <c r="BI142" i="2"/>
  <c r="BI176" i="2"/>
  <c r="BI3" i="2"/>
  <c r="C8" i="4" s="1"/>
  <c r="E8" i="4" s="1"/>
  <c r="F8" i="4" s="1"/>
  <c r="G8" i="4" s="1"/>
  <c r="L8" i="4" s="1"/>
  <c r="BI111" i="2"/>
  <c r="BI8" i="2"/>
  <c r="BI186" i="2"/>
  <c r="BI171" i="2"/>
  <c r="BI76" i="2"/>
  <c r="BI91" i="2"/>
  <c r="BI169" i="2"/>
  <c r="BI159" i="2"/>
  <c r="BI67" i="2"/>
  <c r="BI120" i="2"/>
  <c r="BI92" i="2"/>
  <c r="BI108" i="2"/>
  <c r="BI72" i="2"/>
  <c r="BI26" i="2"/>
  <c r="BI154" i="2"/>
  <c r="BI90" i="2"/>
  <c r="BI153" i="2"/>
  <c r="BI147" i="2"/>
  <c r="BI20" i="2"/>
  <c r="BI60" i="2"/>
  <c r="BI73" i="2"/>
  <c r="BI31" i="2"/>
  <c r="BI189" i="2"/>
  <c r="BI123" i="2"/>
  <c r="BI145" i="2"/>
  <c r="BI144" i="2"/>
  <c r="BI190" i="2"/>
  <c r="BI177" i="2"/>
  <c r="BI98" i="2"/>
  <c r="BI34" i="2"/>
  <c r="BI137" i="2"/>
  <c r="BI126" i="2"/>
  <c r="BI4" i="2"/>
  <c r="BI124" i="2"/>
  <c r="BI201" i="2"/>
  <c r="BI87" i="2"/>
  <c r="BI104" i="2"/>
  <c r="BI191" i="2"/>
  <c r="BI129" i="2"/>
  <c r="BI151" i="2"/>
  <c r="BI130" i="2"/>
  <c r="BI131" i="2"/>
  <c r="BI84" i="2"/>
  <c r="BI133" i="2"/>
  <c r="BI68" i="2"/>
  <c r="BI29" i="2"/>
  <c r="BI161" i="2"/>
  <c r="BI27" i="2"/>
  <c r="BI157" i="2"/>
  <c r="BI86" i="2"/>
  <c r="BI187" i="2"/>
  <c r="BI25" i="2"/>
  <c r="BI170" i="2"/>
  <c r="BI156" i="2"/>
  <c r="BI30" i="2"/>
  <c r="BI78" i="2"/>
  <c r="BI158" i="2"/>
  <c r="BI103" i="2"/>
  <c r="BI164" i="2"/>
  <c r="BI175" i="2"/>
  <c r="BI179" i="2"/>
  <c r="BI185" i="2"/>
  <c r="BI188" i="2"/>
  <c r="BI94" i="2"/>
  <c r="BI167" i="2"/>
  <c r="BI49" i="2"/>
  <c r="BI165" i="2"/>
  <c r="BI125" i="2"/>
  <c r="BI149" i="2"/>
  <c r="BI198" i="2"/>
  <c r="BI122" i="2"/>
  <c r="BI112" i="2"/>
  <c r="BI38" i="2"/>
  <c r="BI43" i="2"/>
  <c r="BI110" i="2"/>
  <c r="BI32" i="2"/>
  <c r="BI102" i="2"/>
  <c r="BI199" i="2"/>
  <c r="BI33" i="2"/>
  <c r="BI64" i="2"/>
  <c r="BI79" i="2"/>
  <c r="BI65" i="2"/>
  <c r="BI127" i="2"/>
  <c r="BI9" i="2"/>
  <c r="BI152" i="2"/>
  <c r="BI54" i="2"/>
  <c r="BI22" i="2"/>
  <c r="BI41" i="2"/>
  <c r="BI53" i="2"/>
  <c r="BI197" i="2"/>
  <c r="BI172" i="2"/>
  <c r="BI117" i="2"/>
  <c r="BI128" i="2"/>
  <c r="BI182" i="2"/>
  <c r="BI173" i="2"/>
  <c r="BI48" i="2"/>
  <c r="BI202" i="2"/>
  <c r="BI95" i="2"/>
  <c r="BI105" i="2"/>
  <c r="BI35" i="2"/>
  <c r="BI155" i="2"/>
  <c r="BI166" i="2"/>
  <c r="BI138" i="2"/>
  <c r="BI192" i="2"/>
  <c r="BI70" i="2"/>
  <c r="BI44" i="2"/>
  <c r="BI136" i="2"/>
  <c r="BI140" i="2"/>
  <c r="BI77" i="2"/>
  <c r="BI18" i="2"/>
  <c r="BI57" i="2"/>
  <c r="BI150" i="2"/>
  <c r="BI148" i="2"/>
  <c r="BI118" i="2"/>
  <c r="BI59" i="2"/>
  <c r="BI51" i="2"/>
  <c r="BI101" i="2"/>
  <c r="BI14" i="2"/>
  <c r="BI42" i="2"/>
  <c r="BI178" i="2"/>
  <c r="BI132" i="2"/>
  <c r="BI181" i="2"/>
  <c r="BI200" i="2"/>
  <c r="BI83" i="2"/>
  <c r="BI107" i="2"/>
  <c r="BI134" i="2"/>
  <c r="BI203" i="2"/>
  <c r="BI184" i="2"/>
  <c r="BI193" i="2"/>
  <c r="BI81" i="2"/>
  <c r="BI174" i="2"/>
  <c r="BI183" i="2"/>
  <c r="BI195" i="2"/>
  <c r="BI88" i="2"/>
  <c r="BI46" i="2"/>
  <c r="BI7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<sst xmlns="http://schemas.openxmlformats.org/spreadsheetml/2006/main" count="1175" uniqueCount="324">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</sst>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1.8340150112921325</c:v>
                </c:pt>
                <c:pt idx="2">
                  <c:v>2.2635746877986107</c:v>
                </c:pt>
                <c:pt idx="3">
                  <c:v>2.7941377551484141</c:v>
                </c:pt>
                <c:pt idx="4">
                  <c:v>3.4495406800833108</c:v>
                </c:pt>
                <c:pt idx="5">
                  <c:v>4.2592645881056876</c:v>
                </c:pt>
                <c:pt idx="6">
                  <c:v>5.2597762271385653</c:v>
                </c:pt>
                <c:pt idx="7">
                  <c:v>6.4961884326745478</c:v>
                </c:pt>
                <c:pt idx="8">
                  <c:v>8.0243164252012509</c:v>
                </c:pt>
                <c:pt idx="9">
                  <c:v>9.9132245514802069</c:v>
                </c:pt>
                <c:pt idx="10">
                  <c:v>12.24838074997974</c:v>
                </c:pt>
                <c:pt idx="11">
                  <c:v>15.135564132782603</c:v>
                </c:pt>
                <c:pt idx="12">
                  <c:v>18.705705941261318</c:v>
                </c:pt>
                <c:pt idx="13">
                  <c:v>23.120887376057397</c:v>
                </c:pt>
                <c:pt idx="14">
                  <c:v>28.581771440603955</c:v>
                </c:pt>
                <c:pt idx="15">
                  <c:v>35.336812475282024</c:v>
                </c:pt>
                <c:pt idx="16">
                  <c:v>43.69366960399875</c:v>
                </c:pt>
                <c:pt idx="17">
                  <c:v>54.033352724163592</c:v>
                </c:pt>
                <c:pt idx="18">
                  <c:v>66.827756733551283</c:v>
                </c:pt>
                <c:pt idx="19">
                  <c:v>82.66139734849844</c:v>
                </c:pt>
                <c:pt idx="20">
                  <c:v>102.25835750828095</c:v>
                </c:pt>
                <c:pt idx="21">
                  <c:v>126.51569614450671</c:v>
                </c:pt>
                <c:pt idx="22">
                  <c:v>156.54487240058646</c:v>
                </c:pt>
                <c:pt idx="23">
                  <c:v>106.96692108593372</c:v>
                </c:pt>
                <c:pt idx="24">
                  <c:v>120.95564153058216</c:v>
                </c:pt>
                <c:pt idx="25">
                  <c:v>134.90495072032272</c:v>
                </c:pt>
                <c:pt idx="26">
                  <c:v>148.81950279003311</c:v>
                </c:pt>
                <c:pt idx="27">
                  <c:v>162.70300826709769</c:v>
                </c:pt>
                <c:pt idx="28">
                  <c:v>176.5584914596017</c:v>
                </c:pt>
                <c:pt idx="29">
                  <c:v>190.38846248557618</c:v>
                </c:pt>
                <c:pt idx="30">
                  <c:v>165.3825821496105</c:v>
                </c:pt>
                <c:pt idx="31">
                  <c:v>179.34274553937902</c:v>
                </c:pt>
                <c:pt idx="32">
                  <c:v>193.27745115315039</c:v>
                </c:pt>
                <c:pt idx="33">
                  <c:v>207.18879381308082</c:v>
                </c:pt>
                <c:pt idx="34">
                  <c:v>221.07856377109297</c:v>
                </c:pt>
                <c:pt idx="35">
                  <c:v>234.94830776225035</c:v>
                </c:pt>
                <c:pt idx="36">
                  <c:v>248.79937486067431</c:v>
                </c:pt>
                <c:pt idx="37">
                  <c:v>210.35158508816161</c:v>
                </c:pt>
                <c:pt idx="38">
                  <c:v>223.53967951327229</c:v>
                </c:pt>
                <c:pt idx="39">
                  <c:v>236.70993852348718</c:v>
                </c:pt>
                <c:pt idx="40">
                  <c:v>249.86349463190712</c:v>
                </c:pt>
                <c:pt idx="41">
                  <c:v>263.00135130282052</c:v>
                </c:pt>
                <c:pt idx="42">
                  <c:v>276.12440350696301</c:v>
                </c:pt>
                <c:pt idx="43">
                  <c:v>289.2334541608414</c:v>
                </c:pt>
                <c:pt idx="44">
                  <c:v>302.32922742731336</c:v>
                </c:pt>
                <c:pt idx="45">
                  <c:v>261.76489509345396</c:v>
                </c:pt>
                <c:pt idx="46">
                  <c:v>273.75842990548449</c:v>
                </c:pt>
                <c:pt idx="47">
                  <c:v>285.74015837569948</c:v>
                </c:pt>
                <c:pt idx="48">
                  <c:v>297.71064553379699</c:v>
                </c:pt>
                <c:pt idx="49">
                  <c:v>309.67040724053271</c:v>
                </c:pt>
                <c:pt idx="50">
                  <c:v>321.61991624074835</c:v>
                </c:pt>
                <c:pt idx="51">
                  <c:v>333.55960726930664</c:v>
                </c:pt>
                <c:pt idx="52">
                  <c:v>345.48988138741856</c:v>
                </c:pt>
                <c:pt idx="53">
                  <c:v>299.0675950542954</c:v>
                </c:pt>
                <c:pt idx="54">
                  <c:v>309.71937616585905</c:v>
                </c:pt>
                <c:pt idx="55">
                  <c:v>320.3630256653193</c:v>
                </c:pt>
                <c:pt idx="56">
                  <c:v>330.99885193213481</c:v>
                </c:pt>
                <c:pt idx="57">
                  <c:v>341.62714190017272</c:v>
                </c:pt>
                <c:pt idx="58">
                  <c:v>352.24816318425172</c:v>
                </c:pt>
                <c:pt idx="59">
                  <c:v>362.86216593670116</c:v>
                </c:pt>
                <c:pt idx="60">
                  <c:v>373.46938447527174</c:v>
                </c:pt>
                <c:pt idx="61">
                  <c:v>331.59782657284046</c:v>
                </c:pt>
                <c:pt idx="62">
                  <c:v>340.98274989720727</c:v>
                </c:pt>
                <c:pt idx="63">
                  <c:v>350.36199374731854</c:v>
                </c:pt>
                <c:pt idx="64">
                  <c:v>359.73573169113524</c:v>
                </c:pt>
                <c:pt idx="65">
                  <c:v>369.10412750783712</c:v>
                </c:pt>
                <c:pt idx="66">
                  <c:v>378.46733597971593</c:v>
                </c:pt>
                <c:pt idx="67">
                  <c:v>387.82550360158558</c:v>
                </c:pt>
                <c:pt idx="68">
                  <c:v>397.17876921811938</c:v>
                </c:pt>
                <c:pt idx="69">
                  <c:v>406.52726459800027</c:v>
                </c:pt>
                <c:pt idx="70">
                  <c:v>415.87111495248774</c:v>
                </c:pt>
                <c:pt idx="71">
                  <c:v>362.48580504603615</c:v>
                </c:pt>
                <c:pt idx="72">
                  <c:v>370.55283418575391</c:v>
                </c:pt>
                <c:pt idx="73">
                  <c:v>378.61603339637418</c:v>
                </c:pt>
                <c:pt idx="74">
                  <c:v>386.67549580170504</c:v>
                </c:pt>
                <c:pt idx="75">
                  <c:v>394.73131032426704</c:v>
                </c:pt>
                <c:pt idx="76">
                  <c:v>402.78356195858669</c:v>
                </c:pt>
                <c:pt idx="77">
                  <c:v>410.83233202148546</c:v>
                </c:pt>
                <c:pt idx="78">
                  <c:v>418.87769838172511</c:v>
                </c:pt>
                <c:pt idx="79">
                  <c:v>426.91973567108079</c:v>
                </c:pt>
                <c:pt idx="80">
                  <c:v>434.95851547867778</c:v>
                </c:pt>
                <c:pt idx="81">
                  <c:v>392.88758435684031</c:v>
                </c:pt>
                <c:pt idx="82">
                  <c:v>399.85964030052088</c:v>
                </c:pt>
                <c:pt idx="83">
                  <c:v>406.82906501896417</c:v>
                </c:pt>
                <c:pt idx="84">
                  <c:v>413.79590998014214</c:v>
                </c:pt>
                <c:pt idx="85">
                  <c:v>420.76022477629539</c:v>
                </c:pt>
                <c:pt idx="86">
                  <c:v>427.72205722289249</c:v>
                </c:pt>
                <c:pt idx="87">
                  <c:v>434.68145345081075</c:v>
                </c:pt>
                <c:pt idx="88">
                  <c:v>441.63845799230126</c:v>
                </c:pt>
                <c:pt idx="89">
                  <c:v>448.59311386125245</c:v>
                </c:pt>
                <c:pt idx="90">
                  <c:v>455.54546262821646</c:v>
                </c:pt>
                <c:pt idx="91">
                  <c:v>411.90905455115353</c:v>
                </c:pt>
                <c:pt idx="92">
                  <c:v>417.93393442153751</c:v>
                </c:pt>
                <c:pt idx="93">
                  <c:v>423.95694259050856</c:v>
                </c:pt>
                <c:pt idx="94">
                  <c:v>429.97810942195616</c:v>
                </c:pt>
                <c:pt idx="95">
                  <c:v>435.99746435931007</c:v>
                </c:pt>
                <c:pt idx="96">
                  <c:v>442.0150359660492</c:v>
                </c:pt>
                <c:pt idx="97">
                  <c:v>448.03085196388651</c:v>
                </c:pt>
                <c:pt idx="98">
                  <c:v>454.04493926879871</c:v>
                </c:pt>
                <c:pt idx="99">
                  <c:v>460.05732402504208</c:v>
                </c:pt>
                <c:pt idx="100">
                  <c:v>466.06803163730052</c:v>
                </c:pt>
                <c:pt idx="101">
                  <c:v>197.48655501779618</c:v>
                </c:pt>
                <c:pt idx="102">
                  <c:v>200.56150387360753</c:v>
                </c:pt>
                <c:pt idx="103">
                  <c:v>203.63536001964982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1.1479655194098737E-11</c:v>
                </c:pt>
                <c:pt idx="163">
                  <c:v>1.1479655194098737E-11</c:v>
                </c:pt>
                <c:pt idx="164">
                  <c:v>1.1479655194098737E-11</c:v>
                </c:pt>
                <c:pt idx="165">
                  <c:v>1.1479655194098737E-11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10.456419929936711</c:v>
                </c:pt>
                <c:pt idx="2">
                  <c:v>20.459167029721723</c:v>
                </c:pt>
                <c:pt idx="3">
                  <c:v>30.315400578319224</c:v>
                </c:pt>
                <c:pt idx="4">
                  <c:v>40.081319764970452</c:v>
                </c:pt>
                <c:pt idx="5">
                  <c:v>49.782395904570798</c:v>
                </c:pt>
                <c:pt idx="6">
                  <c:v>59.433158898593696</c:v>
                </c:pt>
                <c:pt idx="7">
                  <c:v>69.042975612712198</c:v>
                </c:pt>
                <c:pt idx="8">
                  <c:v>78.618370438671249</c:v>
                </c:pt>
                <c:pt idx="9">
                  <c:v>88.164138887400284</c:v>
                </c:pt>
                <c:pt idx="10">
                  <c:v>97.683948283117005</c:v>
                </c:pt>
                <c:pt idx="11">
                  <c:v>107.18069004154528</c:v>
                </c:pt>
                <c:pt idx="12">
                  <c:v>116.6566997133511</c:v>
                </c:pt>
                <c:pt idx="13">
                  <c:v>126.1139013935974</c:v>
                </c:pt>
                <c:pt idx="14">
                  <c:v>135.55390634718643</c:v>
                </c:pt>
                <c:pt idx="15">
                  <c:v>144.97808261519626</c:v>
                </c:pt>
                <c:pt idx="16">
                  <c:v>154.3876055137076</c:v>
                </c:pt>
                <c:pt idx="17">
                  <c:v>163.78349514065653</c:v>
                </c:pt>
                <c:pt idx="18">
                  <c:v>173.16664480291877</c:v>
                </c:pt>
                <c:pt idx="19">
                  <c:v>182.53784294515813</c:v>
                </c:pt>
                <c:pt idx="20">
                  <c:v>191.89779033037416</c:v>
                </c:pt>
                <c:pt idx="21">
                  <c:v>201.24711368669179</c:v>
                </c:pt>
                <c:pt idx="22">
                  <c:v>210.58637668111251</c:v>
                </c:pt>
                <c:pt idx="23">
                  <c:v>219.91608884163847</c:v>
                </c:pt>
                <c:pt idx="24">
                  <c:v>229.2367128839384</c:v>
                </c:pt>
                <c:pt idx="25">
                  <c:v>238.54867078249427</c:v>
                </c:pt>
                <c:pt idx="26">
                  <c:v>247.85234884302153</c:v>
                </c:pt>
                <c:pt idx="27">
                  <c:v>257.14810197256651</c:v>
                </c:pt>
                <c:pt idx="28">
                  <c:v>266.43625729921371</c:v>
                </c:pt>
                <c:pt idx="29">
                  <c:v>275.71711726016053</c:v>
                </c:pt>
                <c:pt idx="30">
                  <c:v>284.99096225188504</c:v>
                </c:pt>
                <c:pt idx="31">
                  <c:v>294.25805291702977</c:v>
                </c:pt>
                <c:pt idx="32">
                  <c:v>303.51863212791704</c:v>
                </c:pt>
                <c:pt idx="33">
                  <c:v>312.77292671515772</c:v>
                </c:pt>
                <c:pt idx="34">
                  <c:v>322.02114898084585</c:v>
                </c:pt>
                <c:pt idx="35">
                  <c:v>331.26349802872716</c:v>
                </c:pt>
                <c:pt idx="36">
                  <c:v>340.50016093807625</c:v>
                </c:pt>
                <c:pt idx="37">
                  <c:v>349.73131380347536</c:v>
                </c:pt>
                <c:pt idx="38">
                  <c:v>358.95712265902421</c:v>
                </c:pt>
                <c:pt idx="39">
                  <c:v>216.41332970439461</c:v>
                </c:pt>
                <c:pt idx="40">
                  <c:v>239.17720708947249</c:v>
                </c:pt>
                <c:pt idx="41">
                  <c:v>261.89173640603332</c:v>
                </c:pt>
                <c:pt idx="42">
                  <c:v>284.56179835243455</c:v>
                </c:pt>
                <c:pt idx="43">
                  <c:v>307.1914321187167</c:v>
                </c:pt>
                <c:pt idx="44">
                  <c:v>329.78403311245108</c:v>
                </c:pt>
                <c:pt idx="45">
                  <c:v>352.3424935764595</c:v>
                </c:pt>
                <c:pt idx="46">
                  <c:v>279.36746368278273</c:v>
                </c:pt>
                <c:pt idx="47">
                  <c:v>302.4407068263049</c:v>
                </c:pt>
                <c:pt idx="48">
                  <c:v>325.47478505586827</c:v>
                </c:pt>
                <c:pt idx="49">
                  <c:v>348.47285814544199</c:v>
                </c:pt>
                <c:pt idx="50">
                  <c:v>371.43763484501079</c:v>
                </c:pt>
                <c:pt idx="51">
                  <c:v>394.3714617444582</c:v>
                </c:pt>
                <c:pt idx="52">
                  <c:v>417.27639037381169</c:v>
                </c:pt>
                <c:pt idx="53">
                  <c:v>338.09991414791068</c:v>
                </c:pt>
                <c:pt idx="54">
                  <c:v>360.80716410152644</c:v>
                </c:pt>
                <c:pt idx="55">
                  <c:v>383.48317271005044</c:v>
                </c:pt>
                <c:pt idx="56">
                  <c:v>406.13004575875283</c:v>
                </c:pt>
                <c:pt idx="57">
                  <c:v>428.74963514762658</c:v>
                </c:pt>
                <c:pt idx="58">
                  <c:v>451.34358155451793</c:v>
                </c:pt>
                <c:pt idx="59">
                  <c:v>473.91334810944858</c:v>
                </c:pt>
                <c:pt idx="60">
                  <c:v>400.6124929737191</c:v>
                </c:pt>
                <c:pt idx="61">
                  <c:v>422.94030373624128</c:v>
                </c:pt>
                <c:pt idx="62">
                  <c:v>445.24275110321702</c:v>
                </c:pt>
                <c:pt idx="63">
                  <c:v>467.52128319675768</c:v>
                </c:pt>
                <c:pt idx="64">
                  <c:v>489.77719896917915</c:v>
                </c:pt>
                <c:pt idx="65">
                  <c:v>512.01166978636945</c:v>
                </c:pt>
                <c:pt idx="66">
                  <c:v>534.22575706797772</c:v>
                </c:pt>
                <c:pt idx="67">
                  <c:v>556.42042684202681</c:v>
                </c:pt>
                <c:pt idx="68">
                  <c:v>481.48157884405776</c:v>
                </c:pt>
                <c:pt idx="69">
                  <c:v>503.50450353369575</c:v>
                </c:pt>
                <c:pt idx="70">
                  <c:v>525.50705871911032</c:v>
                </c:pt>
                <c:pt idx="71">
                  <c:v>547.49021645825394</c:v>
                </c:pt>
                <c:pt idx="72">
                  <c:v>569.45486445269285</c:v>
                </c:pt>
                <c:pt idx="73">
                  <c:v>591.40181640504818</c:v>
                </c:pt>
                <c:pt idx="74">
                  <c:v>613.3318207599699</c:v>
                </c:pt>
                <c:pt idx="75">
                  <c:v>635.24556813081563</c:v>
                </c:pt>
                <c:pt idx="76">
                  <c:v>557.9303011671384</c:v>
                </c:pt>
                <c:pt idx="77">
                  <c:v>579.49437061279025</c:v>
                </c:pt>
                <c:pt idx="78">
                  <c:v>601.0417083219902</c:v>
                </c:pt>
                <c:pt idx="79">
                  <c:v>622.57299794008793</c:v>
                </c:pt>
                <c:pt idx="80">
                  <c:v>644.08887201809068</c:v>
                </c:pt>
                <c:pt idx="81">
                  <c:v>665.58991744488594</c:v>
                </c:pt>
                <c:pt idx="82">
                  <c:v>687.07668014164062</c:v>
                </c:pt>
                <c:pt idx="83">
                  <c:v>708.54966913897795</c:v>
                </c:pt>
                <c:pt idx="84">
                  <c:v>616.28352096154731</c:v>
                </c:pt>
                <c:pt idx="85">
                  <c:v>637.3280408187228</c:v>
                </c:pt>
                <c:pt idx="86">
                  <c:v>658.35820887283887</c:v>
                </c:pt>
                <c:pt idx="87">
                  <c:v>679.37454761631727</c:v>
                </c:pt>
                <c:pt idx="88">
                  <c:v>700.3775446144391</c:v>
                </c:pt>
                <c:pt idx="89">
                  <c:v>721.36765583853776</c:v>
                </c:pt>
                <c:pt idx="90">
                  <c:v>742.34530859144991</c:v>
                </c:pt>
                <c:pt idx="91">
                  <c:v>763.31090408544162</c:v>
                </c:pt>
                <c:pt idx="92">
                  <c:v>784.2648197224903</c:v>
                </c:pt>
                <c:pt idx="93">
                  <c:v>805.2074111184703</c:v>
                </c:pt>
                <c:pt idx="94">
                  <c:v>672.99221629850854</c:v>
                </c:pt>
                <c:pt idx="95">
                  <c:v>693.37648961420962</c:v>
                </c:pt>
                <c:pt idx="96">
                  <c:v>713.74849014684048</c:v>
                </c:pt>
                <c:pt idx="97">
                  <c:v>734.10861712397957</c:v>
                </c:pt>
                <c:pt idx="98">
                  <c:v>754.45724584792481</c:v>
                </c:pt>
                <c:pt idx="99">
                  <c:v>774.79472974909584</c:v>
                </c:pt>
                <c:pt idx="100">
                  <c:v>795.1214022128637</c:v>
                </c:pt>
                <c:pt idx="101">
                  <c:v>815.43757821007432</c:v>
                </c:pt>
                <c:pt idx="102">
                  <c:v>835.74355575682057</c:v>
                </c:pt>
                <c:pt idx="103">
                  <c:v>856.03961722513759</c:v>
                </c:pt>
                <c:pt idx="104">
                  <c:v>722.77047081753142</c:v>
                </c:pt>
                <c:pt idx="105">
                  <c:v>742.57144072777692</c:v>
                </c:pt>
                <c:pt idx="106">
                  <c:v>762.36167151861753</c:v>
                </c:pt>
                <c:pt idx="107">
                  <c:v>782.14148090873778</c:v>
                </c:pt>
                <c:pt idx="108">
                  <c:v>801.91116925557162</c:v>
                </c:pt>
                <c:pt idx="109">
                  <c:v>821.67102091720653</c:v>
                </c:pt>
                <c:pt idx="110">
                  <c:v>841.42130547662589</c:v>
                </c:pt>
                <c:pt idx="111">
                  <c:v>861.16227884517014</c:v>
                </c:pt>
                <c:pt idx="112">
                  <c:v>880.89418425967813</c:v>
                </c:pt>
                <c:pt idx="113">
                  <c:v>900.61725318575793</c:v>
                </c:pt>
                <c:pt idx="114">
                  <c:v>765.32229398494985</c:v>
                </c:pt>
                <c:pt idx="115">
                  <c:v>784.98311437515633</c:v>
                </c:pt>
                <c:pt idx="116">
                  <c:v>804.63397494404364</c:v>
                </c:pt>
                <c:pt idx="117">
                  <c:v>824.27515289823998</c:v>
                </c:pt>
                <c:pt idx="118">
                  <c:v>843.90691117254892</c:v>
                </c:pt>
                <c:pt idx="119">
                  <c:v>863.52949948630805</c:v>
                </c:pt>
                <c:pt idx="120">
                  <c:v>883.14315529885516</c:v>
                </c:pt>
                <c:pt idx="121">
                  <c:v>902.74810467581119</c:v>
                </c:pt>
                <c:pt idx="122">
                  <c:v>922.34456307629682</c:v>
                </c:pt>
                <c:pt idx="123">
                  <c:v>941.93273606986043</c:v>
                </c:pt>
                <c:pt idx="124">
                  <c:v>491.57338077028345</c:v>
                </c:pt>
                <c:pt idx="125">
                  <c:v>502.63253330701883</c:v>
                </c:pt>
                <c:pt idx="126">
                  <c:v>348.67801506682321</c:v>
                </c:pt>
                <c:pt idx="127">
                  <c:v>356.31618749430459</c:v>
                </c:pt>
                <c:pt idx="128">
                  <c:v>255.82716222376891</c:v>
                </c:pt>
                <c:pt idx="129">
                  <c:v>261.46337808167078</c:v>
                </c:pt>
                <c:pt idx="130">
                  <c:v>267.09685096483059</c:v>
                </c:pt>
                <c:pt idx="131">
                  <c:v>6.88254062580301E-12</c:v>
                </c:pt>
                <c:pt idx="132">
                  <c:v>6.88254062580301E-12</c:v>
                </c:pt>
                <c:pt idx="133">
                  <c:v>6.88254062580301E-12</c:v>
                </c:pt>
                <c:pt idx="134">
                  <c:v>6.88254062580301E-12</c:v>
                </c:pt>
                <c:pt idx="135">
                  <c:v>6.88254062580301E-12</c:v>
                </c:pt>
                <c:pt idx="136">
                  <c:v>6.88254062580301E-12</c:v>
                </c:pt>
                <c:pt idx="137">
                  <c:v>6.88254062580301E-12</c:v>
                </c:pt>
                <c:pt idx="138">
                  <c:v>6.88254062580301E-12</c:v>
                </c:pt>
                <c:pt idx="139">
                  <c:v>6.88254062580301E-12</c:v>
                </c:pt>
                <c:pt idx="140">
                  <c:v>6.88254062580301E-12</c:v>
                </c:pt>
                <c:pt idx="141">
                  <c:v>6.88254062580301E-12</c:v>
                </c:pt>
                <c:pt idx="142">
                  <c:v>6.88254062580301E-12</c:v>
                </c:pt>
                <c:pt idx="143">
                  <c:v>6.88254062580301E-12</c:v>
                </c:pt>
                <c:pt idx="144">
                  <c:v>6.88254062580301E-12</c:v>
                </c:pt>
                <c:pt idx="145">
                  <c:v>6.88254062580301E-12</c:v>
                </c:pt>
                <c:pt idx="146">
                  <c:v>6.88254062580301E-12</c:v>
                </c:pt>
                <c:pt idx="147">
                  <c:v>6.88254062580301E-12</c:v>
                </c:pt>
                <c:pt idx="148">
                  <c:v>6.88254062580301E-12</c:v>
                </c:pt>
                <c:pt idx="149">
                  <c:v>6.88254062580301E-12</c:v>
                </c:pt>
                <c:pt idx="150">
                  <c:v>6.88254062580301E-12</c:v>
                </c:pt>
                <c:pt idx="151">
                  <c:v>6.88254062580301E-12</c:v>
                </c:pt>
                <c:pt idx="152">
                  <c:v>6.88254062580301E-12</c:v>
                </c:pt>
                <c:pt idx="153">
                  <c:v>6.88254062580301E-12</c:v>
                </c:pt>
                <c:pt idx="154">
                  <c:v>6.88254062580301E-12</c:v>
                </c:pt>
                <c:pt idx="155">
                  <c:v>6.88254062580301E-12</c:v>
                </c:pt>
                <c:pt idx="156">
                  <c:v>6.88254062580301E-12</c:v>
                </c:pt>
                <c:pt idx="157">
                  <c:v>6.88254062580301E-12</c:v>
                </c:pt>
                <c:pt idx="158">
                  <c:v>6.88254062580301E-12</c:v>
                </c:pt>
                <c:pt idx="159">
                  <c:v>6.88254062580301E-12</c:v>
                </c:pt>
                <c:pt idx="160">
                  <c:v>6.88254062580301E-12</c:v>
                </c:pt>
                <c:pt idx="161">
                  <c:v>6.88254062580301E-12</c:v>
                </c:pt>
                <c:pt idx="162">
                  <c:v>6.88254062580301E-12</c:v>
                </c:pt>
                <c:pt idx="163">
                  <c:v>6.88254062580301E-12</c:v>
                </c:pt>
                <c:pt idx="164">
                  <c:v>6.88254062580301E-12</c:v>
                </c:pt>
                <c:pt idx="165">
                  <c:v>6.88254062580301E-12</c:v>
                </c:pt>
                <c:pt idx="166">
                  <c:v>6.88254062580301E-12</c:v>
                </c:pt>
                <c:pt idx="167">
                  <c:v>6.88254062580301E-12</c:v>
                </c:pt>
                <c:pt idx="168">
                  <c:v>6.88254062580301E-12</c:v>
                </c:pt>
                <c:pt idx="169">
                  <c:v>6.88254062580301E-12</c:v>
                </c:pt>
                <c:pt idx="170">
                  <c:v>6.88254062580301E-12</c:v>
                </c:pt>
                <c:pt idx="171">
                  <c:v>6.88254062580301E-12</c:v>
                </c:pt>
                <c:pt idx="172">
                  <c:v>6.88254062580301E-12</c:v>
                </c:pt>
                <c:pt idx="173">
                  <c:v>6.88254062580301E-12</c:v>
                </c:pt>
                <c:pt idx="174">
                  <c:v>6.88254062580301E-12</c:v>
                </c:pt>
                <c:pt idx="175">
                  <c:v>6.88254062580301E-12</c:v>
                </c:pt>
                <c:pt idx="176">
                  <c:v>6.88254062580301E-12</c:v>
                </c:pt>
                <c:pt idx="177">
                  <c:v>6.88254062580301E-12</c:v>
                </c:pt>
                <c:pt idx="178">
                  <c:v>6.88254062580301E-12</c:v>
                </c:pt>
                <c:pt idx="179">
                  <c:v>6.88254062580301E-12</c:v>
                </c:pt>
                <c:pt idx="180">
                  <c:v>6.88254062580301E-12</c:v>
                </c:pt>
                <c:pt idx="181">
                  <c:v>6.88254062580301E-12</c:v>
                </c:pt>
                <c:pt idx="182">
                  <c:v>6.88254062580301E-12</c:v>
                </c:pt>
                <c:pt idx="183">
                  <c:v>6.88254062580301E-12</c:v>
                </c:pt>
                <c:pt idx="184">
                  <c:v>6.88254062580301E-12</c:v>
                </c:pt>
                <c:pt idx="185">
                  <c:v>6.88254062580301E-12</c:v>
                </c:pt>
                <c:pt idx="186">
                  <c:v>6.88254062580301E-12</c:v>
                </c:pt>
                <c:pt idx="187">
                  <c:v>6.88254062580301E-12</c:v>
                </c:pt>
                <c:pt idx="188">
                  <c:v>6.88254062580301E-12</c:v>
                </c:pt>
                <c:pt idx="189">
                  <c:v>6.88254062580301E-12</c:v>
                </c:pt>
                <c:pt idx="190">
                  <c:v>6.88254062580301E-12</c:v>
                </c:pt>
                <c:pt idx="191">
                  <c:v>6.88254062580301E-12</c:v>
                </c:pt>
                <c:pt idx="192">
                  <c:v>6.88254062580301E-12</c:v>
                </c:pt>
                <c:pt idx="193">
                  <c:v>6.88254062580301E-12</c:v>
                </c:pt>
                <c:pt idx="194">
                  <c:v>6.88254062580301E-12</c:v>
                </c:pt>
                <c:pt idx="195">
                  <c:v>6.88254062580301E-12</c:v>
                </c:pt>
                <c:pt idx="196">
                  <c:v>6.88254062580301E-12</c:v>
                </c:pt>
                <c:pt idx="197">
                  <c:v>6.88254062580301E-12</c:v>
                </c:pt>
                <c:pt idx="198">
                  <c:v>6.88254062580301E-12</c:v>
                </c:pt>
                <c:pt idx="199">
                  <c:v>6.88254062580301E-12</c:v>
                </c:pt>
                <c:pt idx="200">
                  <c:v>6.88254062580301E-12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1.8421530609001227</c:v>
                </c:pt>
                <c:pt idx="2">
                  <c:v>2.5574917152907606</c:v>
                </c:pt>
                <c:pt idx="3">
                  <c:v>3.5518145020762506</c:v>
                </c:pt>
                <c:pt idx="4">
                  <c:v>4.9343691822789104</c:v>
                </c:pt>
                <c:pt idx="5">
                  <c:v>6.8573460890916209</c:v>
                </c:pt>
                <c:pt idx="6">
                  <c:v>9.53281683628175</c:v>
                </c:pt>
                <c:pt idx="7">
                  <c:v>13.256375936724078</c:v>
                </c:pt>
                <c:pt idx="8">
                  <c:v>18.440145528094401</c:v>
                </c:pt>
                <c:pt idx="9">
                  <c:v>25.65886195477302</c:v>
                </c:pt>
                <c:pt idx="10">
                  <c:v>35.71424373307714</c:v>
                </c:pt>
                <c:pt idx="11">
                  <c:v>49.72491220504682</c:v>
                </c:pt>
                <c:pt idx="12">
                  <c:v>69.252035329983002</c:v>
                </c:pt>
                <c:pt idx="13">
                  <c:v>96.474922646107927</c:v>
                </c:pt>
                <c:pt idx="14">
                  <c:v>134.4364792478531</c:v>
                </c:pt>
                <c:pt idx="15">
                  <c:v>187.38637846264359</c:v>
                </c:pt>
                <c:pt idx="16">
                  <c:v>261.26094728673496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Normal="100" workbookViewId="0">
      <selection activeCell="B9" sqref="B9:C14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8.35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41</v>
      </c>
      <c r="C9" s="32">
        <v>0.06</v>
      </c>
      <c r="D9" s="33">
        <f t="shared" ref="D9:D18" si="0">C9*$C$5</f>
        <v>0.501</v>
      </c>
      <c r="E9" s="34">
        <v>103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35</v>
      </c>
      <c r="C10" s="32">
        <v>0.14000000000000001</v>
      </c>
      <c r="D10" s="33">
        <f t="shared" si="0"/>
        <v>1.169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14</v>
      </c>
      <c r="C11" s="32">
        <v>0.41</v>
      </c>
      <c r="D11" s="33">
        <f t="shared" si="0"/>
        <v>3.4234999999999998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</v>
      </c>
      <c r="C12" s="32">
        <v>0.04</v>
      </c>
      <c r="D12" s="33">
        <f t="shared" si="0"/>
        <v>0.33400000000000002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52</v>
      </c>
      <c r="C13" s="32">
        <v>0.02</v>
      </c>
      <c r="D13" s="33">
        <f t="shared" si="0"/>
        <v>0.16700000000000001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112</v>
      </c>
      <c r="C14" s="32">
        <v>0.33</v>
      </c>
      <c r="D14" s="33">
        <f t="shared" si="0"/>
        <v>2.7555000000000001</v>
      </c>
      <c r="E14" s="34">
        <v>16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8.35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sylvestre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22</v>
      </c>
      <c r="B36" s="60">
        <v>122.67</v>
      </c>
      <c r="C36" s="60">
        <v>1</v>
      </c>
      <c r="D36" s="60">
        <v>50.86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5.5759090909090911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29</v>
      </c>
      <c r="B37" s="60">
        <v>149.94999999999999</v>
      </c>
      <c r="C37" s="60">
        <v>2</v>
      </c>
      <c r="D37" s="60">
        <v>31.419999999999987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11.16285714285714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36</v>
      </c>
      <c r="B38" s="60">
        <v>197.29</v>
      </c>
      <c r="C38" s="60">
        <v>3</v>
      </c>
      <c r="D38" s="60">
        <v>41.879999999999995</v>
      </c>
      <c r="E38" s="51">
        <v>0.25</v>
      </c>
      <c r="F38" s="51">
        <v>0.37</v>
      </c>
      <c r="G38" s="51">
        <v>0.38</v>
      </c>
      <c r="H38" s="51">
        <v>0</v>
      </c>
      <c r="I38" s="53">
        <f t="shared" si="1"/>
        <v>11.251428571428571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44</v>
      </c>
      <c r="B39" s="60">
        <v>240.9</v>
      </c>
      <c r="C39" s="60">
        <v>4</v>
      </c>
      <c r="D39" s="60">
        <v>42.830000000000013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10.686250000000001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52</v>
      </c>
      <c r="B40" s="60">
        <v>276.19</v>
      </c>
      <c r="C40" s="60">
        <v>5</v>
      </c>
      <c r="D40" s="60">
        <v>46.650000000000006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9.7650000000000006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60</v>
      </c>
      <c r="B41" s="60">
        <v>299.12</v>
      </c>
      <c r="C41" s="60">
        <v>6</v>
      </c>
      <c r="D41" s="60">
        <v>41.980000000000018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8.6975000000000016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70</v>
      </c>
      <c r="B42" s="60">
        <v>333.94</v>
      </c>
      <c r="C42" s="60">
        <v>7</v>
      </c>
      <c r="D42" s="60">
        <v>50.44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7.6800000000000015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349.64</v>
      </c>
      <c r="C43" s="60">
        <v>8</v>
      </c>
      <c r="D43" s="60">
        <v>40.31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6.613999999999999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90</v>
      </c>
      <c r="B44" s="60">
        <v>366.59</v>
      </c>
      <c r="C44" s="60">
        <v>9</v>
      </c>
      <c r="D44" s="60">
        <v>40.859999999999957</v>
      </c>
      <c r="E44" s="51">
        <v>0.6</v>
      </c>
      <c r="F44" s="51">
        <v>0.2</v>
      </c>
      <c r="G44" s="51">
        <v>0.2</v>
      </c>
      <c r="H44" s="51">
        <v>0</v>
      </c>
      <c r="I44" s="49">
        <f t="shared" si="1"/>
        <v>5.7259999999999991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100</v>
      </c>
      <c r="B45" s="60">
        <v>375.26</v>
      </c>
      <c r="C45" s="60">
        <v>10</v>
      </c>
      <c r="D45" s="60">
        <v>222.06</v>
      </c>
      <c r="E45" s="51">
        <v>0.6</v>
      </c>
      <c r="F45" s="51">
        <v>0.2</v>
      </c>
      <c r="G45" s="51">
        <v>0.2</v>
      </c>
      <c r="H45" s="51">
        <v>0</v>
      </c>
      <c r="I45" s="49">
        <f t="shared" si="1"/>
        <v>4.9529999999999976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103</v>
      </c>
      <c r="B46" s="60">
        <v>160.66</v>
      </c>
      <c r="C46" s="60">
        <v>11</v>
      </c>
      <c r="D46" s="60">
        <v>160.66</v>
      </c>
      <c r="E46" s="51">
        <v>0.6</v>
      </c>
      <c r="F46" s="51">
        <v>0.2</v>
      </c>
      <c r="G46" s="51">
        <v>0.2</v>
      </c>
      <c r="H46" s="51">
        <v>0</v>
      </c>
      <c r="I46" s="49">
        <f t="shared" si="1"/>
        <v>2.4866666666666695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22</v>
      </c>
      <c r="B62" s="60">
        <v>129.56</v>
      </c>
      <c r="C62" s="60">
        <v>1</v>
      </c>
      <c r="D62" s="60">
        <v>52.620000000000005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5.8890909090909096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27</v>
      </c>
      <c r="B63" s="60">
        <v>155.85</v>
      </c>
      <c r="C63" s="60">
        <v>2</v>
      </c>
      <c r="D63" s="60">
        <v>37.929999999999993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15.782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33</v>
      </c>
      <c r="B64" s="60">
        <v>217.65</v>
      </c>
      <c r="C64" s="60">
        <v>3</v>
      </c>
      <c r="D64" s="60">
        <v>50.460000000000008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16.621666666666666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41</v>
      </c>
      <c r="B65" s="60">
        <v>300.74</v>
      </c>
      <c r="C65" s="60">
        <v>4</v>
      </c>
      <c r="D65" s="60">
        <v>72.16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16.693750000000001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50</v>
      </c>
      <c r="B66" s="60">
        <v>370.01</v>
      </c>
      <c r="C66" s="60">
        <v>5</v>
      </c>
      <c r="D66" s="60">
        <v>70.20999999999998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15.714444444444442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60</v>
      </c>
      <c r="B67" s="60">
        <v>440.94</v>
      </c>
      <c r="C67" s="60">
        <v>6</v>
      </c>
      <c r="D67" s="60">
        <v>69.839999999999975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14.113999999999999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70</v>
      </c>
      <c r="B68" s="60">
        <v>490.07</v>
      </c>
      <c r="C68" s="60">
        <v>7</v>
      </c>
      <c r="D68" s="60">
        <v>67.88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520.03</v>
      </c>
      <c r="C69" s="50">
        <v>8</v>
      </c>
      <c r="D69" s="50">
        <v>520.03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9.7839999999999971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44</v>
      </c>
      <c r="B88" s="60">
        <v>201.77</v>
      </c>
      <c r="C88" s="60">
        <v>1</v>
      </c>
      <c r="D88" s="60">
        <v>76.680000000000007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4.5856818181818184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51</v>
      </c>
      <c r="B89" s="60">
        <v>192.85</v>
      </c>
      <c r="C89" s="60">
        <v>2</v>
      </c>
      <c r="D89" s="60">
        <v>48.769999999999982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9.6799999999999979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59</v>
      </c>
      <c r="B90" s="60">
        <v>217.3</v>
      </c>
      <c r="C90" s="60">
        <v>3</v>
      </c>
      <c r="D90" s="60">
        <v>52.75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9.1524999999999999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67</v>
      </c>
      <c r="B91" s="60">
        <v>233.08</v>
      </c>
      <c r="C91" s="60">
        <v>4</v>
      </c>
      <c r="D91" s="60">
        <v>44.170000000000016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8.5662500000000001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75</v>
      </c>
      <c r="B92" s="60">
        <v>254.89</v>
      </c>
      <c r="C92" s="60">
        <v>5</v>
      </c>
      <c r="D92" s="60">
        <v>43.289999999999992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8.2474999999999987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283.77</v>
      </c>
      <c r="C93" s="60">
        <v>6</v>
      </c>
      <c r="D93" s="60">
        <v>49.669999999999987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8.0188888888888883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93</v>
      </c>
      <c r="B94" s="60">
        <v>303.37</v>
      </c>
      <c r="C94" s="60">
        <v>7</v>
      </c>
      <c r="D94" s="60">
        <v>42.910000000000025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7.6966666666666681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103</v>
      </c>
      <c r="B95" s="60">
        <v>337.71</v>
      </c>
      <c r="C95" s="60">
        <v>8</v>
      </c>
      <c r="D95" s="60">
        <v>56.789999999999964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7.7249999999999996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113</v>
      </c>
      <c r="B96" s="60">
        <v>356.05</v>
      </c>
      <c r="C96" s="60">
        <v>9</v>
      </c>
      <c r="D96" s="60">
        <v>45.660000000000025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7.5129999999999999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125</v>
      </c>
      <c r="B97" s="60">
        <v>404.61</v>
      </c>
      <c r="C97" s="60">
        <v>10</v>
      </c>
      <c r="D97" s="60">
        <v>70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7.8516666666666692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137</v>
      </c>
      <c r="B98" s="60">
        <v>428.03</v>
      </c>
      <c r="C98" s="60">
        <v>11</v>
      </c>
      <c r="D98" s="60">
        <v>74.669999999999959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7.7849999999999966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149</v>
      </c>
      <c r="B99" s="60">
        <v>444.56</v>
      </c>
      <c r="C99" s="60">
        <v>12</v>
      </c>
      <c r="D99" s="60">
        <v>176.67000000000002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7.5999999999999988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153</v>
      </c>
      <c r="B100" s="60">
        <v>286.3</v>
      </c>
      <c r="C100" s="60">
        <v>13</v>
      </c>
      <c r="D100" s="60">
        <v>102.89000000000001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4.6025000000000063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157</v>
      </c>
      <c r="B101" s="60">
        <v>194.52</v>
      </c>
      <c r="C101" s="60">
        <v>14</v>
      </c>
      <c r="D101" s="60">
        <v>67.13000000000001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2.7775000000000034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161</v>
      </c>
      <c r="B102" s="50">
        <v>134.26</v>
      </c>
      <c r="C102" s="60">
        <v>15</v>
      </c>
      <c r="D102" s="50">
        <v>134.26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1.7174999999999976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86</v>
      </c>
      <c r="B117" s="60">
        <v>229.27</v>
      </c>
      <c r="C117" s="50">
        <v>4</v>
      </c>
      <c r="D117" s="60">
        <v>37.54000000000002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156</v>
      </c>
      <c r="B124" s="60">
        <v>409.2</v>
      </c>
      <c r="C124" s="60">
        <v>11</v>
      </c>
      <c r="D124" s="60">
        <v>65.69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168</v>
      </c>
      <c r="B125" s="60">
        <v>435.65</v>
      </c>
      <c r="C125" s="60">
        <v>12</v>
      </c>
      <c r="D125" s="60">
        <v>71.37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0.25</v>
      </c>
      <c r="F128" s="54">
        <v>0.25</v>
      </c>
      <c r="G128" s="54">
        <v>0.25</v>
      </c>
      <c r="H128" s="54">
        <v>0.25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191</v>
      </c>
      <c r="B129" s="50">
        <v>145.01</v>
      </c>
      <c r="C129" s="50">
        <v>16</v>
      </c>
      <c r="D129" s="50">
        <v>145.01</v>
      </c>
      <c r="E129" s="54">
        <v>0.25</v>
      </c>
      <c r="F129" s="54">
        <v>0.25</v>
      </c>
      <c r="G129" s="54">
        <v>0.25</v>
      </c>
      <c r="H129" s="54">
        <v>0.25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38</v>
      </c>
      <c r="B140" s="60">
        <v>152.63</v>
      </c>
      <c r="C140" s="50">
        <v>1</v>
      </c>
      <c r="D140" s="60">
        <v>71.569999999999993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4.016578947368421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45</v>
      </c>
      <c r="B141" s="60">
        <v>149.75</v>
      </c>
      <c r="C141" s="50">
        <v>2</v>
      </c>
      <c r="D141" s="60">
        <v>41.69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9.8128571428571423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52</v>
      </c>
      <c r="B142" s="60">
        <v>178.07</v>
      </c>
      <c r="C142" s="50">
        <v>3</v>
      </c>
      <c r="D142" s="60">
        <v>44.400000000000006</v>
      </c>
      <c r="E142" s="51">
        <v>0.35</v>
      </c>
      <c r="F142" s="51">
        <v>0.2</v>
      </c>
      <c r="G142" s="51">
        <v>0.1</v>
      </c>
      <c r="H142" s="51">
        <v>0.35</v>
      </c>
      <c r="I142" s="57">
        <f t="shared" si="5"/>
        <v>10.001428571428571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59</v>
      </c>
      <c r="B143" s="60">
        <v>202.85</v>
      </c>
      <c r="C143" s="50">
        <v>4</v>
      </c>
      <c r="D143" s="60">
        <v>41.81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9.8828571428571443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67</v>
      </c>
      <c r="B144" s="60">
        <v>239.06</v>
      </c>
      <c r="C144" s="50">
        <v>5</v>
      </c>
      <c r="D144" s="60">
        <v>42.550000000000011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9.7525000000000013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75</v>
      </c>
      <c r="B145" s="60">
        <v>273.76</v>
      </c>
      <c r="C145" s="50">
        <v>6</v>
      </c>
      <c r="D145" s="60">
        <v>43.519999999999982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9.65625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83</v>
      </c>
      <c r="B146" s="60">
        <v>306.11</v>
      </c>
      <c r="C146" s="50">
        <v>7</v>
      </c>
      <c r="D146" s="60">
        <v>49.980000000000018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9.4837500000000006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93</v>
      </c>
      <c r="B147" s="60">
        <v>348.87</v>
      </c>
      <c r="C147" s="50">
        <v>8</v>
      </c>
      <c r="D147" s="60">
        <v>67.45999999999998</v>
      </c>
      <c r="E147" s="51">
        <v>0.5</v>
      </c>
      <c r="F147" s="51">
        <v>0.2</v>
      </c>
      <c r="G147" s="51">
        <v>0</v>
      </c>
      <c r="H147" s="51">
        <v>0.3</v>
      </c>
      <c r="I147" s="57">
        <f>IF(A147&lt;&gt;0,(B147-(B146-D146))/(A147-A146),"")</f>
        <v>9.2740000000000009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103</v>
      </c>
      <c r="B148" s="60">
        <v>371.4</v>
      </c>
      <c r="C148" s="50">
        <v>9</v>
      </c>
      <c r="D148" s="60">
        <v>67.759999999999991</v>
      </c>
      <c r="E148" s="51">
        <v>0.5</v>
      </c>
      <c r="F148" s="51">
        <v>0.2</v>
      </c>
      <c r="G148" s="51">
        <v>0</v>
      </c>
      <c r="H148" s="51">
        <v>0.3</v>
      </c>
      <c r="I148" s="57">
        <f t="shared" si="5"/>
        <v>8.9989999999999952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113</v>
      </c>
      <c r="B149" s="60">
        <v>391.18</v>
      </c>
      <c r="C149" s="50">
        <v>10</v>
      </c>
      <c r="D149" s="60">
        <v>68.670000000000016</v>
      </c>
      <c r="E149" s="51">
        <v>0.5</v>
      </c>
      <c r="F149" s="51">
        <v>0.2</v>
      </c>
      <c r="G149" s="51">
        <v>0</v>
      </c>
      <c r="H149" s="51">
        <v>0.3</v>
      </c>
      <c r="I149" s="57">
        <f t="shared" si="5"/>
        <v>8.7540000000000013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123</v>
      </c>
      <c r="B150" s="60">
        <v>409.53</v>
      </c>
      <c r="C150" s="50">
        <v>11</v>
      </c>
      <c r="D150" s="60">
        <v>203.78999999999996</v>
      </c>
      <c r="E150" s="51">
        <v>0.45</v>
      </c>
      <c r="F150" s="51">
        <v>0.05</v>
      </c>
      <c r="G150" s="51">
        <v>0.05</v>
      </c>
      <c r="H150" s="51">
        <v>0.45</v>
      </c>
      <c r="I150" s="57">
        <f t="shared" si="5"/>
        <v>8.7019999999999982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125</v>
      </c>
      <c r="B151" s="60">
        <v>215.44</v>
      </c>
      <c r="C151" s="50">
        <v>12</v>
      </c>
      <c r="D151" s="60">
        <v>70.609999999999985</v>
      </c>
      <c r="E151" s="51">
        <v>0.45</v>
      </c>
      <c r="F151" s="51">
        <v>0.05</v>
      </c>
      <c r="G151" s="51">
        <v>0.05</v>
      </c>
      <c r="H151" s="51">
        <v>0.45</v>
      </c>
      <c r="I151" s="57">
        <f t="shared" si="5"/>
        <v>4.8499999999999943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127</v>
      </c>
      <c r="B152" s="60">
        <v>151.47999999999999</v>
      </c>
      <c r="C152" s="50">
        <v>13</v>
      </c>
      <c r="D152" s="60">
        <v>46.039999999999992</v>
      </c>
      <c r="E152" s="54">
        <v>0.45</v>
      </c>
      <c r="F152" s="54">
        <v>0.05</v>
      </c>
      <c r="G152" s="54">
        <v>0.05</v>
      </c>
      <c r="H152" s="54">
        <v>0.45</v>
      </c>
      <c r="I152" s="57">
        <f t="shared" si="5"/>
        <v>3.3249999999999886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130</v>
      </c>
      <c r="B153" s="60">
        <v>112.75</v>
      </c>
      <c r="C153" s="50">
        <v>14</v>
      </c>
      <c r="D153" s="60">
        <v>112.75</v>
      </c>
      <c r="E153" s="54">
        <v>0.45</v>
      </c>
      <c r="F153" s="54">
        <v>0.05</v>
      </c>
      <c r="G153" s="54">
        <v>0.05</v>
      </c>
      <c r="H153" s="54">
        <v>0.45</v>
      </c>
      <c r="I153" s="57">
        <f t="shared" si="5"/>
        <v>2.4366666666666674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Peuplier Koster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16</v>
      </c>
      <c r="B166" s="60">
        <v>233.3</v>
      </c>
      <c r="C166" s="60">
        <v>1</v>
      </c>
      <c r="D166" s="60">
        <v>259.2</v>
      </c>
      <c r="E166" s="51">
        <v>0.77</v>
      </c>
      <c r="F166" s="51">
        <v>0.11</v>
      </c>
      <c r="G166" s="51">
        <v>0.1</v>
      </c>
      <c r="H166" s="51">
        <v>0.02</v>
      </c>
      <c r="I166" s="49">
        <f>IFERROR(B166/A166,"")</f>
        <v>14.581250000000001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21" sqref="B21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sylvestre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Peuplier Koster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294.9631697747962</v>
      </c>
      <c r="T3" s="59">
        <f>IF('Données projet'!E9&gt;30,$R$33-$H$33,LOOKUP('Données projet'!$E$9,$A$3:$A$203,R3:R203)-LOOKUP('Données projet'!$E$9,$A$3:$A$203,$H$3:$H$203))</f>
        <v>202.04924881627716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349.71285006949597</v>
      </c>
      <c r="AO3" s="59">
        <f>IF('Données projet'!E10&gt;30,$AM$33-$H$33,LOOKUP('Données projet'!$E$10,$A$3:$A$203,AM3:AM203)-LOOKUP('Données projet'!$E$10,$A$3:$A$203,$H$3:$H$203))</f>
        <v>258.51550516456842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490.06222615476065</v>
      </c>
      <c r="BJ3" s="59">
        <f>IF('Données projet'!E11&gt;30,$BH$33-$H$33,LOOKUP('Données projet'!$E$11,$A$3:$A$203,BH3:BH203)-LOOKUP('Données projet'!$E$11,$A$3:$A$203,$H$3:$H$203))</f>
        <v>310.43914804089906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510.71380643466227</v>
      </c>
      <c r="CE3" s="59">
        <f>IF('Données projet'!E12&gt;30,$CC$33-$H$33,LOOKUP('Données projet'!$E$12,$A$3:$A$203,CC3:CC203)-LOOKUP('Données projet'!$E$12,$A$3:$A$203,$H$3:$H$203))</f>
        <v>252.40654099948841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502.65044103360322</v>
      </c>
      <c r="CZ3" s="59">
        <f>IF('Données projet'!E13&gt;30,$CX$33-$H$33,LOOKUP('Données projet'!$E$13,$A$3:$A$203,CX3:CX203)-LOOKUP('Données projet'!$E$13,$A$3:$A$203,$H$3:$H$203))</f>
        <v>321.65762891855167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63.94726564348116</v>
      </c>
      <c r="DU3" s="59">
        <f>IF('Données projet'!E14&gt;30,$DS$33-$H$33,LOOKUP('Données projet'!$E$14,$A$3:$A$203,DS3:DS203)-LOOKUP('Données projet'!$E$14,$A$3:$A$203,$H$3:$H$203))</f>
        <v>280.8165028422905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5.5759090909090911</v>
      </c>
      <c r="N4" s="13">
        <f>IF('Données projet'!$A$36&gt;35,N3+M4-V3,IF(A4&lt;'Données projet'!$A$36,$K$205^A4,IF(A4='Données projet'!$A$36,'Données projet'!$B$36,N3+M4-V3)))</f>
        <v>1.2443502889175007</v>
      </c>
      <c r="O4" s="13">
        <f>N4*VLOOKUP('Données projet'!$B$9,Paramètres!$A$1:$I$89,3,0)*VLOOKUP('Données projet'!$B$9,Paramètres!$A$1:$I$89,5,0)</f>
        <v>0.71176836526081044</v>
      </c>
      <c r="P4" s="13">
        <f>EXP(-1.0587+0.8836*LN(O4)+0.284)</f>
        <v>0.34125460772988764</v>
      </c>
      <c r="Q4" s="20">
        <f t="shared" ref="Q4:Q34" si="2">(O4+P4)*0.475*44/12</f>
        <v>1.8340150112921325</v>
      </c>
      <c r="R4" s="59">
        <f t="shared" si="0"/>
        <v>259.722903900181</v>
      </c>
      <c r="S4" s="59">
        <f ca="1">AVERAGE(OFFSET($R$3,0,0,'Données projet'!$E$9+1,1))-AVERAGE(OFFSET($H$3,0,0,'Données projet'!$E$9+1,1))</f>
        <v>294.9631697747962</v>
      </c>
      <c r="T4" s="59">
        <f>$T$3</f>
        <v>202.04924881627716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5.8890909090909096</v>
      </c>
      <c r="AI4" s="13">
        <f>IF('Données projet'!$A$62&gt;35,AI3+AH4-AQ3,IF(A4&lt;'Données projet'!$A$62,$AF$205^A4,IF(A4='Données projet'!$A$62,'Données projet'!$B$62,AI3+AH4-AQ3)))</f>
        <v>1.2474449991725556</v>
      </c>
      <c r="AJ4" s="13">
        <f>AI4*VLOOKUP('Données projet'!$B$10,Paramètres!$A$1:$I$89,3,0)*VLOOKUP('Données projet'!$B$10,Paramètres!$A$1:$I$89,5,0)</f>
        <v>0.74597210950518822</v>
      </c>
      <c r="AK4" s="13">
        <f>EXP(-1.0587+0.8836*LN(AJ4)+0.284)</f>
        <v>0.35570481632934337</v>
      </c>
      <c r="AL4" s="20">
        <f t="shared" ref="AL4:AL67" si="4">(AJ4+AK4)*0.475*44/12</f>
        <v>1.9187539791618089</v>
      </c>
      <c r="AM4" s="59">
        <f t="shared" ref="AM4:AM67" si="5">AL4+(AD4+AE4)*44/12</f>
        <v>259.80764286805066</v>
      </c>
      <c r="AN4" s="59">
        <f ca="1">AVERAGE(OFFSET($AM$3,0,0,'Données projet'!$E$10+1,1))-AVERAGE(OFFSET($H$3,0,0,'Données projet'!$E$10+1,1))</f>
        <v>349.71285006949597</v>
      </c>
      <c r="AO4" s="59">
        <f>$AO$3</f>
        <v>258.51550516456842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4.5856818181818184</v>
      </c>
      <c r="BD4" s="12">
        <f>IF('Données projet'!$A$88&gt;35,BD3+BC4-BL3,IF(A4&lt;'Données projet'!$A$88,$BA$205^A4,IF(A4='Données projet'!$A$88,'Données projet'!$B$88,BD3+BC4-BL3)))</f>
        <v>4.5856818181818184</v>
      </c>
      <c r="BE4" s="13">
        <f>BD4*VLOOKUP('Données projet'!$B$11,Paramètres!$A$1:$I$89,3,0)*VLOOKUP('Données projet'!$B$11,Paramètres!$A$1:$I$89,5,0)</f>
        <v>4.1491249090909088</v>
      </c>
      <c r="BF4" s="13">
        <f>EXP(-1.0587+0.8836*LN(BE4)+0.284)</f>
        <v>1.6202365934641478</v>
      </c>
      <c r="BG4" s="20">
        <f t="shared" ref="BG4:BG67" si="7">(BE4+BF4)*0.475*44/12</f>
        <v>10.048304616950057</v>
      </c>
      <c r="BH4" s="59">
        <f t="shared" ref="BH4:BH67" si="8">BG4+(AY4+AZ4)*44/12</f>
        <v>267.93719350583893</v>
      </c>
      <c r="BI4" s="59">
        <f ca="1">AVERAGE(OFFSET($BH$3,0,0,'Données projet'!$E$11+1,1))-AVERAGE(OFFSET($H$3,0,0,'Données projet'!$E$11+1,1))</f>
        <v>490.06222615476065</v>
      </c>
      <c r="BJ4" s="59">
        <f>$BJ$3</f>
        <v>310.43914804089906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3.2501144000000002</v>
      </c>
      <c r="CA4" s="13">
        <f>EXP(-1.0587+0.8836*LN(BZ4)+0.284)</f>
        <v>1.3057670644435437</v>
      </c>
      <c r="CB4" s="20">
        <f t="shared" ref="CB4:CB67" si="10">(BZ4+CA4)*0.475*44/12</f>
        <v>7.9348268839058393</v>
      </c>
      <c r="CC4" s="59">
        <f t="shared" ref="CC4:CC67" si="11">CB4+(BT4+BU4)*44/12</f>
        <v>265.82371577279469</v>
      </c>
      <c r="CD4" s="59">
        <f ca="1">AVERAGE(OFFSET($CC$3,0,0,'Données projet'!$E$12+1,1))-AVERAGE(OFFSET($H$3,0,0,'Données projet'!$E$12+1,1))</f>
        <v>510.71380643466227</v>
      </c>
      <c r="CE4" s="59">
        <f>$CE$3</f>
        <v>252.40654099948841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4.016578947368421</v>
      </c>
      <c r="CT4" s="12">
        <f>IF('Données projet'!$A$140&gt;35,CT3+CS4-DB3,IF(A4&lt;'Données projet'!$A$140,$CQ$205^A4,IF(A4='Données projet'!$A$140,'Données projet'!$B$140,CT3+CS4-DB3)))</f>
        <v>4.016578947368421</v>
      </c>
      <c r="CU4" s="17">
        <f>CT4*VLOOKUP('Données projet'!$B$13,Paramètres!$A$1:$I$89,3,0)*VLOOKUP('Données projet'!$B$13,Paramètres!$A$1:$I$89,5,0)</f>
        <v>4.3234455789473687</v>
      </c>
      <c r="CV4" s="13">
        <f>EXP(-1.0587+0.8836*LN(CU4)+0.284)</f>
        <v>1.6802405052268201</v>
      </c>
      <c r="CW4" s="20">
        <f t="shared" ref="CW4:CW67" si="13">(CU4+CV4)*0.475*44/12</f>
        <v>10.456419929936711</v>
      </c>
      <c r="CX4" s="59">
        <f t="shared" ref="CX4:CX67" si="14">CW4+(CO4+CP4)*44/12</f>
        <v>268.34530881882557</v>
      </c>
      <c r="CY4" s="59">
        <f ca="1">AVERAGE(OFFSET($CX$3,0,0,'Données projet'!$E$13+1,1))-AVERAGE(OFFSET($H$3,0,0,'Données projet'!$E$13+1,1))</f>
        <v>502.65044103360322</v>
      </c>
      <c r="CZ4" s="59">
        <f>$CZ$3</f>
        <v>321.65762891855167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14.581250000000001</v>
      </c>
      <c r="DO4" s="12">
        <f>IF('Données projet'!$A$166&gt;35,DO3+DN4-DW3,IF(A4&lt;'Données projet'!$A$166,$DL$205^A4,IF(A4='Données projet'!$A$166,'Données projet'!$B$166,DO3+DN4-DW3)))</f>
        <v>1.4060302719287188</v>
      </c>
      <c r="DP4" s="17">
        <f>DO4*VLOOKUP('Données projet'!$B$14,Paramètres!$A$1:$I$89,3,0)*VLOOKUP('Données projet'!$B$14,Paramètres!$A$1:$I$89,5,0)</f>
        <v>0.71505075509206928</v>
      </c>
      <c r="DQ4" s="13">
        <f>EXP(-1.0587+0.8836*LN(DP4)+0.284)</f>
        <v>0.34264478226685274</v>
      </c>
      <c r="DR4" s="20">
        <f t="shared" ref="DR4:DR67" si="16">(DP4+DQ4)*0.475*44/12</f>
        <v>1.8421530609001227</v>
      </c>
      <c r="DS4" s="59">
        <f t="shared" ref="DS4:DS67" si="17">DR4+(DJ4+DK4)*44/12</f>
        <v>259.73104194978896</v>
      </c>
      <c r="DT4" s="59">
        <f ca="1">AVERAGE(OFFSET($DS$3,0,0,'Données projet'!$E$14+1,1))-AVERAGE(OFFSET($H$3,0,0,'Données projet'!$E$14+1,1))</f>
        <v>63.94726564348116</v>
      </c>
      <c r="DU4" s="59">
        <f>$DU$3</f>
        <v>280.8165028422905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5.5759090909090911</v>
      </c>
      <c r="N5" s="13">
        <f>IF('Données projet'!$A$36&gt;35,N4+M5-V4,IF(A5&lt;'Données projet'!$A$36,$K$205^A5,IF(A5='Données projet'!$A$36,'Données projet'!$B$36,N4+M5-V4)))</f>
        <v>1.5484076415290673</v>
      </c>
      <c r="O5" s="13">
        <f>N5*VLOOKUP('Données projet'!$B$9,Paramètres!$A$1:$I$89,3,0)*VLOOKUP('Données projet'!$B$9,Paramètres!$A$1:$I$89,5,0)</f>
        <v>0.88568917095462651</v>
      </c>
      <c r="P5" s="13">
        <f t="shared" ref="P5:P68" si="33">EXP(-1.0587+0.8836*LN(O5)+0.284)</f>
        <v>0.41397093687232706</v>
      </c>
      <c r="Q5" s="20">
        <f t="shared" si="2"/>
        <v>2.2635746877986107</v>
      </c>
      <c r="R5" s="59">
        <f t="shared" si="0"/>
        <v>261.37468579890975</v>
      </c>
      <c r="S5" s="59">
        <f ca="1">AVERAGE(OFFSET($R$3,0,0,'Données projet'!$E$9+1,1))-AVERAGE(OFFSET($H$3,0,0,'Données projet'!$E$9+1,1))</f>
        <v>294.9631697747962</v>
      </c>
      <c r="T5" s="59">
        <f t="shared" ref="T5:T68" si="34">$T$3</f>
        <v>202.04924881627716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5.8890909090909096</v>
      </c>
      <c r="AI5" s="13">
        <f>IF('Données projet'!$A$62&gt;35,AI4+AH5-AQ4,IF(A5&lt;'Données projet'!$A$62,$AF$205^A5,IF(A5='Données projet'!$A$62,'Données projet'!$B$62,AI4+AH5-AQ4)))</f>
        <v>1.5561190259606172</v>
      </c>
      <c r="AJ5" s="13">
        <f>AI5*VLOOKUP('Données projet'!$B$10,Paramètres!$A$1:$I$89,3,0)*VLOOKUP('Données projet'!$B$10,Paramètres!$A$1:$I$89,5,0)</f>
        <v>0.93055917752444917</v>
      </c>
      <c r="AK5" s="13">
        <f t="shared" ref="AK5:AK68" si="35">EXP(-1.0587+0.8836*LN(AJ5)+0.284)</f>
        <v>0.43244836584356472</v>
      </c>
      <c r="AL5" s="20">
        <f t="shared" si="4"/>
        <v>2.3739048046992908</v>
      </c>
      <c r="AM5" s="59">
        <f t="shared" si="5"/>
        <v>261.48501591581044</v>
      </c>
      <c r="AN5" s="59">
        <f ca="1">AVERAGE(OFFSET($AM$3,0,0,'Données projet'!$E$10+1,1))-AVERAGE(OFFSET($H$3,0,0,'Données projet'!$E$10+1,1))</f>
        <v>349.71285006949597</v>
      </c>
      <c r="AO5" s="59">
        <f t="shared" ref="AO5:AO68" si="36">$AO$3</f>
        <v>258.51550516456842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4.5856818181818184</v>
      </c>
      <c r="BD5" s="12">
        <f>IF('Données projet'!$A$88&gt;35,BD4+BC5-BL4,IF(A5&lt;'Données projet'!$A$88,$BA$205^A5,IF(A5='Données projet'!$A$88,'Données projet'!$B$88,BD4+BC5-BL4)))</f>
        <v>9.1713636363636368</v>
      </c>
      <c r="BE5" s="13">
        <f>BD5*VLOOKUP('Données projet'!$B$11,Paramètres!$A$1:$I$89,3,0)*VLOOKUP('Données projet'!$B$11,Paramètres!$A$1:$I$89,5,0)</f>
        <v>8.2982498181818176</v>
      </c>
      <c r="BF5" s="13">
        <f t="shared" ref="BF5:BF68" si="37">EXP(-1.0587+0.8836*LN(BE5)+0.284)</f>
        <v>2.9892933828641128</v>
      </c>
      <c r="BG5" s="20">
        <f t="shared" si="7"/>
        <v>19.659137741821663</v>
      </c>
      <c r="BH5" s="59">
        <f t="shared" si="8"/>
        <v>278.77024885293281</v>
      </c>
      <c r="BI5" s="59">
        <f ca="1">AVERAGE(OFFSET($BH$3,0,0,'Données projet'!$E$11+1,1))-AVERAGE(OFFSET($H$3,0,0,'Données projet'!$E$11+1,1))</f>
        <v>490.06222615476065</v>
      </c>
      <c r="BJ5" s="59">
        <f t="shared" ref="BJ5:BJ68" si="38">$BJ$3</f>
        <v>310.43914804089906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6.5002288000000004</v>
      </c>
      <c r="CA5" s="13">
        <f t="shared" ref="CA5:CA68" si="39">EXP(-1.0587+0.8836*LN(BZ5)+0.284)</f>
        <v>2.4091054732676334</v>
      </c>
      <c r="CB5" s="20">
        <f t="shared" si="10"/>
        <v>15.517090525941128</v>
      </c>
      <c r="CC5" s="59">
        <f t="shared" si="11"/>
        <v>274.62820163705226</v>
      </c>
      <c r="CD5" s="59">
        <f ca="1">AVERAGE(OFFSET($CC$3,0,0,'Données projet'!$E$12+1,1))-AVERAGE(OFFSET($H$3,0,0,'Données projet'!$E$12+1,1))</f>
        <v>510.71380643466227</v>
      </c>
      <c r="CE5" s="59">
        <f t="shared" ref="CE5:CE68" si="40">$CE$3</f>
        <v>252.40654099948841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4.016578947368421</v>
      </c>
      <c r="CT5" s="12">
        <f>IF('Données projet'!$A$140&gt;35,CT4+CS5-DB4,IF(A5&lt;'Données projet'!$A$140,$CQ$205^A5,IF(A5='Données projet'!$A$140,'Données projet'!$B$140,CT4+CS5-DB4)))</f>
        <v>8.0331578947368421</v>
      </c>
      <c r="CU5" s="17">
        <f>CT5*VLOOKUP('Données projet'!$B$13,Paramètres!$A$1:$I$89,3,0)*VLOOKUP('Données projet'!$B$13,Paramètres!$A$1:$I$89,5,0)</f>
        <v>8.6468911578947374</v>
      </c>
      <c r="CV5" s="13">
        <f t="shared" ref="CV5:CV68" si="41">EXP(-1.0587+0.8836*LN(CU5)+0.284)</f>
        <v>3.0999990027110371</v>
      </c>
      <c r="CW5" s="20">
        <f t="shared" si="13"/>
        <v>20.459167029721723</v>
      </c>
      <c r="CX5" s="59">
        <f t="shared" si="14"/>
        <v>279.57027814083284</v>
      </c>
      <c r="CY5" s="59">
        <f ca="1">AVERAGE(OFFSET($CX$3,0,0,'Données projet'!$E$13+1,1))-AVERAGE(OFFSET($H$3,0,0,'Données projet'!$E$13+1,1))</f>
        <v>502.65044103360322</v>
      </c>
      <c r="CZ5" s="59">
        <f t="shared" ref="CZ5:CZ68" si="42">$CZ$3</f>
        <v>321.65762891855167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14.581250000000001</v>
      </c>
      <c r="DO5" s="12">
        <f>IF('Données projet'!$A$166&gt;35,DO4+DN5-DW4,IF(A5&lt;'Données projet'!$A$166,$DL$205^A5,IF(A5='Données projet'!$A$166,'Données projet'!$B$166,DO4+DN5-DW4)))</f>
        <v>1.9769211255799468</v>
      </c>
      <c r="DP5" s="17">
        <f>DO5*VLOOKUP('Données projet'!$B$14,Paramètres!$A$1:$I$89,3,0)*VLOOKUP('Données projet'!$B$14,Paramètres!$A$1:$I$89,5,0)</f>
        <v>1.0053830076249377</v>
      </c>
      <c r="DQ5" s="13">
        <f t="shared" ref="DQ5:DQ68" si="43">EXP(-1.0587+0.8836*LN(DP5)+0.284)</f>
        <v>0.46303328823578627</v>
      </c>
      <c r="DR5" s="20">
        <f t="shared" si="16"/>
        <v>2.5574917152907606</v>
      </c>
      <c r="DS5" s="59">
        <f t="shared" si="17"/>
        <v>261.66860282640192</v>
      </c>
      <c r="DT5" s="59">
        <f ca="1">AVERAGE(OFFSET($DS$3,0,0,'Données projet'!$E$14+1,1))-AVERAGE(OFFSET($H$3,0,0,'Données projet'!$E$14+1,1))</f>
        <v>63.94726564348116</v>
      </c>
      <c r="DU5" s="59">
        <f t="shared" ref="DU5:DU68" si="44">$DU$3</f>
        <v>280.8165028422905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5.5759090909090911</v>
      </c>
      <c r="N6" s="13">
        <f>IF('Données projet'!$A$36&gt;35,N5+M6-V5,IF(A6&lt;'Données projet'!$A$36,$K$205^A6,IF(A6='Données projet'!$A$36,'Données projet'!$B$36,N5+M6-V5)))</f>
        <v>1.9267614960987607</v>
      </c>
      <c r="O6" s="13">
        <f>N6*VLOOKUP('Données projet'!$B$9,Paramètres!$A$1:$I$89,3,0)*VLOOKUP('Données projet'!$B$9,Paramètres!$A$1:$I$89,5,0)</f>
        <v>1.1021075757684911</v>
      </c>
      <c r="P6" s="13">
        <f t="shared" si="33"/>
        <v>0.50218204441241654</v>
      </c>
      <c r="Q6" s="20">
        <f t="shared" si="2"/>
        <v>2.7941377551484141</v>
      </c>
      <c r="R6" s="59">
        <f t="shared" si="0"/>
        <v>263.12747108848174</v>
      </c>
      <c r="S6" s="59">
        <f ca="1">AVERAGE(OFFSET($R$3,0,0,'Données projet'!$E$9+1,1))-AVERAGE(OFFSET($H$3,0,0,'Données projet'!$E$9+1,1))</f>
        <v>294.9631697747962</v>
      </c>
      <c r="T6" s="59">
        <f t="shared" si="34"/>
        <v>202.04924881627716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5.8890909090909096</v>
      </c>
      <c r="AI6" s="13">
        <f>IF('Données projet'!$A$62&gt;35,AI5+AH6-AQ5,IF(A6&lt;'Données projet'!$A$62,$AF$205^A6,IF(A6='Données projet'!$A$62,'Données projet'!$B$62,AI5+AH6-AQ5)))</f>
        <v>1.9411728970518403</v>
      </c>
      <c r="AJ6" s="13">
        <f>AI6*VLOOKUP('Données projet'!$B$10,Paramètres!$A$1:$I$89,3,0)*VLOOKUP('Données projet'!$B$10,Paramètres!$A$1:$I$89,5,0)</f>
        <v>1.1608213924370006</v>
      </c>
      <c r="AK6" s="13">
        <f t="shared" si="35"/>
        <v>0.52574938695127893</v>
      </c>
      <c r="AL6" s="20">
        <f t="shared" si="4"/>
        <v>2.9374441074345867</v>
      </c>
      <c r="AM6" s="59">
        <f t="shared" si="5"/>
        <v>263.27077744076792</v>
      </c>
      <c r="AN6" s="59">
        <f ca="1">AVERAGE(OFFSET($AM$3,0,0,'Données projet'!$E$10+1,1))-AVERAGE(OFFSET($H$3,0,0,'Données projet'!$E$10+1,1))</f>
        <v>349.71285006949597</v>
      </c>
      <c r="AO6" s="59">
        <f t="shared" si="36"/>
        <v>258.51550516456842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4.5856818181818184</v>
      </c>
      <c r="BD6" s="12">
        <f>IF('Données projet'!$A$88&gt;35,BD5+BC6-BL5,IF(A6&lt;'Données projet'!$A$88,$BA$205^A6,IF(A6='Données projet'!$A$88,'Données projet'!$B$88,BD5+BC6-BL5)))</f>
        <v>13.757045454545455</v>
      </c>
      <c r="BE6" s="13">
        <f>BD6*VLOOKUP('Données projet'!$B$11,Paramètres!$A$1:$I$89,3,0)*VLOOKUP('Données projet'!$B$11,Paramètres!$A$1:$I$89,5,0)</f>
        <v>12.447374727272727</v>
      </c>
      <c r="BF6" s="13">
        <f t="shared" si="37"/>
        <v>4.2772317039887771</v>
      </c>
      <c r="BG6" s="20">
        <f t="shared" si="7"/>
        <v>29.128689534447123</v>
      </c>
      <c r="BH6" s="59">
        <f t="shared" si="8"/>
        <v>289.46202286778043</v>
      </c>
      <c r="BI6" s="59">
        <f ca="1">AVERAGE(OFFSET($BH$3,0,0,'Données projet'!$E$11+1,1))-AVERAGE(OFFSET($H$3,0,0,'Données projet'!$E$11+1,1))</f>
        <v>490.06222615476065</v>
      </c>
      <c r="BJ6" s="59">
        <f t="shared" si="38"/>
        <v>310.43914804089906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9.7503432000000014</v>
      </c>
      <c r="CA6" s="13">
        <f t="shared" si="39"/>
        <v>3.447069587609501</v>
      </c>
      <c r="CB6" s="20">
        <f t="shared" si="10"/>
        <v>22.985493938419882</v>
      </c>
      <c r="CC6" s="59">
        <f t="shared" si="11"/>
        <v>283.31882727175321</v>
      </c>
      <c r="CD6" s="59">
        <f ca="1">AVERAGE(OFFSET($CC$3,0,0,'Données projet'!$E$12+1,1))-AVERAGE(OFFSET($H$3,0,0,'Données projet'!$E$12+1,1))</f>
        <v>510.71380643466227</v>
      </c>
      <c r="CE6" s="59">
        <f t="shared" si="40"/>
        <v>252.40654099948841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4.016578947368421</v>
      </c>
      <c r="CT6" s="12">
        <f>IF('Données projet'!$A$140&gt;35,CT5+CS6-DB5,IF(A6&lt;'Données projet'!$A$140,$CQ$205^A6,IF(A6='Données projet'!$A$140,'Données projet'!$B$140,CT5+CS6-DB5)))</f>
        <v>12.049736842105263</v>
      </c>
      <c r="CU6" s="17">
        <f>CT6*VLOOKUP('Données projet'!$B$13,Paramètres!$A$1:$I$89,3,0)*VLOOKUP('Données projet'!$B$13,Paramètres!$A$1:$I$89,5,0)</f>
        <v>12.970336736842105</v>
      </c>
      <c r="CV6" s="13">
        <f t="shared" si="41"/>
        <v>4.4356348870732401</v>
      </c>
      <c r="CW6" s="20">
        <f t="shared" si="13"/>
        <v>30.315400578319224</v>
      </c>
      <c r="CX6" s="59">
        <f t="shared" si="14"/>
        <v>290.64873391165253</v>
      </c>
      <c r="CY6" s="59">
        <f ca="1">AVERAGE(OFFSET($CX$3,0,0,'Données projet'!$E$13+1,1))-AVERAGE(OFFSET($H$3,0,0,'Données projet'!$E$13+1,1))</f>
        <v>502.65044103360322</v>
      </c>
      <c r="CZ6" s="59">
        <f t="shared" si="42"/>
        <v>321.65762891855167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14.581250000000001</v>
      </c>
      <c r="DO6" s="12">
        <f>IF('Données projet'!$A$166&gt;35,DO5+DN6-DW5,IF(A6&lt;'Données projet'!$A$166,$DL$205^A6,IF(A6='Données projet'!$A$166,'Données projet'!$B$166,DO5+DN6-DW5)))</f>
        <v>2.7796109477808013</v>
      </c>
      <c r="DP6" s="17">
        <f>DO6*VLOOKUP('Données projet'!$B$14,Paramètres!$A$1:$I$89,3,0)*VLOOKUP('Données projet'!$B$14,Paramètres!$A$1:$I$89,5,0)</f>
        <v>1.4135989436034044</v>
      </c>
      <c r="DQ6" s="13">
        <f t="shared" si="43"/>
        <v>0.62572038773224192</v>
      </c>
      <c r="DR6" s="20">
        <f t="shared" si="16"/>
        <v>3.5518145020762506</v>
      </c>
      <c r="DS6" s="59">
        <f t="shared" si="17"/>
        <v>263.88514783540955</v>
      </c>
      <c r="DT6" s="59">
        <f ca="1">AVERAGE(OFFSET($DS$3,0,0,'Données projet'!$E$14+1,1))-AVERAGE(OFFSET($H$3,0,0,'Données projet'!$E$14+1,1))</f>
        <v>63.94726564348116</v>
      </c>
      <c r="DU6" s="59">
        <f t="shared" si="44"/>
        <v>280.8165028422905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5.5759090909090911</v>
      </c>
      <c r="N7" s="13">
        <f>IF('Données projet'!$A$36&gt;35,N6+M7-V6,IF(A7&lt;'Données projet'!$A$36,$K$205^A7,IF(A7='Données projet'!$A$36,'Données projet'!$B$36,N6+M7-V6)))</f>
        <v>2.3975662243456086</v>
      </c>
      <c r="O7" s="13">
        <f>N7*VLOOKUP('Données projet'!$B$9,Paramètres!$A$1:$I$89,3,0)*VLOOKUP('Données projet'!$B$9,Paramètres!$A$1:$I$89,5,0)</f>
        <v>1.3714078803256882</v>
      </c>
      <c r="P7" s="13">
        <f t="shared" si="33"/>
        <v>0.60918963933937076</v>
      </c>
      <c r="Q7" s="20">
        <f t="shared" si="2"/>
        <v>3.4495406800833108</v>
      </c>
      <c r="R7" s="59">
        <f t="shared" si="0"/>
        <v>265.00509623563886</v>
      </c>
      <c r="S7" s="59">
        <f ca="1">AVERAGE(OFFSET($R$3,0,0,'Données projet'!$E$9+1,1))-AVERAGE(OFFSET($H$3,0,0,'Données projet'!$E$9+1,1))</f>
        <v>294.9631697747962</v>
      </c>
      <c r="T7" s="59">
        <f t="shared" si="34"/>
        <v>202.04924881627716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5.8890909090909096</v>
      </c>
      <c r="AI7" s="13">
        <f>IF('Données projet'!$A$62&gt;35,AI6+AH7-AQ6,IF(A7&lt;'Données projet'!$A$62,$AF$205^A7,IF(A7='Données projet'!$A$62,'Données projet'!$B$62,AI6+AH7-AQ6)))</f>
        <v>2.4215064229566203</v>
      </c>
      <c r="AJ7" s="13">
        <f>AI7*VLOOKUP('Données projet'!$B$10,Paramètres!$A$1:$I$89,3,0)*VLOOKUP('Données projet'!$B$10,Paramètres!$A$1:$I$89,5,0)</f>
        <v>1.4480608409280591</v>
      </c>
      <c r="AK7" s="13">
        <f t="shared" si="35"/>
        <v>0.63918016510585218</v>
      </c>
      <c r="AL7" s="20">
        <f t="shared" si="4"/>
        <v>3.6352780855090621</v>
      </c>
      <c r="AM7" s="59">
        <f t="shared" si="5"/>
        <v>265.19083364106461</v>
      </c>
      <c r="AN7" s="59">
        <f ca="1">AVERAGE(OFFSET($AM$3,0,0,'Données projet'!$E$10+1,1))-AVERAGE(OFFSET($H$3,0,0,'Données projet'!$E$10+1,1))</f>
        <v>349.71285006949597</v>
      </c>
      <c r="AO7" s="59">
        <f t="shared" si="36"/>
        <v>258.51550516456842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4.5856818181818184</v>
      </c>
      <c r="BD7" s="12">
        <f>IF('Données projet'!$A$88&gt;35,BD6+BC7-BL6,IF(A7&lt;'Données projet'!$A$88,$BA$205^A7,IF(A7='Données projet'!$A$88,'Données projet'!$B$88,BD6+BC7-BL6)))</f>
        <v>18.342727272727274</v>
      </c>
      <c r="BE7" s="13">
        <f>BD7*VLOOKUP('Données projet'!$B$11,Paramètres!$A$1:$I$89,3,0)*VLOOKUP('Données projet'!$B$11,Paramètres!$A$1:$I$89,5,0)</f>
        <v>16.596499636363635</v>
      </c>
      <c r="BF7" s="13">
        <f t="shared" si="37"/>
        <v>5.5151667138499949</v>
      </c>
      <c r="BG7" s="20">
        <f t="shared" si="7"/>
        <v>38.511152226622073</v>
      </c>
      <c r="BH7" s="59">
        <f t="shared" si="8"/>
        <v>300.06670778217762</v>
      </c>
      <c r="BI7" s="59">
        <f ca="1">AVERAGE(OFFSET($BH$3,0,0,'Données projet'!$E$11+1,1))-AVERAGE(OFFSET($H$3,0,0,'Données projet'!$E$11+1,1))</f>
        <v>490.06222615476065</v>
      </c>
      <c r="BJ7" s="59">
        <f t="shared" si="38"/>
        <v>310.43914804089906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13.000457600000001</v>
      </c>
      <c r="CA7" s="13">
        <f t="shared" si="39"/>
        <v>4.4447354657404903</v>
      </c>
      <c r="CB7" s="20">
        <f t="shared" si="10"/>
        <v>30.383711256164688</v>
      </c>
      <c r="CC7" s="59">
        <f t="shared" si="11"/>
        <v>291.93926681172024</v>
      </c>
      <c r="CD7" s="59">
        <f ca="1">AVERAGE(OFFSET($CC$3,0,0,'Données projet'!$E$12+1,1))-AVERAGE(OFFSET($H$3,0,0,'Données projet'!$E$12+1,1))</f>
        <v>510.71380643466227</v>
      </c>
      <c r="CE7" s="59">
        <f t="shared" si="40"/>
        <v>252.40654099948841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4.016578947368421</v>
      </c>
      <c r="CT7" s="12">
        <f>IF('Données projet'!$A$140&gt;35,CT6+CS7-DB6,IF(A7&lt;'Données projet'!$A$140,$CQ$205^A7,IF(A7='Données projet'!$A$140,'Données projet'!$B$140,CT6+CS7-DB6)))</f>
        <v>16.066315789473684</v>
      </c>
      <c r="CU7" s="17">
        <f>CT7*VLOOKUP('Données projet'!$B$13,Paramètres!$A$1:$I$89,3,0)*VLOOKUP('Données projet'!$B$13,Paramètres!$A$1:$I$89,5,0)</f>
        <v>17.293782315789475</v>
      </c>
      <c r="CV7" s="13">
        <f t="shared" si="41"/>
        <v>5.7194156353897379</v>
      </c>
      <c r="CW7" s="20">
        <f t="shared" si="13"/>
        <v>40.081319764970452</v>
      </c>
      <c r="CX7" s="59">
        <f t="shared" si="14"/>
        <v>301.63687532052597</v>
      </c>
      <c r="CY7" s="59">
        <f ca="1">AVERAGE(OFFSET($CX$3,0,0,'Données projet'!$E$13+1,1))-AVERAGE(OFFSET($H$3,0,0,'Données projet'!$E$13+1,1))</f>
        <v>502.65044103360322</v>
      </c>
      <c r="CZ7" s="59">
        <f t="shared" si="42"/>
        <v>321.65762891855167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14.581250000000001</v>
      </c>
      <c r="DO7" s="12">
        <f>IF('Données projet'!$A$166&gt;35,DO6+DN7-DW6,IF(A7&lt;'Données projet'!$A$166,$DL$205^A7,IF(A7='Données projet'!$A$166,'Données projet'!$B$166,DO6+DN7-DW6)))</f>
        <v>3.9082171367642839</v>
      </c>
      <c r="DP7" s="17">
        <f>DO7*VLOOKUP('Données projet'!$B$14,Paramètres!$A$1:$I$89,3,0)*VLOOKUP('Données projet'!$B$14,Paramètres!$A$1:$I$89,5,0)</f>
        <v>1.9875629070728444</v>
      </c>
      <c r="DQ7" s="13">
        <f t="shared" si="43"/>
        <v>0.84556772390069268</v>
      </c>
      <c r="DR7" s="20">
        <f t="shared" si="16"/>
        <v>4.9343691822789104</v>
      </c>
      <c r="DS7" s="59">
        <f t="shared" si="17"/>
        <v>266.48992473783443</v>
      </c>
      <c r="DT7" s="59">
        <f ca="1">AVERAGE(OFFSET($DS$3,0,0,'Données projet'!$E$14+1,1))-AVERAGE(OFFSET($H$3,0,0,'Données projet'!$E$14+1,1))</f>
        <v>63.94726564348116</v>
      </c>
      <c r="DU7" s="59">
        <f t="shared" si="44"/>
        <v>280.8165028422905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5.5759090909090911</v>
      </c>
      <c r="N8" s="13">
        <f>IF('Données projet'!$A$36&gt;35,N7+M8-V7,IF(A8&lt;'Données projet'!$A$36,$K$205^A8,IF(A8='Données projet'!$A$36,'Données projet'!$B$36,N7+M8-V7)))</f>
        <v>2.9834122239632994</v>
      </c>
      <c r="O8" s="13">
        <f>N8*VLOOKUP('Données projet'!$B$9,Paramètres!$A$1:$I$89,3,0)*VLOOKUP('Données projet'!$B$9,Paramètres!$A$1:$I$89,5,0)</f>
        <v>1.7065117921070072</v>
      </c>
      <c r="P8" s="13">
        <f t="shared" si="33"/>
        <v>0.73899897618334032</v>
      </c>
      <c r="Q8" s="20">
        <f t="shared" si="2"/>
        <v>4.2592645881056876</v>
      </c>
      <c r="R8" s="59">
        <f t="shared" si="0"/>
        <v>267.03704236588345</v>
      </c>
      <c r="S8" s="59">
        <f ca="1">AVERAGE(OFFSET($R$3,0,0,'Données projet'!$E$9+1,1))-AVERAGE(OFFSET($H$3,0,0,'Données projet'!$E$9+1,1))</f>
        <v>294.9631697747962</v>
      </c>
      <c r="T8" s="59">
        <f t="shared" si="34"/>
        <v>202.04924881627716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5.8890909090909096</v>
      </c>
      <c r="AI8" s="13">
        <f>IF('Données projet'!$A$62&gt;35,AI7+AH8-AQ7,IF(A8&lt;'Données projet'!$A$62,$AF$205^A8,IF(A8='Données projet'!$A$62,'Données projet'!$B$62,AI7+AH8-AQ7)))</f>
        <v>3.0206960777814591</v>
      </c>
      <c r="AJ8" s="13">
        <f>AI8*VLOOKUP('Données projet'!$B$10,Paramètres!$A$1:$I$89,3,0)*VLOOKUP('Données projet'!$B$10,Paramètres!$A$1:$I$89,5,0)</f>
        <v>1.8063762545133126</v>
      </c>
      <c r="AK8" s="13">
        <f t="shared" si="35"/>
        <v>0.77708370871120902</v>
      </c>
      <c r="AL8" s="20">
        <f t="shared" si="4"/>
        <v>4.4995261026160422</v>
      </c>
      <c r="AM8" s="59">
        <f t="shared" si="5"/>
        <v>267.27730388039379</v>
      </c>
      <c r="AN8" s="59">
        <f ca="1">AVERAGE(OFFSET($AM$3,0,0,'Données projet'!$E$10+1,1))-AVERAGE(OFFSET($H$3,0,0,'Données projet'!$E$10+1,1))</f>
        <v>349.71285006949597</v>
      </c>
      <c r="AO8" s="59">
        <f t="shared" si="36"/>
        <v>258.51550516456842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4.5856818181818184</v>
      </c>
      <c r="BD8" s="12">
        <f>IF('Données projet'!$A$88&gt;35,BD7+BC8-BL7,IF(A8&lt;'Données projet'!$A$88,$BA$205^A8,IF(A8='Données projet'!$A$88,'Données projet'!$B$88,BD7+BC8-BL7)))</f>
        <v>22.928409090909092</v>
      </c>
      <c r="BE8" s="13">
        <f>BD8*VLOOKUP('Données projet'!$B$11,Paramètres!$A$1:$I$89,3,0)*VLOOKUP('Données projet'!$B$11,Paramètres!$A$1:$I$89,5,0)</f>
        <v>20.745624545454547</v>
      </c>
      <c r="BF8" s="13">
        <f t="shared" si="37"/>
        <v>6.7172008216278272</v>
      </c>
      <c r="BG8" s="20">
        <f t="shared" si="7"/>
        <v>47.831087514335131</v>
      </c>
      <c r="BH8" s="59">
        <f t="shared" si="8"/>
        <v>310.60886529211291</v>
      </c>
      <c r="BI8" s="59">
        <f ca="1">AVERAGE(OFFSET($BH$3,0,0,'Données projet'!$E$11+1,1))-AVERAGE(OFFSET($H$3,0,0,'Données projet'!$E$11+1,1))</f>
        <v>490.06222615476065</v>
      </c>
      <c r="BJ8" s="59">
        <f t="shared" si="38"/>
        <v>310.43914804089906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16.250572000000002</v>
      </c>
      <c r="CA8" s="13">
        <f t="shared" si="39"/>
        <v>5.4134683993167183</v>
      </c>
      <c r="CB8" s="20">
        <f t="shared" si="10"/>
        <v>37.731537028809953</v>
      </c>
      <c r="CC8" s="59">
        <f t="shared" si="11"/>
        <v>300.50931480658772</v>
      </c>
      <c r="CD8" s="59">
        <f ca="1">AVERAGE(OFFSET($CC$3,0,0,'Données projet'!$E$12+1,1))-AVERAGE(OFFSET($H$3,0,0,'Données projet'!$E$12+1,1))</f>
        <v>510.71380643466227</v>
      </c>
      <c r="CE8" s="59">
        <f t="shared" si="40"/>
        <v>252.40654099948841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4.016578947368421</v>
      </c>
      <c r="CT8" s="12">
        <f>IF('Données projet'!$A$140&gt;35,CT7+CS8-DB7,IF(A8&lt;'Données projet'!$A$140,$CQ$205^A8,IF(A8='Données projet'!$A$140,'Données projet'!$B$140,CT7+CS8-DB7)))</f>
        <v>20.082894736842107</v>
      </c>
      <c r="CU8" s="17">
        <f>CT8*VLOOKUP('Données projet'!$B$13,Paramètres!$A$1:$I$89,3,0)*VLOOKUP('Données projet'!$B$13,Paramètres!$A$1:$I$89,5,0)</f>
        <v>21.617227894736843</v>
      </c>
      <c r="CV8" s="13">
        <f t="shared" si="41"/>
        <v>6.9659659260693632</v>
      </c>
      <c r="CW8" s="20">
        <f t="shared" si="13"/>
        <v>49.782395904570798</v>
      </c>
      <c r="CX8" s="59">
        <f t="shared" si="14"/>
        <v>312.56017368234859</v>
      </c>
      <c r="CY8" s="59">
        <f ca="1">AVERAGE(OFFSET($CX$3,0,0,'Données projet'!$E$13+1,1))-AVERAGE(OFFSET($H$3,0,0,'Données projet'!$E$13+1,1))</f>
        <v>502.65044103360322</v>
      </c>
      <c r="CZ8" s="59">
        <f t="shared" si="42"/>
        <v>321.65762891855167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14.581250000000001</v>
      </c>
      <c r="DO8" s="12">
        <f>IF('Données projet'!$A$166&gt;35,DO7+DN8-DW7,IF(A8&lt;'Données projet'!$A$166,$DL$205^A8,IF(A8='Données projet'!$A$166,'Données projet'!$B$166,DO7+DN8-DW7)))</f>
        <v>5.4950716035611649</v>
      </c>
      <c r="DP8" s="17">
        <f>DO8*VLOOKUP('Données projet'!$B$14,Paramètres!$A$1:$I$89,3,0)*VLOOKUP('Données projet'!$B$14,Paramètres!$A$1:$I$89,5,0)</f>
        <v>2.7945736147070663</v>
      </c>
      <c r="DQ8" s="13">
        <f t="shared" si="43"/>
        <v>1.1426585895560655</v>
      </c>
      <c r="DR8" s="20">
        <f t="shared" si="16"/>
        <v>6.8573460890916209</v>
      </c>
      <c r="DS8" s="59">
        <f t="shared" si="17"/>
        <v>269.63512386686938</v>
      </c>
      <c r="DT8" s="59">
        <f ca="1">AVERAGE(OFFSET($DS$3,0,0,'Données projet'!$E$14+1,1))-AVERAGE(OFFSET($H$3,0,0,'Données projet'!$E$14+1,1))</f>
        <v>63.94726564348116</v>
      </c>
      <c r="DU8" s="59">
        <f t="shared" si="44"/>
        <v>280.8165028422905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5.5759090909090911</v>
      </c>
      <c r="N9" s="13">
        <f>IF('Données projet'!$A$36&gt;35,N8+M9-V8,IF(A9&lt;'Données projet'!$A$36,$K$205^A9,IF(A9='Données projet'!$A$36,'Données projet'!$B$36,N8+M9-V8)))</f>
        <v>3.7124098628487343</v>
      </c>
      <c r="O9" s="13">
        <f>N9*VLOOKUP('Données projet'!$B$9,Paramètres!$A$1:$I$89,3,0)*VLOOKUP('Données projet'!$B$9,Paramètres!$A$1:$I$89,5,0)</f>
        <v>2.1234984415494762</v>
      </c>
      <c r="P9" s="13">
        <f t="shared" si="33"/>
        <v>0.89646877020472415</v>
      </c>
      <c r="Q9" s="20">
        <f t="shared" si="2"/>
        <v>5.2597762271385653</v>
      </c>
      <c r="R9" s="59">
        <f t="shared" si="0"/>
        <v>269.25977622713856</v>
      </c>
      <c r="S9" s="59">
        <f ca="1">AVERAGE(OFFSET($R$3,0,0,'Données projet'!$E$9+1,1))-AVERAGE(OFFSET($H$3,0,0,'Données projet'!$E$9+1,1))</f>
        <v>294.9631697747962</v>
      </c>
      <c r="T9" s="59">
        <f t="shared" si="34"/>
        <v>202.04924881627716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5.8890909090909096</v>
      </c>
      <c r="AI9" s="13">
        <f>IF('Données projet'!$A$62&gt;35,AI8+AH9-AQ8,IF(A9&lt;'Données projet'!$A$62,$AF$205^A9,IF(A9='Données projet'!$A$62,'Données projet'!$B$62,AI8+AH9-AQ8)))</f>
        <v>3.7681522162486343</v>
      </c>
      <c r="AJ9" s="13">
        <f>AI9*VLOOKUP('Données projet'!$B$10,Paramètres!$A$1:$I$89,3,0)*VLOOKUP('Données projet'!$B$10,Paramètres!$A$1:$I$89,5,0)</f>
        <v>2.2533550253166834</v>
      </c>
      <c r="AK9" s="13">
        <f t="shared" si="35"/>
        <v>0.94474003310844989</v>
      </c>
      <c r="AL9" s="20">
        <f t="shared" si="4"/>
        <v>5.5700155600904404</v>
      </c>
      <c r="AM9" s="59">
        <f t="shared" si="5"/>
        <v>269.57001556009044</v>
      </c>
      <c r="AN9" s="59">
        <f ca="1">AVERAGE(OFFSET($AM$3,0,0,'Données projet'!$E$10+1,1))-AVERAGE(OFFSET($H$3,0,0,'Données projet'!$E$10+1,1))</f>
        <v>349.71285006949597</v>
      </c>
      <c r="AO9" s="59">
        <f t="shared" si="36"/>
        <v>258.51550516456842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4.5856818181818184</v>
      </c>
      <c r="BD9" s="12">
        <f>IF('Données projet'!$A$88&gt;35,BD8+BC9-BL8,IF(A9&lt;'Données projet'!$A$88,$BA$205^A9,IF(A9='Données projet'!$A$88,'Données projet'!$B$88,BD8+BC9-BL8)))</f>
        <v>27.51409090909091</v>
      </c>
      <c r="BE9" s="13">
        <f>BD9*VLOOKUP('Données projet'!$B$11,Paramètres!$A$1:$I$89,3,0)*VLOOKUP('Données projet'!$B$11,Paramètres!$A$1:$I$89,5,0)</f>
        <v>24.894749454545455</v>
      </c>
      <c r="BF9" s="13">
        <f t="shared" si="37"/>
        <v>7.8913786303106157</v>
      </c>
      <c r="BG9" s="20">
        <f t="shared" si="7"/>
        <v>57.102506414457658</v>
      </c>
      <c r="BH9" s="59">
        <f t="shared" si="8"/>
        <v>321.10250641445765</v>
      </c>
      <c r="BI9" s="59">
        <f ca="1">AVERAGE(OFFSET($BH$3,0,0,'Données projet'!$E$11+1,1))-AVERAGE(OFFSET($H$3,0,0,'Données projet'!$E$11+1,1))</f>
        <v>490.06222615476065</v>
      </c>
      <c r="BJ9" s="59">
        <f t="shared" si="38"/>
        <v>310.43914804089906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19.500686400000003</v>
      </c>
      <c r="CA9" s="13">
        <f t="shared" si="39"/>
        <v>6.3597516252130122</v>
      </c>
      <c r="CB9" s="20">
        <f t="shared" si="10"/>
        <v>45.040262893912661</v>
      </c>
      <c r="CC9" s="59">
        <f t="shared" si="11"/>
        <v>309.04026289391265</v>
      </c>
      <c r="CD9" s="59">
        <f ca="1">AVERAGE(OFFSET($CC$3,0,0,'Données projet'!$E$12+1,1))-AVERAGE(OFFSET($H$3,0,0,'Données projet'!$E$12+1,1))</f>
        <v>510.71380643466227</v>
      </c>
      <c r="CE9" s="59">
        <f t="shared" si="40"/>
        <v>252.40654099948841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4.016578947368421</v>
      </c>
      <c r="CT9" s="12">
        <f>IF('Données projet'!$A$140&gt;35,CT8+CS9-DB8,IF(A9&lt;'Données projet'!$A$140,$CQ$205^A9,IF(A9='Données projet'!$A$140,'Données projet'!$B$140,CT8+CS9-DB8)))</f>
        <v>24.09947368421053</v>
      </c>
      <c r="CU9" s="17">
        <f>CT9*VLOOKUP('Données projet'!$B$13,Paramètres!$A$1:$I$89,3,0)*VLOOKUP('Données projet'!$B$13,Paramètres!$A$1:$I$89,5,0)</f>
        <v>25.940673473684214</v>
      </c>
      <c r="CV9" s="13">
        <f t="shared" si="41"/>
        <v>8.1836282862738852</v>
      </c>
      <c r="CW9" s="20">
        <f t="shared" si="13"/>
        <v>59.433158898593696</v>
      </c>
      <c r="CX9" s="59">
        <f t="shared" si="14"/>
        <v>323.43315889859372</v>
      </c>
      <c r="CY9" s="59">
        <f ca="1">AVERAGE(OFFSET($CX$3,0,0,'Données projet'!$E$13+1,1))-AVERAGE(OFFSET($H$3,0,0,'Données projet'!$E$13+1,1))</f>
        <v>502.65044103360322</v>
      </c>
      <c r="CZ9" s="59">
        <f t="shared" si="42"/>
        <v>321.65762891855167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14.581250000000001</v>
      </c>
      <c r="DO9" s="12">
        <f>IF('Données projet'!$A$166&gt;35,DO8+DN9-DW8,IF(A9&lt;'Données projet'!$A$166,$DL$205^A9,IF(A9='Données projet'!$A$166,'Données projet'!$B$166,DO8+DN9-DW8)))</f>
        <v>7.726237021022885</v>
      </c>
      <c r="DP9" s="17">
        <f>DO9*VLOOKUP('Données projet'!$B$14,Paramètres!$A$1:$I$89,3,0)*VLOOKUP('Données projet'!$B$14,Paramètres!$A$1:$I$89,5,0)</f>
        <v>3.9292550994113986</v>
      </c>
      <c r="DQ9" s="13">
        <f t="shared" si="43"/>
        <v>1.5441325577838645</v>
      </c>
      <c r="DR9" s="20">
        <f t="shared" si="16"/>
        <v>9.53281683628175</v>
      </c>
      <c r="DS9" s="59">
        <f t="shared" si="17"/>
        <v>273.53281683628177</v>
      </c>
      <c r="DT9" s="59">
        <f ca="1">AVERAGE(OFFSET($DS$3,0,0,'Données projet'!$E$14+1,1))-AVERAGE(OFFSET($H$3,0,0,'Données projet'!$E$14+1,1))</f>
        <v>63.94726564348116</v>
      </c>
      <c r="DU9" s="59">
        <f t="shared" si="44"/>
        <v>280.8165028422905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5.5759090909090911</v>
      </c>
      <c r="N10" s="13">
        <f>IF('Données projet'!$A$36&gt;35,N9+M10-V9,IF(A10&lt;'Données projet'!$A$36,$K$205^A10,IF(A10='Données projet'!$A$36,'Données projet'!$B$36,N9+M10-V9)))</f>
        <v>4.6195382854160014</v>
      </c>
      <c r="O10" s="13">
        <f>N10*VLOOKUP('Données projet'!$B$9,Paramètres!$A$1:$I$89,3,0)*VLOOKUP('Données projet'!$B$9,Paramètres!$A$1:$I$89,5,0)</f>
        <v>2.6423758992579529</v>
      </c>
      <c r="P10" s="13">
        <f t="shared" si="33"/>
        <v>1.0874930573015966</v>
      </c>
      <c r="Q10" s="20">
        <f t="shared" si="2"/>
        <v>6.4961884326745478</v>
      </c>
      <c r="R10" s="59">
        <f t="shared" si="0"/>
        <v>271.71841065489679</v>
      </c>
      <c r="S10" s="59">
        <f ca="1">AVERAGE(OFFSET($R$3,0,0,'Données projet'!$E$9+1,1))-AVERAGE(OFFSET($H$3,0,0,'Données projet'!$E$9+1,1))</f>
        <v>294.9631697747962</v>
      </c>
      <c r="T10" s="59">
        <f t="shared" si="34"/>
        <v>202.04924881627716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5.8890909090909096</v>
      </c>
      <c r="AI10" s="13">
        <f>IF('Données projet'!$A$62&gt;35,AI9+AH10-AQ9,IF(A10&lt;'Données projet'!$A$62,$AF$205^A10,IF(A10='Données projet'!$A$62,'Données projet'!$B$62,AI9+AH10-AQ9)))</f>
        <v>4.7005626382803412</v>
      </c>
      <c r="AJ10" s="13">
        <f>AI10*VLOOKUP('Données projet'!$B$10,Paramètres!$A$1:$I$89,3,0)*VLOOKUP('Données projet'!$B$10,Paramètres!$A$1:$I$89,5,0)</f>
        <v>2.8109364576916445</v>
      </c>
      <c r="AK10" s="13">
        <f t="shared" si="35"/>
        <v>1.1485683204426194</v>
      </c>
      <c r="AL10" s="20">
        <f t="shared" si="4"/>
        <v>6.8961374885838422</v>
      </c>
      <c r="AM10" s="59">
        <f t="shared" si="5"/>
        <v>272.11835971080609</v>
      </c>
      <c r="AN10" s="59">
        <f ca="1">AVERAGE(OFFSET($AM$3,0,0,'Données projet'!$E$10+1,1))-AVERAGE(OFFSET($H$3,0,0,'Données projet'!$E$10+1,1))</f>
        <v>349.71285006949597</v>
      </c>
      <c r="AO10" s="59">
        <f t="shared" si="36"/>
        <v>258.51550516456842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4.5856818181818184</v>
      </c>
      <c r="BD10" s="12">
        <f>IF('Données projet'!$A$88&gt;35,BD9+BC10-BL9,IF(A10&lt;'Données projet'!$A$88,$BA$205^A10,IF(A10='Données projet'!$A$88,'Données projet'!$B$88,BD9+BC10-BL9)))</f>
        <v>32.099772727272729</v>
      </c>
      <c r="BE10" s="13">
        <f>BD10*VLOOKUP('Données projet'!$B$11,Paramètres!$A$1:$I$89,3,0)*VLOOKUP('Données projet'!$B$11,Paramètres!$A$1:$I$89,5,0)</f>
        <v>29.043874363636363</v>
      </c>
      <c r="BF10" s="13">
        <f t="shared" si="37"/>
        <v>9.0428861843958348</v>
      </c>
      <c r="BG10" s="20">
        <f t="shared" si="7"/>
        <v>66.334441287822742</v>
      </c>
      <c r="BH10" s="59">
        <f t="shared" si="8"/>
        <v>331.55666351004498</v>
      </c>
      <c r="BI10" s="59">
        <f ca="1">AVERAGE(OFFSET($BH$3,0,0,'Données projet'!$E$11+1,1))-AVERAGE(OFFSET($H$3,0,0,'Données projet'!$E$11+1,1))</f>
        <v>490.06222615476065</v>
      </c>
      <c r="BJ10" s="59">
        <f t="shared" si="38"/>
        <v>310.43914804089906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22.750800800000004</v>
      </c>
      <c r="CA10" s="13">
        <f t="shared" si="39"/>
        <v>7.2877646355645735</v>
      </c>
      <c r="CB10" s="20">
        <f t="shared" si="10"/>
        <v>52.317168133608305</v>
      </c>
      <c r="CC10" s="59">
        <f t="shared" si="11"/>
        <v>317.53939035583051</v>
      </c>
      <c r="CD10" s="59">
        <f ca="1">AVERAGE(OFFSET($CC$3,0,0,'Données projet'!$E$12+1,1))-AVERAGE(OFFSET($H$3,0,0,'Données projet'!$E$12+1,1))</f>
        <v>510.71380643466227</v>
      </c>
      <c r="CE10" s="59">
        <f t="shared" si="40"/>
        <v>252.40654099948841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4.016578947368421</v>
      </c>
      <c r="CT10" s="12">
        <f>IF('Données projet'!$A$140&gt;35,CT9+CS10-DB9,IF(A10&lt;'Données projet'!$A$140,$CQ$205^A10,IF(A10='Données projet'!$A$140,'Données projet'!$B$140,CT9+CS10-DB9)))</f>
        <v>28.116052631578953</v>
      </c>
      <c r="CU10" s="17">
        <f>CT10*VLOOKUP('Données projet'!$B$13,Paramètres!$A$1:$I$89,3,0)*VLOOKUP('Données projet'!$B$13,Paramètres!$A$1:$I$89,5,0)</f>
        <v>30.264119052631585</v>
      </c>
      <c r="CV10" s="13">
        <f t="shared" si="41"/>
        <v>9.377780820695989</v>
      </c>
      <c r="CW10" s="20">
        <f t="shared" si="13"/>
        <v>69.042975612712198</v>
      </c>
      <c r="CX10" s="59">
        <f t="shared" si="14"/>
        <v>334.26519783493444</v>
      </c>
      <c r="CY10" s="59">
        <f ca="1">AVERAGE(OFFSET($CX$3,0,0,'Données projet'!$E$13+1,1))-AVERAGE(OFFSET($H$3,0,0,'Données projet'!$E$13+1,1))</f>
        <v>502.65044103360322</v>
      </c>
      <c r="CZ10" s="59">
        <f t="shared" si="42"/>
        <v>321.65762891855167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14.581250000000001</v>
      </c>
      <c r="DO10" s="12">
        <f>IF('Données projet'!$A$166&gt;35,DO9+DN10-DW9,IF(A10&lt;'Données projet'!$A$166,$DL$205^A10,IF(A10='Données projet'!$A$166,'Données projet'!$B$166,DO9+DN10-DW9)))</f>
        <v>10.863323139654542</v>
      </c>
      <c r="DP10" s="17">
        <f>DO10*VLOOKUP('Données projet'!$B$14,Paramètres!$A$1:$I$89,3,0)*VLOOKUP('Données projet'!$B$14,Paramètres!$A$1:$I$89,5,0)</f>
        <v>5.5246516159027141</v>
      </c>
      <c r="DQ10" s="13">
        <f t="shared" si="43"/>
        <v>2.0866647114029768</v>
      </c>
      <c r="DR10" s="20">
        <f t="shared" si="16"/>
        <v>13.256375936724078</v>
      </c>
      <c r="DS10" s="59">
        <f t="shared" si="17"/>
        <v>278.47859815894628</v>
      </c>
      <c r="DT10" s="59">
        <f ca="1">AVERAGE(OFFSET($DS$3,0,0,'Données projet'!$E$14+1,1))-AVERAGE(OFFSET($H$3,0,0,'Données projet'!$E$14+1,1))</f>
        <v>63.94726564348116</v>
      </c>
      <c r="DU10" s="59">
        <f t="shared" si="44"/>
        <v>280.8165028422905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5.5759090909090911</v>
      </c>
      <c r="N11" s="13">
        <f>IF('Données projet'!$A$36&gt;35,N10+M11-V10,IF(A11&lt;'Données projet'!$A$36,$K$205^A11,IF(A11='Données projet'!$A$36,'Données projet'!$B$36,N10+M11-V10)))</f>
        <v>5.7483238001228569</v>
      </c>
      <c r="O11" s="13">
        <f>N11*VLOOKUP('Données projet'!$B$9,Paramètres!$A$1:$I$89,3,0)*VLOOKUP('Données projet'!$B$9,Paramètres!$A$1:$I$89,5,0)</f>
        <v>3.2880412136702741</v>
      </c>
      <c r="P11" s="13">
        <f t="shared" si="33"/>
        <v>1.319221805584033</v>
      </c>
      <c r="Q11" s="20">
        <f t="shared" si="2"/>
        <v>8.0243164252012509</v>
      </c>
      <c r="R11" s="59">
        <f t="shared" si="0"/>
        <v>274.46876086964573</v>
      </c>
      <c r="S11" s="59">
        <f ca="1">AVERAGE(OFFSET($R$3,0,0,'Données projet'!$E$9+1,1))-AVERAGE(OFFSET($H$3,0,0,'Données projet'!$E$9+1,1))</f>
        <v>294.9631697747962</v>
      </c>
      <c r="T11" s="59">
        <f t="shared" si="34"/>
        <v>202.04924881627716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5.8890909090909096</v>
      </c>
      <c r="AI11" s="13">
        <f>IF('Données projet'!$A$62&gt;35,AI10+AH11-AQ10,IF(A11&lt;'Données projet'!$A$62,$AF$205^A11,IF(A11='Données projet'!$A$62,'Données projet'!$B$62,AI10+AH11-AQ10)))</f>
        <v>5.8636933564201668</v>
      </c>
      <c r="AJ11" s="13">
        <f>AI11*VLOOKUP('Données projet'!$B$10,Paramètres!$A$1:$I$89,3,0)*VLOOKUP('Données projet'!$B$10,Paramètres!$A$1:$I$89,5,0)</f>
        <v>3.5064886271392601</v>
      </c>
      <c r="AK11" s="13">
        <f t="shared" si="35"/>
        <v>1.3963726956545126</v>
      </c>
      <c r="AL11" s="20">
        <f t="shared" si="4"/>
        <v>8.5391501371991527</v>
      </c>
      <c r="AM11" s="59">
        <f t="shared" si="5"/>
        <v>274.98359458164362</v>
      </c>
      <c r="AN11" s="59">
        <f ca="1">AVERAGE(OFFSET($AM$3,0,0,'Données projet'!$E$10+1,1))-AVERAGE(OFFSET($H$3,0,0,'Données projet'!$E$10+1,1))</f>
        <v>349.71285006949597</v>
      </c>
      <c r="AO11" s="59">
        <f t="shared" si="36"/>
        <v>258.51550516456842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4.5856818181818184</v>
      </c>
      <c r="BD11" s="12">
        <f>IF('Données projet'!$A$88&gt;35,BD10+BC11-BL10,IF(A11&lt;'Données projet'!$A$88,$BA$205^A11,IF(A11='Données projet'!$A$88,'Données projet'!$B$88,BD10+BC11-BL10)))</f>
        <v>36.685454545454547</v>
      </c>
      <c r="BE11" s="13">
        <f>BD11*VLOOKUP('Données projet'!$B$11,Paramètres!$A$1:$I$89,3,0)*VLOOKUP('Données projet'!$B$11,Paramètres!$A$1:$I$89,5,0)</f>
        <v>33.19299927272727</v>
      </c>
      <c r="BF11" s="13">
        <f t="shared" si="37"/>
        <v>10.175335768620887</v>
      </c>
      <c r="BG11" s="20">
        <f t="shared" si="7"/>
        <v>75.53318353034804</v>
      </c>
      <c r="BH11" s="59">
        <f t="shared" si="8"/>
        <v>341.97762797479248</v>
      </c>
      <c r="BI11" s="59">
        <f ca="1">AVERAGE(OFFSET($BH$3,0,0,'Données projet'!$E$11+1,1))-AVERAGE(OFFSET($H$3,0,0,'Données projet'!$E$11+1,1))</f>
        <v>490.06222615476065</v>
      </c>
      <c r="BJ11" s="59">
        <f t="shared" si="38"/>
        <v>310.43914804089906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26.000915200000001</v>
      </c>
      <c r="CA11" s="13">
        <f t="shared" si="39"/>
        <v>8.2004186116498072</v>
      </c>
      <c r="CB11" s="20">
        <f t="shared" si="10"/>
        <v>59.567323055290082</v>
      </c>
      <c r="CC11" s="59">
        <f t="shared" si="11"/>
        <v>326.01176749973456</v>
      </c>
      <c r="CD11" s="59">
        <f ca="1">AVERAGE(OFFSET($CC$3,0,0,'Données projet'!$E$12+1,1))-AVERAGE(OFFSET($H$3,0,0,'Données projet'!$E$12+1,1))</f>
        <v>510.71380643466227</v>
      </c>
      <c r="CE11" s="59">
        <f t="shared" si="40"/>
        <v>252.40654099948841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4.016578947368421</v>
      </c>
      <c r="CT11" s="12">
        <f>IF('Données projet'!$A$140&gt;35,CT10+CS11-DB10,IF(A11&lt;'Données projet'!$A$140,$CQ$205^A11,IF(A11='Données projet'!$A$140,'Données projet'!$B$140,CT10+CS11-DB10)))</f>
        <v>32.132631578947375</v>
      </c>
      <c r="CU11" s="17">
        <f>CT11*VLOOKUP('Données projet'!$B$13,Paramètres!$A$1:$I$89,3,0)*VLOOKUP('Données projet'!$B$13,Paramètres!$A$1:$I$89,5,0)</f>
        <v>34.587564631578957</v>
      </c>
      <c r="CV11" s="13">
        <f t="shared" si="41"/>
        <v>10.552169591581572</v>
      </c>
      <c r="CW11" s="20">
        <f t="shared" si="13"/>
        <v>78.618370438671249</v>
      </c>
      <c r="CX11" s="59">
        <f t="shared" si="14"/>
        <v>345.06281488311572</v>
      </c>
      <c r="CY11" s="59">
        <f ca="1">AVERAGE(OFFSET($CX$3,0,0,'Données projet'!$E$13+1,1))-AVERAGE(OFFSET($H$3,0,0,'Données projet'!$E$13+1,1))</f>
        <v>502.65044103360322</v>
      </c>
      <c r="CZ11" s="59">
        <f t="shared" si="42"/>
        <v>321.65762891855167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14.581250000000001</v>
      </c>
      <c r="DO11" s="12">
        <f>IF('Données projet'!$A$166&gt;35,DO10+DN11-DW10,IF(A11&lt;'Données projet'!$A$166,$DL$205^A11,IF(A11='Données projet'!$A$166,'Données projet'!$B$166,DO10+DN11-DW10)))</f>
        <v>15.274161188098018</v>
      </c>
      <c r="DP11" s="17">
        <f>DO11*VLOOKUP('Données projet'!$B$14,Paramètres!$A$1:$I$89,3,0)*VLOOKUP('Données projet'!$B$14,Paramètres!$A$1:$I$89,5,0)</f>
        <v>7.7678274138191288</v>
      </c>
      <c r="DQ11" s="13">
        <f t="shared" si="43"/>
        <v>2.8198159515939243</v>
      </c>
      <c r="DR11" s="20">
        <f t="shared" si="16"/>
        <v>18.440145528094401</v>
      </c>
      <c r="DS11" s="59">
        <f t="shared" si="17"/>
        <v>284.88458997253883</v>
      </c>
      <c r="DT11" s="59">
        <f ca="1">AVERAGE(OFFSET($DS$3,0,0,'Données projet'!$E$14+1,1))-AVERAGE(OFFSET($H$3,0,0,'Données projet'!$E$14+1,1))</f>
        <v>63.94726564348116</v>
      </c>
      <c r="DU11" s="59">
        <f t="shared" si="44"/>
        <v>280.8165028422905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5.5759090909090911</v>
      </c>
      <c r="N12" s="13">
        <f>IF('Données projet'!$A$36&gt;35,N11+M12-V11,IF(A12&lt;'Données projet'!$A$36,$K$205^A12,IF(A12='Données projet'!$A$36,'Données projet'!$B$36,N11+M12-V11)))</f>
        <v>7.1529283814742222</v>
      </c>
      <c r="O12" s="13">
        <f>N12*VLOOKUP('Données projet'!$B$9,Paramètres!$A$1:$I$89,3,0)*VLOOKUP('Données projet'!$B$9,Paramètres!$A$1:$I$89,5,0)</f>
        <v>4.0914750342032553</v>
      </c>
      <c r="P12" s="13">
        <f t="shared" si="33"/>
        <v>1.6003285360246149</v>
      </c>
      <c r="Q12" s="20">
        <f t="shared" si="2"/>
        <v>9.9132245514802069</v>
      </c>
      <c r="R12" s="59">
        <f t="shared" si="0"/>
        <v>277.57989121814688</v>
      </c>
      <c r="S12" s="59">
        <f ca="1">AVERAGE(OFFSET($R$3,0,0,'Données projet'!$E$9+1,1))-AVERAGE(OFFSET($H$3,0,0,'Données projet'!$E$9+1,1))</f>
        <v>294.9631697747962</v>
      </c>
      <c r="T12" s="59">
        <f t="shared" si="34"/>
        <v>202.04924881627716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5.8890909090909096</v>
      </c>
      <c r="AI12" s="13">
        <f>IF('Données projet'!$A$62&gt;35,AI11+AH12-AQ11,IF(A12&lt;'Données projet'!$A$62,$AF$205^A12,IF(A12='Données projet'!$A$62,'Données projet'!$B$62,AI11+AH12-AQ11)))</f>
        <v>7.3146349541476745</v>
      </c>
      <c r="AJ12" s="13">
        <f>AI12*VLOOKUP('Données projet'!$B$10,Paramètres!$A$1:$I$89,3,0)*VLOOKUP('Données projet'!$B$10,Paramètres!$A$1:$I$89,5,0)</f>
        <v>4.3741517025803098</v>
      </c>
      <c r="AK12" s="13">
        <f t="shared" si="35"/>
        <v>1.6976410288053578</v>
      </c>
      <c r="AL12" s="20">
        <f t="shared" si="4"/>
        <v>10.575039007163371</v>
      </c>
      <c r="AM12" s="59">
        <f t="shared" si="5"/>
        <v>278.24170567383004</v>
      </c>
      <c r="AN12" s="59">
        <f ca="1">AVERAGE(OFFSET($AM$3,0,0,'Données projet'!$E$10+1,1))-AVERAGE(OFFSET($H$3,0,0,'Données projet'!$E$10+1,1))</f>
        <v>349.71285006949597</v>
      </c>
      <c r="AO12" s="59">
        <f t="shared" si="36"/>
        <v>258.51550516456842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4.5856818181818184</v>
      </c>
      <c r="BD12" s="12">
        <f>IF('Données projet'!$A$88&gt;35,BD11+BC12-BL11,IF(A12&lt;'Données projet'!$A$88,$BA$205^A12,IF(A12='Données projet'!$A$88,'Données projet'!$B$88,BD11+BC12-BL11)))</f>
        <v>41.271136363636366</v>
      </c>
      <c r="BE12" s="13">
        <f>BD12*VLOOKUP('Données projet'!$B$11,Paramètres!$A$1:$I$89,3,0)*VLOOKUP('Données projet'!$B$11,Paramètres!$A$1:$I$89,5,0)</f>
        <v>37.342124181818185</v>
      </c>
      <c r="BF12" s="13">
        <f t="shared" si="37"/>
        <v>11.291382458219708</v>
      </c>
      <c r="BG12" s="20">
        <f t="shared" si="7"/>
        <v>84.70335739806599</v>
      </c>
      <c r="BH12" s="59">
        <f t="shared" si="8"/>
        <v>352.37002406473266</v>
      </c>
      <c r="BI12" s="59">
        <f ca="1">AVERAGE(OFFSET($BH$3,0,0,'Données projet'!$E$11+1,1))-AVERAGE(OFFSET($H$3,0,0,'Données projet'!$E$11+1,1))</f>
        <v>490.06222615476065</v>
      </c>
      <c r="BJ12" s="59">
        <f t="shared" si="38"/>
        <v>310.43914804089906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29.251029600000003</v>
      </c>
      <c r="CA12" s="13">
        <f t="shared" si="39"/>
        <v>9.0998533087415616</v>
      </c>
      <c r="CB12" s="20">
        <f t="shared" si="10"/>
        <v>66.794454399391569</v>
      </c>
      <c r="CC12" s="59">
        <f t="shared" si="11"/>
        <v>334.46112106605824</v>
      </c>
      <c r="CD12" s="59">
        <f ca="1">AVERAGE(OFFSET($CC$3,0,0,'Données projet'!$E$12+1,1))-AVERAGE(OFFSET($H$3,0,0,'Données projet'!$E$12+1,1))</f>
        <v>510.71380643466227</v>
      </c>
      <c r="CE12" s="59">
        <f t="shared" si="40"/>
        <v>252.40654099948841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4.016578947368421</v>
      </c>
      <c r="CT12" s="12">
        <f>IF('Données projet'!$A$140&gt;35,CT11+CS12-DB11,IF(A12&lt;'Données projet'!$A$140,$CQ$205^A12,IF(A12='Données projet'!$A$140,'Données projet'!$B$140,CT11+CS12-DB11)))</f>
        <v>36.149210526315798</v>
      </c>
      <c r="CU12" s="17">
        <f>CT12*VLOOKUP('Données projet'!$B$13,Paramètres!$A$1:$I$89,3,0)*VLOOKUP('Données projet'!$B$13,Paramètres!$A$1:$I$89,5,0)</f>
        <v>38.911010210526321</v>
      </c>
      <c r="CV12" s="13">
        <f t="shared" si="41"/>
        <v>11.709548002335099</v>
      </c>
      <c r="CW12" s="20">
        <f t="shared" si="13"/>
        <v>88.164138887400284</v>
      </c>
      <c r="CX12" s="59">
        <f t="shared" si="14"/>
        <v>355.83080555406696</v>
      </c>
      <c r="CY12" s="59">
        <f ca="1">AVERAGE(OFFSET($CX$3,0,0,'Données projet'!$E$13+1,1))-AVERAGE(OFFSET($H$3,0,0,'Données projet'!$E$13+1,1))</f>
        <v>502.65044103360322</v>
      </c>
      <c r="CZ12" s="59">
        <f t="shared" si="42"/>
        <v>321.65762891855167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14.581250000000001</v>
      </c>
      <c r="DO12" s="12">
        <f>IF('Données projet'!$A$166&gt;35,DO11+DN12-DW11,IF(A12&lt;'Données projet'!$A$166,$DL$205^A12,IF(A12='Données projet'!$A$166,'Données projet'!$B$166,DO11+DN12-DW11)))</f>
        <v>21.475933008784541</v>
      </c>
      <c r="DP12" s="17">
        <f>DO12*VLOOKUP('Données projet'!$B$14,Paramètres!$A$1:$I$89,3,0)*VLOOKUP('Données projet'!$B$14,Paramètres!$A$1:$I$89,5,0)</f>
        <v>10.921800490947467</v>
      </c>
      <c r="DQ12" s="13">
        <f t="shared" si="43"/>
        <v>3.8105604400226909</v>
      </c>
      <c r="DR12" s="20">
        <f t="shared" si="16"/>
        <v>25.65886195477302</v>
      </c>
      <c r="DS12" s="59">
        <f t="shared" si="17"/>
        <v>293.32552862143973</v>
      </c>
      <c r="DT12" s="59">
        <f ca="1">AVERAGE(OFFSET($DS$3,0,0,'Données projet'!$E$14+1,1))-AVERAGE(OFFSET($H$3,0,0,'Données projet'!$E$14+1,1))</f>
        <v>63.94726564348116</v>
      </c>
      <c r="DU12" s="59">
        <f t="shared" si="44"/>
        <v>280.8165028422905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5.5759090909090911</v>
      </c>
      <c r="N13" s="13">
        <f>IF('Données projet'!$A$36&gt;35,N12+M13-V12,IF(A13&lt;'Données projet'!$A$36,$K$205^A13,IF(A13='Données projet'!$A$36,'Données projet'!$B$36,N12+M13-V12)))</f>
        <v>8.9007484980936393</v>
      </c>
      <c r="O13" s="13">
        <f>N13*VLOOKUP('Données projet'!$B$9,Paramètres!$A$1:$I$89,3,0)*VLOOKUP('Données projet'!$B$9,Paramètres!$A$1:$I$89,5,0)</f>
        <v>5.0912281409095623</v>
      </c>
      <c r="P13" s="13">
        <f t="shared" si="33"/>
        <v>1.9413349691266533</v>
      </c>
      <c r="Q13" s="20">
        <f t="shared" si="2"/>
        <v>12.24838074997974</v>
      </c>
      <c r="R13" s="59">
        <f t="shared" si="0"/>
        <v>281.13726963886859</v>
      </c>
      <c r="S13" s="59">
        <f ca="1">AVERAGE(OFFSET($R$3,0,0,'Données projet'!$E$9+1,1))-AVERAGE(OFFSET($H$3,0,0,'Données projet'!$E$9+1,1))</f>
        <v>294.9631697747962</v>
      </c>
      <c r="T13" s="59">
        <f t="shared" si="34"/>
        <v>202.04924881627716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5.8890909090909096</v>
      </c>
      <c r="AI13" s="13">
        <f>IF('Données projet'!$A$62&gt;35,AI12+AH13-AQ12,IF(A13&lt;'Données projet'!$A$62,$AF$205^A13,IF(A13='Données projet'!$A$62,'Données projet'!$B$62,AI12+AH13-AQ12)))</f>
        <v>9.1246047943242932</v>
      </c>
      <c r="AJ13" s="13">
        <f>AI13*VLOOKUP('Données projet'!$B$10,Paramètres!$A$1:$I$89,3,0)*VLOOKUP('Données projet'!$B$10,Paramètres!$A$1:$I$89,5,0)</f>
        <v>5.456513667005928</v>
      </c>
      <c r="AK13" s="13">
        <f t="shared" si="35"/>
        <v>2.0639082042007839</v>
      </c>
      <c r="AL13" s="20">
        <f t="shared" si="4"/>
        <v>13.098068092351689</v>
      </c>
      <c r="AM13" s="59">
        <f t="shared" si="5"/>
        <v>281.98695698124055</v>
      </c>
      <c r="AN13" s="59">
        <f ca="1">AVERAGE(OFFSET($AM$3,0,0,'Données projet'!$E$10+1,1))-AVERAGE(OFFSET($H$3,0,0,'Données projet'!$E$10+1,1))</f>
        <v>349.71285006949597</v>
      </c>
      <c r="AO13" s="59">
        <f t="shared" si="36"/>
        <v>258.51550516456842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4.5856818181818184</v>
      </c>
      <c r="BD13" s="12">
        <f>IF('Données projet'!$A$88&gt;35,BD12+BC13-BL12,IF(A13&lt;'Données projet'!$A$88,$BA$205^A13,IF(A13='Données projet'!$A$88,'Données projet'!$B$88,BD12+BC13-BL12)))</f>
        <v>45.856818181818184</v>
      </c>
      <c r="BE13" s="13">
        <f>BD13*VLOOKUP('Données projet'!$B$11,Paramètres!$A$1:$I$89,3,0)*VLOOKUP('Données projet'!$B$11,Paramètres!$A$1:$I$89,5,0)</f>
        <v>41.491249090909093</v>
      </c>
      <c r="BF13" s="13">
        <f t="shared" si="37"/>
        <v>12.393056698299885</v>
      </c>
      <c r="BG13" s="20">
        <f t="shared" si="7"/>
        <v>93.848499249538975</v>
      </c>
      <c r="BH13" s="59">
        <f t="shared" si="8"/>
        <v>362.73738813842783</v>
      </c>
      <c r="BI13" s="59">
        <f ca="1">AVERAGE(OFFSET($BH$3,0,0,'Données projet'!$E$11+1,1))-AVERAGE(OFFSET($H$3,0,0,'Données projet'!$E$11+1,1))</f>
        <v>490.06222615476065</v>
      </c>
      <c r="BJ13" s="59">
        <f t="shared" si="38"/>
        <v>310.43914804089906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32.501144000000004</v>
      </c>
      <c r="CA13" s="13">
        <f t="shared" si="39"/>
        <v>9.9877050856026894</v>
      </c>
      <c r="CB13" s="20">
        <f t="shared" si="10"/>
        <v>74.001412157424696</v>
      </c>
      <c r="CC13" s="59">
        <f t="shared" si="11"/>
        <v>342.89030104631354</v>
      </c>
      <c r="CD13" s="59">
        <f ca="1">AVERAGE(OFFSET($CC$3,0,0,'Données projet'!$E$12+1,1))-AVERAGE(OFFSET($H$3,0,0,'Données projet'!$E$12+1,1))</f>
        <v>510.71380643466227</v>
      </c>
      <c r="CE13" s="59">
        <f t="shared" si="40"/>
        <v>252.40654099948841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4.016578947368421</v>
      </c>
      <c r="CT13" s="12">
        <f>IF('Données projet'!$A$140&gt;35,CT12+CS13-DB12,IF(A13&lt;'Données projet'!$A$140,$CQ$205^A13,IF(A13='Données projet'!$A$140,'Données projet'!$B$140,CT12+CS13-DB12)))</f>
        <v>40.165789473684221</v>
      </c>
      <c r="CU13" s="17">
        <f>CT13*VLOOKUP('Données projet'!$B$13,Paramètres!$A$1:$I$89,3,0)*VLOOKUP('Données projet'!$B$13,Paramètres!$A$1:$I$89,5,0)</f>
        <v>43.234455789473692</v>
      </c>
      <c r="CV13" s="13">
        <f t="shared" si="41"/>
        <v>12.852021693655693</v>
      </c>
      <c r="CW13" s="20">
        <f t="shared" si="13"/>
        <v>97.683948283117005</v>
      </c>
      <c r="CX13" s="59">
        <f t="shared" si="14"/>
        <v>366.57283717200585</v>
      </c>
      <c r="CY13" s="59">
        <f ca="1">AVERAGE(OFFSET($CX$3,0,0,'Données projet'!$E$13+1,1))-AVERAGE(OFFSET($H$3,0,0,'Données projet'!$E$13+1,1))</f>
        <v>502.65044103360322</v>
      </c>
      <c r="CZ13" s="59">
        <f t="shared" si="42"/>
        <v>321.65762891855167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14.581250000000001</v>
      </c>
      <c r="DO13" s="12">
        <f>IF('Données projet'!$A$166&gt;35,DO12+DN13-DW12,IF(A13&lt;'Données projet'!$A$166,$DL$205^A13,IF(A13='Données projet'!$A$166,'Données projet'!$B$166,DO12+DN13-DW12)))</f>
        <v>30.195811928264273</v>
      </c>
      <c r="DP13" s="17">
        <f>DO13*VLOOKUP('Données projet'!$B$14,Paramètres!$A$1:$I$89,3,0)*VLOOKUP('Données projet'!$B$14,Paramètres!$A$1:$I$89,5,0)</f>
        <v>15.35638211423808</v>
      </c>
      <c r="DQ13" s="13">
        <f t="shared" si="43"/>
        <v>5.1494037612129135</v>
      </c>
      <c r="DR13" s="20">
        <f t="shared" si="16"/>
        <v>35.71424373307714</v>
      </c>
      <c r="DS13" s="59">
        <f t="shared" si="17"/>
        <v>304.60313262196598</v>
      </c>
      <c r="DT13" s="59">
        <f ca="1">AVERAGE(OFFSET($DS$3,0,0,'Données projet'!$E$14+1,1))-AVERAGE(OFFSET($H$3,0,0,'Données projet'!$E$14+1,1))</f>
        <v>63.94726564348116</v>
      </c>
      <c r="DU13" s="59">
        <f t="shared" si="44"/>
        <v>280.8165028422905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5.5759090909090911</v>
      </c>
      <c r="N14" s="13">
        <f>IF('Données projet'!$A$36&gt;35,N13+M14-V13,IF(A14&lt;'Données projet'!$A$36,$K$205^A14,IF(A14='Données projet'!$A$36,'Données projet'!$B$36,N13+M14-V13)))</f>
        <v>11.075648965184829</v>
      </c>
      <c r="O14" s="13">
        <f>N14*VLOOKUP('Données projet'!$B$9,Paramètres!$A$1:$I$89,3,0)*VLOOKUP('Données projet'!$B$9,Paramètres!$A$1:$I$89,5,0)</f>
        <v>6.3352712080857225</v>
      </c>
      <c r="P14" s="13">
        <f t="shared" si="33"/>
        <v>2.3550048490143367</v>
      </c>
      <c r="Q14" s="20">
        <f t="shared" si="2"/>
        <v>15.135564132782603</v>
      </c>
      <c r="R14" s="59">
        <f t="shared" si="0"/>
        <v>285.24667524389372</v>
      </c>
      <c r="S14" s="59">
        <f ca="1">AVERAGE(OFFSET($R$3,0,0,'Données projet'!$E$9+1,1))-AVERAGE(OFFSET($H$3,0,0,'Données projet'!$E$9+1,1))</f>
        <v>294.9631697747962</v>
      </c>
      <c r="T14" s="59">
        <f t="shared" si="34"/>
        <v>202.04924881627716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5.8890909090909096</v>
      </c>
      <c r="AI14" s="13">
        <f>IF('Données projet'!$A$62&gt;35,AI13+AH14-AQ13,IF(A14&lt;'Données projet'!$A$62,$AF$205^A14,IF(A14='Données projet'!$A$62,'Données projet'!$B$62,AI13+AH14-AQ13)))</f>
        <v>11.382442620105763</v>
      </c>
      <c r="AJ14" s="13">
        <f>AI14*VLOOKUP('Données projet'!$B$10,Paramètres!$A$1:$I$89,3,0)*VLOOKUP('Données projet'!$B$10,Paramètres!$A$1:$I$89,5,0)</f>
        <v>6.8067006868232474</v>
      </c>
      <c r="AK14" s="13">
        <f t="shared" si="35"/>
        <v>2.5091977650686839</v>
      </c>
      <c r="AL14" s="20">
        <f t="shared" si="4"/>
        <v>16.225189803711778</v>
      </c>
      <c r="AM14" s="59">
        <f t="shared" si="5"/>
        <v>286.33630091482291</v>
      </c>
      <c r="AN14" s="59">
        <f ca="1">AVERAGE(OFFSET($AM$3,0,0,'Données projet'!$E$10+1,1))-AVERAGE(OFFSET($H$3,0,0,'Données projet'!$E$10+1,1))</f>
        <v>349.71285006949597</v>
      </c>
      <c r="AO14" s="59">
        <f t="shared" si="36"/>
        <v>258.51550516456842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4.5856818181818184</v>
      </c>
      <c r="BD14" s="12">
        <f>IF('Données projet'!$A$88&gt;35,BD13+BC14-BL13,IF(A14&lt;'Données projet'!$A$88,$BA$205^A14,IF(A14='Données projet'!$A$88,'Données projet'!$B$88,BD13+BC14-BL13)))</f>
        <v>50.442500000000003</v>
      </c>
      <c r="BE14" s="13">
        <f>BD14*VLOOKUP('Données projet'!$B$11,Paramètres!$A$1:$I$89,3,0)*VLOOKUP('Données projet'!$B$11,Paramètres!$A$1:$I$89,5,0)</f>
        <v>45.640374000000001</v>
      </c>
      <c r="BF14" s="13">
        <f t="shared" si="37"/>
        <v>13.481959345661139</v>
      </c>
      <c r="BG14" s="20">
        <f t="shared" si="7"/>
        <v>102.97139724369315</v>
      </c>
      <c r="BH14" s="59">
        <f t="shared" si="8"/>
        <v>373.0825083548043</v>
      </c>
      <c r="BI14" s="59">
        <f ca="1">AVERAGE(OFFSET($BH$3,0,0,'Données projet'!$E$11+1,1))-AVERAGE(OFFSET($H$3,0,0,'Données projet'!$E$11+1,1))</f>
        <v>490.06222615476065</v>
      </c>
      <c r="BJ14" s="59">
        <f t="shared" si="38"/>
        <v>310.43914804089906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35.751258400000005</v>
      </c>
      <c r="CA14" s="13">
        <f t="shared" si="39"/>
        <v>10.865264090901857</v>
      </c>
      <c r="CB14" s="20">
        <f t="shared" si="10"/>
        <v>81.190443338320719</v>
      </c>
      <c r="CC14" s="59">
        <f t="shared" si="11"/>
        <v>351.30155444943188</v>
      </c>
      <c r="CD14" s="59">
        <f ca="1">AVERAGE(OFFSET($CC$3,0,0,'Données projet'!$E$12+1,1))-AVERAGE(OFFSET($H$3,0,0,'Données projet'!$E$12+1,1))</f>
        <v>510.71380643466227</v>
      </c>
      <c r="CE14" s="59">
        <f t="shared" si="40"/>
        <v>252.40654099948841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4.016578947368421</v>
      </c>
      <c r="CT14" s="12">
        <f>IF('Données projet'!$A$140&gt;35,CT13+CS14-DB13,IF(A14&lt;'Données projet'!$A$140,$CQ$205^A14,IF(A14='Données projet'!$A$140,'Données projet'!$B$140,CT13+CS14-DB13)))</f>
        <v>44.182368421052644</v>
      </c>
      <c r="CU14" s="17">
        <f>CT14*VLOOKUP('Données projet'!$B$13,Paramètres!$A$1:$I$89,3,0)*VLOOKUP('Données projet'!$B$13,Paramètres!$A$1:$I$89,5,0)</f>
        <v>47.557901368421064</v>
      </c>
      <c r="CV14" s="13">
        <f t="shared" si="41"/>
        <v>13.981250808542729</v>
      </c>
      <c r="CW14" s="20">
        <f t="shared" si="13"/>
        <v>107.18069004154528</v>
      </c>
      <c r="CX14" s="59">
        <f t="shared" si="14"/>
        <v>377.29180115265643</v>
      </c>
      <c r="CY14" s="59">
        <f ca="1">AVERAGE(OFFSET($CX$3,0,0,'Données projet'!$E$13+1,1))-AVERAGE(OFFSET($H$3,0,0,'Données projet'!$E$13+1,1))</f>
        <v>502.65044103360322</v>
      </c>
      <c r="CZ14" s="59">
        <f t="shared" si="42"/>
        <v>321.65762891855167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14.581250000000001</v>
      </c>
      <c r="DO14" s="12">
        <f>IF('Données projet'!$A$166&gt;35,DO13+DN14-DW13,IF(A14&lt;'Données projet'!$A$166,$DL$205^A14,IF(A14='Données projet'!$A$166,'Données projet'!$B$166,DO13+DN14-DW13)))</f>
        <v>42.456225656605866</v>
      </c>
      <c r="DP14" s="17">
        <f>DO14*VLOOKUP('Données projet'!$B$14,Paramètres!$A$1:$I$89,3,0)*VLOOKUP('Données projet'!$B$14,Paramètres!$A$1:$I$89,5,0)</f>
        <v>21.591538119923481</v>
      </c>
      <c r="DQ14" s="13">
        <f t="shared" si="43"/>
        <v>6.9586507059407214</v>
      </c>
      <c r="DR14" s="20">
        <f t="shared" si="16"/>
        <v>49.72491220504682</v>
      </c>
      <c r="DS14" s="59">
        <f t="shared" si="17"/>
        <v>319.83602331615793</v>
      </c>
      <c r="DT14" s="59">
        <f ca="1">AVERAGE(OFFSET($DS$3,0,0,'Données projet'!$E$14+1,1))-AVERAGE(OFFSET($H$3,0,0,'Données projet'!$E$14+1,1))</f>
        <v>63.94726564348116</v>
      </c>
      <c r="DU14" s="59">
        <f t="shared" si="44"/>
        <v>280.8165028422905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5.5759090909090911</v>
      </c>
      <c r="N15" s="13">
        <f>IF('Données projet'!$A$36&gt;35,N14+M15-V14,IF(A15&lt;'Données projet'!$A$36,$K$205^A15,IF(A15='Données projet'!$A$36,'Données projet'!$B$36,N14+M15-V14)))</f>
        <v>13.781986989776559</v>
      </c>
      <c r="O15" s="13">
        <f>N15*VLOOKUP('Données projet'!$B$9,Paramètres!$A$1:$I$89,3,0)*VLOOKUP('Données projet'!$B$9,Paramètres!$A$1:$I$89,5,0)</f>
        <v>7.8832965581521925</v>
      </c>
      <c r="P15" s="13">
        <f t="shared" si="33"/>
        <v>2.8568216856342086</v>
      </c>
      <c r="Q15" s="20">
        <f t="shared" si="2"/>
        <v>18.705705941261318</v>
      </c>
      <c r="R15" s="59">
        <f t="shared" si="0"/>
        <v>290.03903927459464</v>
      </c>
      <c r="S15" s="59">
        <f ca="1">AVERAGE(OFFSET($R$3,0,0,'Données projet'!$E$9+1,1))-AVERAGE(OFFSET($H$3,0,0,'Données projet'!$E$9+1,1))</f>
        <v>294.9631697747962</v>
      </c>
      <c r="T15" s="59">
        <f t="shared" si="34"/>
        <v>202.04924881627716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5.8890909090909096</v>
      </c>
      <c r="AI15" s="13">
        <f>IF('Données projet'!$A$62&gt;35,AI14+AH15-AQ14,IF(A15&lt;'Données projet'!$A$62,$AF$205^A15,IF(A15='Données projet'!$A$62,'Données projet'!$B$62,AI14+AH15-AQ14)))</f>
        <v>14.198971124819497</v>
      </c>
      <c r="AJ15" s="13">
        <f>AI15*VLOOKUP('Données projet'!$B$10,Paramètres!$A$1:$I$89,3,0)*VLOOKUP('Données projet'!$B$10,Paramètres!$A$1:$I$89,5,0)</f>
        <v>8.49098473264206</v>
      </c>
      <c r="AK15" s="13">
        <f t="shared" si="35"/>
        <v>3.0505588433685857</v>
      </c>
      <c r="AL15" s="20">
        <f t="shared" si="4"/>
        <v>20.10152172821854</v>
      </c>
      <c r="AM15" s="59">
        <f t="shared" si="5"/>
        <v>291.43485506155184</v>
      </c>
      <c r="AN15" s="59">
        <f ca="1">AVERAGE(OFFSET($AM$3,0,0,'Données projet'!$E$10+1,1))-AVERAGE(OFFSET($H$3,0,0,'Données projet'!$E$10+1,1))</f>
        <v>349.71285006949597</v>
      </c>
      <c r="AO15" s="59">
        <f t="shared" si="36"/>
        <v>258.51550516456842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4.5856818181818184</v>
      </c>
      <c r="BD15" s="12">
        <f>IF('Données projet'!$A$88&gt;35,BD14+BC15-BL14,IF(A15&lt;'Données projet'!$A$88,$BA$205^A15,IF(A15='Données projet'!$A$88,'Données projet'!$B$88,BD14+BC15-BL14)))</f>
        <v>55.028181818181821</v>
      </c>
      <c r="BE15" s="13">
        <f>BD15*VLOOKUP('Données projet'!$B$11,Paramètres!$A$1:$I$89,3,0)*VLOOKUP('Données projet'!$B$11,Paramètres!$A$1:$I$89,5,0)</f>
        <v>49.789498909090909</v>
      </c>
      <c r="BF15" s="13">
        <f t="shared" si="37"/>
        <v>14.559383497706923</v>
      </c>
      <c r="BG15" s="20">
        <f t="shared" si="7"/>
        <v>112.07430352517288</v>
      </c>
      <c r="BH15" s="59">
        <f t="shared" si="8"/>
        <v>383.40763685850618</v>
      </c>
      <c r="BI15" s="59">
        <f ca="1">AVERAGE(OFFSET($BH$3,0,0,'Données projet'!$E$11+1,1))-AVERAGE(OFFSET($H$3,0,0,'Données projet'!$E$11+1,1))</f>
        <v>490.06222615476065</v>
      </c>
      <c r="BJ15" s="59">
        <f t="shared" si="38"/>
        <v>310.43914804089906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39.001372800000013</v>
      </c>
      <c r="CA15" s="13">
        <f t="shared" si="39"/>
        <v>11.733572446516416</v>
      </c>
      <c r="CB15" s="20">
        <f t="shared" si="10"/>
        <v>88.363362971016116</v>
      </c>
      <c r="CC15" s="59">
        <f t="shared" si="11"/>
        <v>359.69669630434942</v>
      </c>
      <c r="CD15" s="59">
        <f ca="1">AVERAGE(OFFSET($CC$3,0,0,'Données projet'!$E$12+1,1))-AVERAGE(OFFSET($H$3,0,0,'Données projet'!$E$12+1,1))</f>
        <v>510.71380643466227</v>
      </c>
      <c r="CE15" s="59">
        <f t="shared" si="40"/>
        <v>252.40654099948841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4.016578947368421</v>
      </c>
      <c r="CT15" s="12">
        <f>IF('Données projet'!$A$140&gt;35,CT14+CS15-DB14,IF(A15&lt;'Données projet'!$A$140,$CQ$205^A15,IF(A15='Données projet'!$A$140,'Données projet'!$B$140,CT14+CS15-DB14)))</f>
        <v>48.198947368421067</v>
      </c>
      <c r="CU15" s="17">
        <f>CT15*VLOOKUP('Données projet'!$B$13,Paramètres!$A$1:$I$89,3,0)*VLOOKUP('Données projet'!$B$13,Paramètres!$A$1:$I$89,5,0)</f>
        <v>51.881346947368428</v>
      </c>
      <c r="CV15" s="13">
        <f t="shared" si="41"/>
        <v>15.098576333024555</v>
      </c>
      <c r="CW15" s="20">
        <f t="shared" si="13"/>
        <v>116.6566997133511</v>
      </c>
      <c r="CX15" s="59">
        <f t="shared" si="14"/>
        <v>387.9900330466844</v>
      </c>
      <c r="CY15" s="59">
        <f ca="1">AVERAGE(OFFSET($CX$3,0,0,'Données projet'!$E$13+1,1))-AVERAGE(OFFSET($H$3,0,0,'Données projet'!$E$13+1,1))</f>
        <v>502.65044103360322</v>
      </c>
      <c r="CZ15" s="59">
        <f t="shared" si="42"/>
        <v>321.65762891855167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14.581250000000001</v>
      </c>
      <c r="DO15" s="12">
        <f>IF('Données projet'!$A$166&gt;35,DO14+DN15-DW14,IF(A15&lt;'Données projet'!$A$166,$DL$205^A15,IF(A15='Données projet'!$A$166,'Données projet'!$B$166,DO14+DN15-DW14)))</f>
        <v>59.694738505024588</v>
      </c>
      <c r="DP15" s="17">
        <f>DO15*VLOOKUP('Données projet'!$B$14,Paramètres!$A$1:$I$89,3,0)*VLOOKUP('Données projet'!$B$14,Paramètres!$A$1:$I$89,5,0)</f>
        <v>30.358356214115307</v>
      </c>
      <c r="DQ15" s="13">
        <f t="shared" si="43"/>
        <v>9.4035779466404854</v>
      </c>
      <c r="DR15" s="20">
        <f t="shared" si="16"/>
        <v>69.252035329983002</v>
      </c>
      <c r="DS15" s="59">
        <f t="shared" si="17"/>
        <v>340.58536866331633</v>
      </c>
      <c r="DT15" s="59">
        <f ca="1">AVERAGE(OFFSET($DS$3,0,0,'Données projet'!$E$14+1,1))-AVERAGE(OFFSET($H$3,0,0,'Données projet'!$E$14+1,1))</f>
        <v>63.94726564348116</v>
      </c>
      <c r="DU15" s="59">
        <f t="shared" si="44"/>
        <v>280.8165028422905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5.5759090909090911</v>
      </c>
      <c r="N16" s="13">
        <f>IF('Données projet'!$A$36&gt;35,N15+M16-V15,IF(A16&lt;'Données projet'!$A$36,$K$205^A16,IF(A16='Données projet'!$A$36,'Données projet'!$B$36,N15+M16-V15)))</f>
        <v>17.149619492585696</v>
      </c>
      <c r="O16" s="13">
        <f>N16*VLOOKUP('Données projet'!$B$9,Paramètres!$A$1:$I$89,3,0)*VLOOKUP('Données projet'!$B$9,Paramètres!$A$1:$I$89,5,0)</f>
        <v>9.8095823497590189</v>
      </c>
      <c r="P16" s="13">
        <f t="shared" si="33"/>
        <v>3.465568296781115</v>
      </c>
      <c r="Q16" s="20">
        <f t="shared" si="2"/>
        <v>23.120887376057397</v>
      </c>
      <c r="R16" s="59">
        <f t="shared" si="0"/>
        <v>295.67644293161294</v>
      </c>
      <c r="S16" s="59">
        <f ca="1">AVERAGE(OFFSET($R$3,0,0,'Données projet'!$E$9+1,1))-AVERAGE(OFFSET($H$3,0,0,'Données projet'!$E$9+1,1))</f>
        <v>294.9631697747962</v>
      </c>
      <c r="T16" s="59">
        <f t="shared" si="34"/>
        <v>202.04924881627716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5.8890909090909096</v>
      </c>
      <c r="AI16" s="13">
        <f>IF('Données projet'!$A$62&gt;35,AI15+AH16-AQ15,IF(A16&lt;'Données projet'!$A$62,$AF$205^A16,IF(A16='Données projet'!$A$62,'Données projet'!$B$62,AI15+AH16-AQ15)))</f>
        <v>17.712435523051596</v>
      </c>
      <c r="AJ16" s="13">
        <f>AI16*VLOOKUP('Données projet'!$B$10,Paramètres!$A$1:$I$89,3,0)*VLOOKUP('Données projet'!$B$10,Paramètres!$A$1:$I$89,5,0)</f>
        <v>10.592036442784856</v>
      </c>
      <c r="AK16" s="13">
        <f t="shared" si="35"/>
        <v>3.708718932562717</v>
      </c>
      <c r="AL16" s="20">
        <f t="shared" si="4"/>
        <v>24.907148945397026</v>
      </c>
      <c r="AM16" s="59">
        <f t="shared" si="5"/>
        <v>297.46270450095255</v>
      </c>
      <c r="AN16" s="59">
        <f ca="1">AVERAGE(OFFSET($AM$3,0,0,'Données projet'!$E$10+1,1))-AVERAGE(OFFSET($H$3,0,0,'Données projet'!$E$10+1,1))</f>
        <v>349.71285006949597</v>
      </c>
      <c r="AO16" s="59">
        <f t="shared" si="36"/>
        <v>258.51550516456842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4.5856818181818184</v>
      </c>
      <c r="BD16" s="12">
        <f>IF('Données projet'!$A$88&gt;35,BD15+BC16-BL15,IF(A16&lt;'Données projet'!$A$88,$BA$205^A16,IF(A16='Données projet'!$A$88,'Données projet'!$B$88,BD15+BC16-BL15)))</f>
        <v>59.613863636363639</v>
      </c>
      <c r="BE16" s="13">
        <f>BD16*VLOOKUP('Données projet'!$B$11,Paramètres!$A$1:$I$89,3,0)*VLOOKUP('Données projet'!$B$11,Paramètres!$A$1:$I$89,5,0)</f>
        <v>53.938623818181817</v>
      </c>
      <c r="BF16" s="13">
        <f t="shared" si="37"/>
        <v>15.62639444596179</v>
      </c>
      <c r="BG16" s="20">
        <f t="shared" si="7"/>
        <v>121.15907347671678</v>
      </c>
      <c r="BH16" s="59">
        <f t="shared" si="8"/>
        <v>393.71462903227234</v>
      </c>
      <c r="BI16" s="59">
        <f ca="1">AVERAGE(OFFSET($BH$3,0,0,'Données projet'!$E$11+1,1))-AVERAGE(OFFSET($H$3,0,0,'Données projet'!$E$11+1,1))</f>
        <v>490.06222615476065</v>
      </c>
      <c r="BJ16" s="59">
        <f t="shared" si="38"/>
        <v>310.43914804089906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42.251487200000021</v>
      </c>
      <c r="CA16" s="13">
        <f t="shared" si="39"/>
        <v>12.593488682979761</v>
      </c>
      <c r="CB16" s="20">
        <f t="shared" si="10"/>
        <v>95.521666329523114</v>
      </c>
      <c r="CC16" s="59">
        <f t="shared" si="11"/>
        <v>368.07722188507864</v>
      </c>
      <c r="CD16" s="59">
        <f ca="1">AVERAGE(OFFSET($CC$3,0,0,'Données projet'!$E$12+1,1))-AVERAGE(OFFSET($H$3,0,0,'Données projet'!$E$12+1,1))</f>
        <v>510.71380643466227</v>
      </c>
      <c r="CE16" s="59">
        <f t="shared" si="40"/>
        <v>252.40654099948841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4.016578947368421</v>
      </c>
      <c r="CT16" s="12">
        <f>IF('Données projet'!$A$140&gt;35,CT15+CS16-DB15,IF(A16&lt;'Données projet'!$A$140,$CQ$205^A16,IF(A16='Données projet'!$A$140,'Données projet'!$B$140,CT15+CS16-DB15)))</f>
        <v>52.215526315789489</v>
      </c>
      <c r="CU16" s="17">
        <f>CT16*VLOOKUP('Données projet'!$B$13,Paramètres!$A$1:$I$89,3,0)*VLOOKUP('Données projet'!$B$13,Paramètres!$A$1:$I$89,5,0)</f>
        <v>56.204792526315799</v>
      </c>
      <c r="CV16" s="13">
        <f t="shared" si="41"/>
        <v>16.205103010677917</v>
      </c>
      <c r="CW16" s="20">
        <f t="shared" si="13"/>
        <v>126.1139013935974</v>
      </c>
      <c r="CX16" s="59">
        <f t="shared" si="14"/>
        <v>398.66945694915296</v>
      </c>
      <c r="CY16" s="59">
        <f ca="1">AVERAGE(OFFSET($CX$3,0,0,'Données projet'!$E$13+1,1))-AVERAGE(OFFSET($H$3,0,0,'Données projet'!$E$13+1,1))</f>
        <v>502.65044103360322</v>
      </c>
      <c r="CZ16" s="59">
        <f t="shared" si="42"/>
        <v>321.65762891855167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14.581250000000001</v>
      </c>
      <c r="DO16" s="12">
        <f>IF('Données projet'!$A$166&gt;35,DO15+DN16-DW15,IF(A16&lt;'Données projet'!$A$166,$DL$205^A16,IF(A16='Données projet'!$A$166,'Données projet'!$B$166,DO15+DN16-DW15)))</f>
        <v>83.932609412933488</v>
      </c>
      <c r="DP16" s="17">
        <f>DO16*VLOOKUP('Données projet'!$B$14,Paramètres!$A$1:$I$89,3,0)*VLOOKUP('Données projet'!$B$14,Paramètres!$A$1:$I$89,5,0)</f>
        <v>42.684767843041456</v>
      </c>
      <c r="DQ16" s="13">
        <f t="shared" si="43"/>
        <v>12.70753224084827</v>
      </c>
      <c r="DR16" s="20">
        <f t="shared" si="16"/>
        <v>96.474922646107927</v>
      </c>
      <c r="DS16" s="59">
        <f t="shared" si="17"/>
        <v>369.03047820166347</v>
      </c>
      <c r="DT16" s="59">
        <f ca="1">AVERAGE(OFFSET($DS$3,0,0,'Données projet'!$E$14+1,1))-AVERAGE(OFFSET($H$3,0,0,'Données projet'!$E$14+1,1))</f>
        <v>63.94726564348116</v>
      </c>
      <c r="DU16" s="59">
        <f t="shared" si="44"/>
        <v>280.8165028422905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5.5759090909090911</v>
      </c>
      <c r="N17" s="13">
        <f>IF('Données projet'!$A$36&gt;35,N16+M17-V16,IF(A17&lt;'Données projet'!$A$36,$K$205^A17,IF(A17='Données projet'!$A$36,'Données projet'!$B$36,N16+M17-V16)))</f>
        <v>21.340133970424212</v>
      </c>
      <c r="O17" s="13">
        <f>N17*VLOOKUP('Données projet'!$B$9,Paramètres!$A$1:$I$89,3,0)*VLOOKUP('Données projet'!$B$9,Paramètres!$A$1:$I$89,5,0)</f>
        <v>12.20655663108265</v>
      </c>
      <c r="P17" s="13">
        <f t="shared" si="33"/>
        <v>4.2040298419913897</v>
      </c>
      <c r="Q17" s="20">
        <f t="shared" si="2"/>
        <v>28.581771440603955</v>
      </c>
      <c r="R17" s="59">
        <f t="shared" si="0"/>
        <v>302.35954921838174</v>
      </c>
      <c r="S17" s="59">
        <f ca="1">AVERAGE(OFFSET($R$3,0,0,'Données projet'!$E$9+1,1))-AVERAGE(OFFSET($H$3,0,0,'Données projet'!$E$9+1,1))</f>
        <v>294.9631697747962</v>
      </c>
      <c r="T17" s="59">
        <f t="shared" si="34"/>
        <v>202.04924881627716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5.8890909090909096</v>
      </c>
      <c r="AI17" s="13">
        <f>IF('Données projet'!$A$62&gt;35,AI16+AH17-AQ16,IF(A17&lt;'Données projet'!$A$62,$AF$205^A17,IF(A17='Données projet'!$A$62,'Données projet'!$B$62,AI16+AH17-AQ16)))</f>
        <v>22.095289116397044</v>
      </c>
      <c r="AJ17" s="13">
        <f>AI17*VLOOKUP('Données projet'!$B$10,Paramètres!$A$1:$I$89,3,0)*VLOOKUP('Données projet'!$B$10,Paramètres!$A$1:$I$89,5,0)</f>
        <v>13.212982891605433</v>
      </c>
      <c r="AK17" s="13">
        <f t="shared" si="35"/>
        <v>4.508877496544403</v>
      </c>
      <c r="AL17" s="20">
        <f t="shared" si="4"/>
        <v>30.86557350936096</v>
      </c>
      <c r="AM17" s="59">
        <f t="shared" si="5"/>
        <v>304.64335128713873</v>
      </c>
      <c r="AN17" s="59">
        <f ca="1">AVERAGE(OFFSET($AM$3,0,0,'Données projet'!$E$10+1,1))-AVERAGE(OFFSET($H$3,0,0,'Données projet'!$E$10+1,1))</f>
        <v>349.71285006949597</v>
      </c>
      <c r="AO17" s="59">
        <f t="shared" si="36"/>
        <v>258.51550516456842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4.5856818181818184</v>
      </c>
      <c r="BD17" s="12">
        <f>IF('Données projet'!$A$88&gt;35,BD16+BC17-BL16,IF(A17&lt;'Données projet'!$A$88,$BA$205^A17,IF(A17='Données projet'!$A$88,'Données projet'!$B$88,BD16+BC17-BL16)))</f>
        <v>64.199545454545458</v>
      </c>
      <c r="BE17" s="13">
        <f>BD17*VLOOKUP('Données projet'!$B$11,Paramètres!$A$1:$I$89,3,0)*VLOOKUP('Données projet'!$B$11,Paramètres!$A$1:$I$89,5,0)</f>
        <v>58.087748727272725</v>
      </c>
      <c r="BF17" s="13">
        <f t="shared" si="37"/>
        <v>16.683884280882914</v>
      </c>
      <c r="BG17" s="20">
        <f t="shared" si="7"/>
        <v>130.22726082253777</v>
      </c>
      <c r="BH17" s="59">
        <f t="shared" si="8"/>
        <v>404.00503860031552</v>
      </c>
      <c r="BI17" s="59">
        <f ca="1">AVERAGE(OFFSET($BH$3,0,0,'Données projet'!$E$11+1,1))-AVERAGE(OFFSET($H$3,0,0,'Données projet'!$E$11+1,1))</f>
        <v>490.06222615476065</v>
      </c>
      <c r="BJ17" s="59">
        <f t="shared" si="38"/>
        <v>310.43914804089906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45.501601600000022</v>
      </c>
      <c r="CA17" s="13">
        <f t="shared" si="39"/>
        <v>13.445731746118797</v>
      </c>
      <c r="CB17" s="20">
        <f t="shared" si="10"/>
        <v>102.6666055778236</v>
      </c>
      <c r="CC17" s="59">
        <f t="shared" si="11"/>
        <v>376.44438335560136</v>
      </c>
      <c r="CD17" s="59">
        <f ca="1">AVERAGE(OFFSET($CC$3,0,0,'Données projet'!$E$12+1,1))-AVERAGE(OFFSET($H$3,0,0,'Données projet'!$E$12+1,1))</f>
        <v>510.71380643466227</v>
      </c>
      <c r="CE17" s="59">
        <f t="shared" si="40"/>
        <v>252.40654099948841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4.016578947368421</v>
      </c>
      <c r="CT17" s="12">
        <f>IF('Données projet'!$A$140&gt;35,CT16+CS17-DB16,IF(A17&lt;'Données projet'!$A$140,$CQ$205^A17,IF(A17='Données projet'!$A$140,'Données projet'!$B$140,CT16+CS17-DB16)))</f>
        <v>56.232105263157912</v>
      </c>
      <c r="CU17" s="17">
        <f>CT17*VLOOKUP('Données projet'!$B$13,Paramètres!$A$1:$I$89,3,0)*VLOOKUP('Données projet'!$B$13,Paramètres!$A$1:$I$89,5,0)</f>
        <v>60.528238105263171</v>
      </c>
      <c r="CV17" s="13">
        <f t="shared" si="41"/>
        <v>17.301755969676424</v>
      </c>
      <c r="CW17" s="20">
        <f t="shared" si="13"/>
        <v>135.55390634718643</v>
      </c>
      <c r="CX17" s="59">
        <f t="shared" si="14"/>
        <v>409.33168412496423</v>
      </c>
      <c r="CY17" s="59">
        <f ca="1">AVERAGE(OFFSET($CX$3,0,0,'Données projet'!$E$13+1,1))-AVERAGE(OFFSET($H$3,0,0,'Données projet'!$E$13+1,1))</f>
        <v>502.65044103360322</v>
      </c>
      <c r="CZ17" s="59">
        <f t="shared" si="42"/>
        <v>321.65762891855167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14.581250000000001</v>
      </c>
      <c r="DO17" s="12">
        <f>IF('Données projet'!$A$166&gt;35,DO16+DN17-DW16,IF(A17&lt;'Données projet'!$A$166,$DL$205^A17,IF(A17='Données projet'!$A$166,'Données projet'!$B$166,DO16+DN17-DW16)))</f>
        <v>118.0117896365538</v>
      </c>
      <c r="DP17" s="17">
        <f>DO17*VLOOKUP('Données projet'!$B$14,Paramètres!$A$1:$I$89,3,0)*VLOOKUP('Données projet'!$B$14,Paramètres!$A$1:$I$89,5,0)</f>
        <v>60.016075737565799</v>
      </c>
      <c r="DQ17" s="13">
        <f t="shared" si="43"/>
        <v>17.172333399957502</v>
      </c>
      <c r="DR17" s="20">
        <f t="shared" si="16"/>
        <v>134.4364792478531</v>
      </c>
      <c r="DS17" s="59">
        <f t="shared" si="17"/>
        <v>408.2142570256309</v>
      </c>
      <c r="DT17" s="59">
        <f ca="1">AVERAGE(OFFSET($DS$3,0,0,'Données projet'!$E$14+1,1))-AVERAGE(OFFSET($H$3,0,0,'Données projet'!$E$14+1,1))</f>
        <v>63.94726564348116</v>
      </c>
      <c r="DU17" s="59">
        <f t="shared" si="44"/>
        <v>280.8165028422905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5.5759090909090911</v>
      </c>
      <c r="N18" s="13">
        <f>IF('Données projet'!$A$36&gt;35,N17+M18-V17,IF(A18&lt;'Données projet'!$A$36,$K$205^A18,IF(A18='Données projet'!$A$36,'Données projet'!$B$36,N17+M18-V17)))</f>
        <v>26.554601871635537</v>
      </c>
      <c r="O18" s="13">
        <f>N18*VLOOKUP('Données projet'!$B$9,Paramètres!$A$1:$I$89,3,0)*VLOOKUP('Données projet'!$B$9,Paramètres!$A$1:$I$89,5,0)</f>
        <v>15.189232270575527</v>
      </c>
      <c r="P18" s="13">
        <f t="shared" si="33"/>
        <v>5.0998466626007541</v>
      </c>
      <c r="Q18" s="20">
        <f t="shared" si="2"/>
        <v>35.336812475282024</v>
      </c>
      <c r="R18" s="59">
        <f t="shared" si="0"/>
        <v>310.33681247528204</v>
      </c>
      <c r="S18" s="59">
        <f ca="1">AVERAGE(OFFSET($R$3,0,0,'Données projet'!$E$9+1,1))-AVERAGE(OFFSET($H$3,0,0,'Données projet'!$E$9+1,1))</f>
        <v>294.9631697747962</v>
      </c>
      <c r="T18" s="59">
        <f t="shared" si="34"/>
        <v>202.04924881627716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5.8890909090909096</v>
      </c>
      <c r="AI18" s="13">
        <f>IF('Données projet'!$A$62&gt;35,AI17+AH18-AQ17,IF(A18&lt;'Données projet'!$A$62,$AF$205^A18,IF(A18='Données projet'!$A$62,'Données projet'!$B$62,AI17+AH18-AQ17)))</f>
        <v>27.562657913521289</v>
      </c>
      <c r="AJ18" s="13">
        <f>AI18*VLOOKUP('Données projet'!$B$10,Paramètres!$A$1:$I$89,3,0)*VLOOKUP('Données projet'!$B$10,Paramètres!$A$1:$I$89,5,0)</f>
        <v>16.482469432285733</v>
      </c>
      <c r="AK18" s="13">
        <f t="shared" si="35"/>
        <v>5.4816708002179473</v>
      </c>
      <c r="AL18" s="20">
        <f t="shared" si="4"/>
        <v>38.254210904943911</v>
      </c>
      <c r="AM18" s="59">
        <f t="shared" si="5"/>
        <v>313.25421090494393</v>
      </c>
      <c r="AN18" s="59">
        <f ca="1">AVERAGE(OFFSET($AM$3,0,0,'Données projet'!$E$10+1,1))-AVERAGE(OFFSET($H$3,0,0,'Données projet'!$E$10+1,1))</f>
        <v>349.71285006949597</v>
      </c>
      <c r="AO18" s="59">
        <f t="shared" si="36"/>
        <v>258.51550516456842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4.5856818181818184</v>
      </c>
      <c r="BD18" s="12">
        <f>IF('Données projet'!$A$88&gt;35,BD17+BC18-BL17,IF(A18&lt;'Données projet'!$A$88,$BA$205^A18,IF(A18='Données projet'!$A$88,'Données projet'!$B$88,BD17+BC18-BL17)))</f>
        <v>68.785227272727269</v>
      </c>
      <c r="BE18" s="13">
        <f>BD18*VLOOKUP('Données projet'!$B$11,Paramètres!$A$1:$I$89,3,0)*VLOOKUP('Données projet'!$B$11,Paramètres!$A$1:$I$89,5,0)</f>
        <v>62.236873636363626</v>
      </c>
      <c r="BF18" s="13">
        <f t="shared" si="37"/>
        <v>17.732610429997528</v>
      </c>
      <c r="BG18" s="20">
        <f t="shared" si="7"/>
        <v>139.28018474891235</v>
      </c>
      <c r="BH18" s="59">
        <f t="shared" si="8"/>
        <v>414.28018474891235</v>
      </c>
      <c r="BI18" s="59">
        <f ca="1">AVERAGE(OFFSET($BH$3,0,0,'Données projet'!$E$11+1,1))-AVERAGE(OFFSET($H$3,0,0,'Données projet'!$E$11+1,1))</f>
        <v>490.06222615476065</v>
      </c>
      <c r="BJ18" s="59">
        <f t="shared" si="38"/>
        <v>310.43914804089906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48.751716000000023</v>
      </c>
      <c r="CA18" s="13">
        <f t="shared" si="39"/>
        <v>14.290912055376443</v>
      </c>
      <c r="CB18" s="20">
        <f t="shared" si="10"/>
        <v>109.79924386311403</v>
      </c>
      <c r="CC18" s="59">
        <f t="shared" si="11"/>
        <v>384.79924386311404</v>
      </c>
      <c r="CD18" s="59">
        <f ca="1">AVERAGE(OFFSET($CC$3,0,0,'Données projet'!$E$12+1,1))-AVERAGE(OFFSET($H$3,0,0,'Données projet'!$E$12+1,1))</f>
        <v>510.71380643466227</v>
      </c>
      <c r="CE18" s="59">
        <f t="shared" si="40"/>
        <v>252.40654099948841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4.016578947368421</v>
      </c>
      <c r="CT18" s="12">
        <f>IF('Données projet'!$A$140&gt;35,CT17+CS18-DB17,IF(A18&lt;'Données projet'!$A$140,$CQ$205^A18,IF(A18='Données projet'!$A$140,'Données projet'!$B$140,CT17+CS18-DB17)))</f>
        <v>60.248684210526335</v>
      </c>
      <c r="CU18" s="17">
        <f>CT18*VLOOKUP('Données projet'!$B$13,Paramètres!$A$1:$I$89,3,0)*VLOOKUP('Données projet'!$B$13,Paramètres!$A$1:$I$89,5,0)</f>
        <v>64.851683684210556</v>
      </c>
      <c r="CV18" s="13">
        <f t="shared" si="41"/>
        <v>18.389320688150931</v>
      </c>
      <c r="CW18" s="20">
        <f t="shared" si="13"/>
        <v>144.97808261519626</v>
      </c>
      <c r="CX18" s="59">
        <f t="shared" si="14"/>
        <v>419.97808261519629</v>
      </c>
      <c r="CY18" s="59">
        <f ca="1">AVERAGE(OFFSET($CX$3,0,0,'Données projet'!$E$13+1,1))-AVERAGE(OFFSET($H$3,0,0,'Données projet'!$E$13+1,1))</f>
        <v>502.65044103360322</v>
      </c>
      <c r="CZ18" s="59">
        <f t="shared" si="42"/>
        <v>321.65762891855167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14.581250000000001</v>
      </c>
      <c r="DO18" s="12">
        <f>IF('Données projet'!$A$166&gt;35,DO17+DN18-DW17,IF(A18&lt;'Données projet'!$A$166,$DL$205^A18,IF(A18='Données projet'!$A$166,'Données projet'!$B$166,DO17+DN18-DW17)))</f>
        <v>165.92814867347852</v>
      </c>
      <c r="DP18" s="17">
        <f>DO18*VLOOKUP('Données projet'!$B$14,Paramètres!$A$1:$I$89,3,0)*VLOOKUP('Données projet'!$B$14,Paramètres!$A$1:$I$89,5,0)</f>
        <v>84.38441928938424</v>
      </c>
      <c r="DQ18" s="13">
        <f t="shared" si="43"/>
        <v>23.20584585663121</v>
      </c>
      <c r="DR18" s="20">
        <f t="shared" si="16"/>
        <v>187.38637846264359</v>
      </c>
      <c r="DS18" s="59">
        <f t="shared" si="17"/>
        <v>462.38637846264362</v>
      </c>
      <c r="DT18" s="59">
        <f ca="1">AVERAGE(OFFSET($DS$3,0,0,'Données projet'!$E$14+1,1))-AVERAGE(OFFSET($H$3,0,0,'Données projet'!$E$14+1,1))</f>
        <v>63.94726564348116</v>
      </c>
      <c r="DU18" s="59">
        <f t="shared" si="44"/>
        <v>280.8165028422905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5.5759090909090911</v>
      </c>
      <c r="N19" s="13">
        <f>IF('Données projet'!$A$36&gt;35,N18+M19-V18,IF(A19&lt;'Données projet'!$A$36,$K$205^A19,IF(A19='Données projet'!$A$36,'Données projet'!$B$36,N18+M19-V18)))</f>
        <v>33.043226511058883</v>
      </c>
      <c r="O19" s="13">
        <f>N19*VLOOKUP('Données projet'!$B$9,Paramètres!$A$1:$I$89,3,0)*VLOOKUP('Données projet'!$B$9,Paramètres!$A$1:$I$89,5,0)</f>
        <v>18.900725564325679</v>
      </c>
      <c r="P19" s="13">
        <f t="shared" si="33"/>
        <v>6.1865488494535068</v>
      </c>
      <c r="Q19" s="20">
        <f t="shared" si="2"/>
        <v>43.69366960399875</v>
      </c>
      <c r="R19" s="59">
        <f t="shared" si="0"/>
        <v>319.91589182622096</v>
      </c>
      <c r="S19" s="59">
        <f ca="1">AVERAGE(OFFSET($R$3,0,0,'Données projet'!$E$9+1,1))-AVERAGE(OFFSET($H$3,0,0,'Données projet'!$E$9+1,1))</f>
        <v>294.9631697747962</v>
      </c>
      <c r="T19" s="59">
        <f t="shared" si="34"/>
        <v>202.04924881627716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5.8890909090909096</v>
      </c>
      <c r="AI19" s="13">
        <f>IF('Données projet'!$A$62&gt;35,AI18+AH19-AQ18,IF(A19&lt;'Données projet'!$A$62,$AF$205^A19,IF(A19='Données projet'!$A$62,'Données projet'!$B$62,AI18+AH19-AQ18)))</f>
        <v>34.382899778126003</v>
      </c>
      <c r="AJ19" s="13">
        <f>AI19*VLOOKUP('Données projet'!$B$10,Paramètres!$A$1:$I$89,3,0)*VLOOKUP('Données projet'!$B$10,Paramètres!$A$1:$I$89,5,0)</f>
        <v>20.560974067319354</v>
      </c>
      <c r="AK19" s="13">
        <f t="shared" si="35"/>
        <v>6.6643449029146105</v>
      </c>
      <c r="AL19" s="20">
        <f t="shared" si="4"/>
        <v>47.417430539824153</v>
      </c>
      <c r="AM19" s="59">
        <f t="shared" si="5"/>
        <v>323.63965276204635</v>
      </c>
      <c r="AN19" s="59">
        <f ca="1">AVERAGE(OFFSET($AM$3,0,0,'Données projet'!$E$10+1,1))-AVERAGE(OFFSET($H$3,0,0,'Données projet'!$E$10+1,1))</f>
        <v>349.71285006949597</v>
      </c>
      <c r="AO19" s="59">
        <f t="shared" si="36"/>
        <v>258.51550516456842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4.5856818181818184</v>
      </c>
      <c r="BD19" s="12">
        <f>IF('Données projet'!$A$88&gt;35,BD18+BC19-BL18,IF(A19&lt;'Données projet'!$A$88,$BA$205^A19,IF(A19='Données projet'!$A$88,'Données projet'!$B$88,BD18+BC19-BL18)))</f>
        <v>73.370909090909095</v>
      </c>
      <c r="BE19" s="13">
        <f>BD19*VLOOKUP('Données projet'!$B$11,Paramètres!$A$1:$I$89,3,0)*VLOOKUP('Données projet'!$B$11,Paramètres!$A$1:$I$89,5,0)</f>
        <v>66.385998545454541</v>
      </c>
      <c r="BF19" s="13">
        <f t="shared" si="37"/>
        <v>18.773223617006281</v>
      </c>
      <c r="BG19" s="20">
        <f t="shared" si="7"/>
        <v>148.31897859961927</v>
      </c>
      <c r="BH19" s="59">
        <f t="shared" si="8"/>
        <v>424.54120082184147</v>
      </c>
      <c r="BI19" s="59">
        <f ca="1">AVERAGE(OFFSET($BH$3,0,0,'Données projet'!$E$11+1,1))-AVERAGE(OFFSET($H$3,0,0,'Données projet'!$E$11+1,1))</f>
        <v>490.06222615476065</v>
      </c>
      <c r="BJ19" s="59">
        <f t="shared" si="38"/>
        <v>310.43914804089906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52.001830400000031</v>
      </c>
      <c r="CA19" s="13">
        <f t="shared" si="39"/>
        <v>15.129554036370385</v>
      </c>
      <c r="CB19" s="20">
        <f t="shared" si="10"/>
        <v>116.92049456001179</v>
      </c>
      <c r="CC19" s="59">
        <f t="shared" si="11"/>
        <v>393.142716782234</v>
      </c>
      <c r="CD19" s="59">
        <f ca="1">AVERAGE(OFFSET($CC$3,0,0,'Données projet'!$E$12+1,1))-AVERAGE(OFFSET($H$3,0,0,'Données projet'!$E$12+1,1))</f>
        <v>510.71380643466227</v>
      </c>
      <c r="CE19" s="59">
        <f t="shared" si="40"/>
        <v>252.40654099948841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4.016578947368421</v>
      </c>
      <c r="CT19" s="12">
        <f>IF('Données projet'!$A$140&gt;35,CT18+CS19-DB18,IF(A19&lt;'Données projet'!$A$140,$CQ$205^A19,IF(A19='Données projet'!$A$140,'Données projet'!$B$140,CT18+CS19-DB18)))</f>
        <v>64.265263157894751</v>
      </c>
      <c r="CU19" s="17">
        <f>CT19*VLOOKUP('Données projet'!$B$13,Paramètres!$A$1:$I$89,3,0)*VLOOKUP('Données projet'!$B$13,Paramètres!$A$1:$I$89,5,0)</f>
        <v>69.175129263157913</v>
      </c>
      <c r="CV19" s="13">
        <f t="shared" si="41"/>
        <v>19.468471988731622</v>
      </c>
      <c r="CW19" s="20">
        <f t="shared" si="13"/>
        <v>154.3876055137076</v>
      </c>
      <c r="CX19" s="59">
        <f t="shared" si="14"/>
        <v>430.6098277359298</v>
      </c>
      <c r="CY19" s="59">
        <f ca="1">AVERAGE(OFFSET($CX$3,0,0,'Données projet'!$E$13+1,1))-AVERAGE(OFFSET($H$3,0,0,'Données projet'!$E$13+1,1))</f>
        <v>502.65044103360322</v>
      </c>
      <c r="CZ19" s="59">
        <f t="shared" si="42"/>
        <v>321.65762891855167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>
        <f>VLOOKUP(A19,'Données projet'!$A$165:$I$185,2,0)</f>
        <v>233.3</v>
      </c>
      <c r="DM19" s="12">
        <f>VLOOKUP(A19,'Données projet'!$A$165:$I$185,9,0)</f>
        <v>14.581250000000001</v>
      </c>
      <c r="DN19" s="12">
        <f t="array" ref="DN19">INDEX(DM:DM,MIN(IF(ISNUMBER(DM19:DM215),ROW(DM19:DM215),"")))</f>
        <v>14.581250000000001</v>
      </c>
      <c r="DO19" s="12">
        <f>IF('Données projet'!$A$166&gt;35,DO18+DN19-DW18,IF(A19&lt;'Données projet'!$A$166,$DL$205^A19,IF(A19='Données projet'!$A$166,'Données projet'!$B$166,DO18+DN19-DW18)))</f>
        <v>233.3</v>
      </c>
      <c r="DP19" s="17">
        <f>DO19*VLOOKUP('Données projet'!$B$14,Paramètres!$A$1:$I$89,3,0)*VLOOKUP('Données projet'!$B$14,Paramètres!$A$1:$I$89,5,0)</f>
        <v>118.64704800000001</v>
      </c>
      <c r="DQ19" s="13">
        <f t="shared" si="43"/>
        <v>31.35923752348414</v>
      </c>
      <c r="DR19" s="20">
        <f t="shared" si="16"/>
        <v>261.26094728673496</v>
      </c>
      <c r="DS19" s="59">
        <f t="shared" si="17"/>
        <v>537.48316950895719</v>
      </c>
      <c r="DT19" s="59">
        <f ca="1">AVERAGE(OFFSET($DS$3,0,0,'Données projet'!$E$14+1,1))-AVERAGE(OFFSET($H$3,0,0,'Données projet'!$E$14+1,1))</f>
        <v>63.94726564348116</v>
      </c>
      <c r="DU19" s="59">
        <f t="shared" si="44"/>
        <v>280.8165028422905</v>
      </c>
      <c r="DV19" s="15">
        <f>IF(ISNA(VLOOKUP(A19,'Données projet'!$A$165:$I$185,3,0)),0,VLOOKUP(A19,'Données projet'!$A$165:$I$185,3,0))</f>
        <v>1</v>
      </c>
      <c r="DW19" s="15">
        <f>IF(ISNA(VLOOKUP(A19,'Données projet'!$A$165:$I$185,4,0)),0,VLOOKUP(A19,'Données projet'!$A$165:$I$185,4,0))</f>
        <v>259.2</v>
      </c>
      <c r="DX19" s="16">
        <f>IF(ISNA(VLOOKUP(A19,'Données projet'!$A$165:$I$185,5,0)),0%,VLOOKUP(A19,'Données projet'!$A$165:$I$185,5,0)*VLOOKUP('Données projet'!$B$14,Paramètres!$A$1:$I$89,7,0))</f>
        <v>0.46199999999999997</v>
      </c>
      <c r="DY19" s="16">
        <f>IF(ISNA(VLOOKUP(A19,'Données projet'!$A$165:$I$185,6,0)),0%,VLOOKUP(A19,'Données projet'!$A$165:$I$185,6,0)*VLOOKUP('Données projet'!$B$14,Paramètres!$A$1:$I$89,7,0))</f>
        <v>6.6000000000000003E-2</v>
      </c>
      <c r="DZ19" s="16">
        <f>IF(ISNA(VLOOKUP(A19,'Données projet'!$A$165:$I$185,7,0)),0%,VLOOKUP(A19,'Données projet'!$A$165:$I$185,7,0))</f>
        <v>0.1</v>
      </c>
      <c r="EA19" s="21">
        <f>EXP(-LN(2)/35)*EA18+(1-EXP(-LN(2)/35))/(LN(2)/35)*DW19*DX19*VLOOKUP('Données projet'!$B$14,Paramètres!$A$1:$I$89,3,0)*0.475*44/12</f>
        <v>67.323437320985917</v>
      </c>
      <c r="EB19" s="21">
        <f>EXP(-LN(2)/25)*EB18+(1-EXP(-LN(2)/25))/(LN(2)/25)*Calculateur!DW19*Calculateur!DY19*VLOOKUP('Données projet'!$B$14,Paramètres!$A$1:$I$89,3,0)*0.475*44/12</f>
        <v>9.5797656137160683</v>
      </c>
      <c r="EC19" s="21">
        <f>EXP(-LN(2)/2)*EC18+(1-EXP(-LN(2)/2))/(LN(2)/2)*DW19*DZ19*VLOOKUP('Données projet'!$B$14,Paramètres!$A$1:$I$89,3,0)*0.475*44/12</f>
        <v>12.437454036169285</v>
      </c>
      <c r="ED19" s="22">
        <f t="shared" si="18"/>
        <v>89.340656970871265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5.5759090909090911</v>
      </c>
      <c r="N20" s="13">
        <f>IF('Données projet'!$A$36&gt;35,N19+M20-V19,IF(A20&lt;'Données projet'!$A$36,$K$205^A20,IF(A20='Données projet'!$A$36,'Données projet'!$B$36,N19+M20-V19)))</f>
        <v>41.117348455802535</v>
      </c>
      <c r="O20" s="13">
        <f>N20*VLOOKUP('Données projet'!$B$9,Paramètres!$A$1:$I$89,3,0)*VLOOKUP('Données projet'!$B$9,Paramètres!$A$1:$I$89,5,0)</f>
        <v>23.51912331671905</v>
      </c>
      <c r="P20" s="13">
        <f t="shared" si="33"/>
        <v>7.5048112617480829</v>
      </c>
      <c r="Q20" s="20">
        <f t="shared" si="2"/>
        <v>54.033352724163592</v>
      </c>
      <c r="R20" s="59">
        <f t="shared" si="0"/>
        <v>331.47779716860805</v>
      </c>
      <c r="S20" s="59">
        <f ca="1">AVERAGE(OFFSET($R$3,0,0,'Données projet'!$E$9+1,1))-AVERAGE(OFFSET($H$3,0,0,'Données projet'!$E$9+1,1))</f>
        <v>294.9631697747962</v>
      </c>
      <c r="T20" s="59">
        <f t="shared" si="34"/>
        <v>202.04924881627716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5.8890909090909096</v>
      </c>
      <c r="AI20" s="13">
        <f>IF('Données projet'!$A$62&gt;35,AI19+AH20-AQ19,IF(A20&lt;'Données projet'!$A$62,$AF$205^A20,IF(A20='Données projet'!$A$62,'Données projet'!$B$62,AI19+AH20-AQ19)))</f>
        <v>42.890776385274457</v>
      </c>
      <c r="AJ20" s="13">
        <f>AI20*VLOOKUP('Données projet'!$B$10,Paramètres!$A$1:$I$89,3,0)*VLOOKUP('Données projet'!$B$10,Paramètres!$A$1:$I$89,5,0)</f>
        <v>25.648684278394128</v>
      </c>
      <c r="AK20" s="13">
        <f t="shared" si="35"/>
        <v>8.1021817259143134</v>
      </c>
      <c r="AL20" s="20">
        <f t="shared" si="4"/>
        <v>58.782758290837201</v>
      </c>
      <c r="AM20" s="59">
        <f t="shared" si="5"/>
        <v>336.22720273528165</v>
      </c>
      <c r="AN20" s="59">
        <f ca="1">AVERAGE(OFFSET($AM$3,0,0,'Données projet'!$E$10+1,1))-AVERAGE(OFFSET($H$3,0,0,'Données projet'!$E$10+1,1))</f>
        <v>349.71285006949597</v>
      </c>
      <c r="AO20" s="59">
        <f t="shared" si="36"/>
        <v>258.51550516456842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4.5856818181818184</v>
      </c>
      <c r="BD20" s="12">
        <f>IF('Données projet'!$A$88&gt;35,BD19+BC20-BL19,IF(A20&lt;'Données projet'!$A$88,$BA$205^A20,IF(A20='Données projet'!$A$88,'Données projet'!$B$88,BD19+BC20-BL19)))</f>
        <v>77.95659090909092</v>
      </c>
      <c r="BE20" s="13">
        <f>BD20*VLOOKUP('Données projet'!$B$11,Paramètres!$A$1:$I$89,3,0)*VLOOKUP('Données projet'!$B$11,Paramètres!$A$1:$I$89,5,0)</f>
        <v>70.53512345454547</v>
      </c>
      <c r="BF20" s="13">
        <f t="shared" si="37"/>
        <v>19.806288627769469</v>
      </c>
      <c r="BG20" s="20">
        <f t="shared" si="7"/>
        <v>157.3446260433652</v>
      </c>
      <c r="BH20" s="59">
        <f t="shared" si="8"/>
        <v>434.78907048780968</v>
      </c>
      <c r="BI20" s="59">
        <f ca="1">AVERAGE(OFFSET($BH$3,0,0,'Données projet'!$E$11+1,1))-AVERAGE(OFFSET($H$3,0,0,'Données projet'!$E$11+1,1))</f>
        <v>490.06222615476065</v>
      </c>
      <c r="BJ20" s="59">
        <f t="shared" si="38"/>
        <v>310.43914804089906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55.251944800000032</v>
      </c>
      <c r="CA20" s="13">
        <f t="shared" si="39"/>
        <v>15.962112856437207</v>
      </c>
      <c r="CB20" s="20">
        <f t="shared" si="10"/>
        <v>124.03115041829483</v>
      </c>
      <c r="CC20" s="59">
        <f t="shared" si="11"/>
        <v>401.47559486273929</v>
      </c>
      <c r="CD20" s="59">
        <f ca="1">AVERAGE(OFFSET($CC$3,0,0,'Données projet'!$E$12+1,1))-AVERAGE(OFFSET($H$3,0,0,'Données projet'!$E$12+1,1))</f>
        <v>510.71380643466227</v>
      </c>
      <c r="CE20" s="59">
        <f t="shared" si="40"/>
        <v>252.40654099948841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4.016578947368421</v>
      </c>
      <c r="CT20" s="12">
        <f>IF('Données projet'!$A$140&gt;35,CT19+CS20-DB19,IF(A20&lt;'Données projet'!$A$140,$CQ$205^A20,IF(A20='Données projet'!$A$140,'Données projet'!$B$140,CT19+CS20-DB19)))</f>
        <v>68.281842105263166</v>
      </c>
      <c r="CU20" s="17">
        <f>CT20*VLOOKUP('Données projet'!$B$13,Paramètres!$A$1:$I$89,3,0)*VLOOKUP('Données projet'!$B$13,Paramètres!$A$1:$I$89,5,0)</f>
        <v>73.49857484210527</v>
      </c>
      <c r="CV20" s="13">
        <f t="shared" si="41"/>
        <v>20.53979557358269</v>
      </c>
      <c r="CW20" s="20">
        <f t="shared" si="13"/>
        <v>163.78349514065653</v>
      </c>
      <c r="CX20" s="59">
        <f t="shared" si="14"/>
        <v>441.22793958510101</v>
      </c>
      <c r="CY20" s="59">
        <f ca="1">AVERAGE(OFFSET($CX$3,0,0,'Données projet'!$E$13+1,1))-AVERAGE(OFFSET($H$3,0,0,'Données projet'!$E$13+1,1))</f>
        <v>502.65044103360322</v>
      </c>
      <c r="CZ20" s="59">
        <f t="shared" si="42"/>
        <v>321.65762891855167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-25.899999999999977</v>
      </c>
      <c r="DP20" s="17">
        <f>DO20*VLOOKUP('Données projet'!$B$14,Paramètres!$A$1:$I$89,3,0)*VLOOKUP('Données projet'!$B$14,Paramètres!$A$1:$I$89,5,0)</f>
        <v>-13.171703999999989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63.94726564348116</v>
      </c>
      <c r="DU20" s="59">
        <f t="shared" si="44"/>
        <v>280.8165028422905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66.003265778363485</v>
      </c>
      <c r="EB20" s="21">
        <f>EXP(-LN(2)/25)*EB19+(1-EXP(-LN(2)/25))/(LN(2)/25)*Calculateur!DW20*Calculateur!DY20*VLOOKUP('Données projet'!$B$14,Paramètres!$A$1:$I$89,3,0)*0.475*44/12</f>
        <v>9.3178064192310242</v>
      </c>
      <c r="EC20" s="21">
        <f>EXP(-LN(2)/2)*EC19+(1-EXP(-LN(2)/2))/(LN(2)/2)*DW20*DZ20*VLOOKUP('Données projet'!$B$14,Paramètres!$A$1:$I$89,3,0)*0.475*44/12</f>
        <v>8.7946080896712981</v>
      </c>
      <c r="ED20" s="22">
        <f t="shared" si="18"/>
        <v>84.115680287265803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5.5759090909090911</v>
      </c>
      <c r="N21" s="13">
        <f>IF('Données projet'!$A$36&gt;35,N20+M21-V20,IF(A21&lt;'Données projet'!$A$36,$K$205^A21,IF(A21='Données projet'!$A$36,'Données projet'!$B$36,N20+M21-V20)))</f>
        <v>51.164384430499439</v>
      </c>
      <c r="O21" s="13">
        <f>N21*VLOOKUP('Données projet'!$B$9,Paramètres!$A$1:$I$89,3,0)*VLOOKUP('Données projet'!$B$9,Paramètres!$A$1:$I$89,5,0)</f>
        <v>29.266027894245678</v>
      </c>
      <c r="P21" s="13">
        <f t="shared" si="33"/>
        <v>9.1039759719081754</v>
      </c>
      <c r="Q21" s="20">
        <f t="shared" si="2"/>
        <v>66.827756733551283</v>
      </c>
      <c r="R21" s="59">
        <f t="shared" si="0"/>
        <v>345.49442340021795</v>
      </c>
      <c r="S21" s="59">
        <f ca="1">AVERAGE(OFFSET($R$3,0,0,'Données projet'!$E$9+1,1))-AVERAGE(OFFSET($H$3,0,0,'Données projet'!$E$9+1,1))</f>
        <v>294.9631697747962</v>
      </c>
      <c r="T21" s="59">
        <f t="shared" si="34"/>
        <v>202.04924881627716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5.8890909090909096</v>
      </c>
      <c r="AI21" s="13">
        <f>IF('Données projet'!$A$62&gt;35,AI20+AH21-AQ20,IF(A21&lt;'Données projet'!$A$62,$AF$205^A21,IF(A21='Données projet'!$A$62,'Données projet'!$B$62,AI20+AH21-AQ20)))</f>
        <v>53.503884512438958</v>
      </c>
      <c r="AJ21" s="13">
        <f>AI21*VLOOKUP('Données projet'!$B$10,Paramètres!$A$1:$I$89,3,0)*VLOOKUP('Données projet'!$B$10,Paramètres!$A$1:$I$89,5,0)</f>
        <v>31.995322938438498</v>
      </c>
      <c r="AK21" s="13">
        <f t="shared" si="35"/>
        <v>9.8502327949788757</v>
      </c>
      <c r="AL21" s="20">
        <f t="shared" si="4"/>
        <v>72.881009569035243</v>
      </c>
      <c r="AM21" s="59">
        <f t="shared" si="5"/>
        <v>351.54767623570194</v>
      </c>
      <c r="AN21" s="59">
        <f ca="1">AVERAGE(OFFSET($AM$3,0,0,'Données projet'!$E$10+1,1))-AVERAGE(OFFSET($H$3,0,0,'Données projet'!$E$10+1,1))</f>
        <v>349.71285006949597</v>
      </c>
      <c r="AO21" s="59">
        <f t="shared" si="36"/>
        <v>258.51550516456842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4.5856818181818184</v>
      </c>
      <c r="BD21" s="12">
        <f>IF('Données projet'!$A$88&gt;35,BD20+BC21-BL20,IF(A21&lt;'Données projet'!$A$88,$BA$205^A21,IF(A21='Données projet'!$A$88,'Données projet'!$B$88,BD20+BC21-BL20)))</f>
        <v>82.542272727272746</v>
      </c>
      <c r="BE21" s="13">
        <f>BD21*VLOOKUP('Données projet'!$B$11,Paramètres!$A$1:$I$89,3,0)*VLOOKUP('Données projet'!$B$11,Paramètres!$A$1:$I$89,5,0)</f>
        <v>74.684248363636371</v>
      </c>
      <c r="BF21" s="13">
        <f t="shared" si="37"/>
        <v>20.832300049203276</v>
      </c>
      <c r="BG21" s="20">
        <f t="shared" si="7"/>
        <v>166.35798848569573</v>
      </c>
      <c r="BH21" s="59">
        <f t="shared" si="8"/>
        <v>445.02465515236241</v>
      </c>
      <c r="BI21" s="59">
        <f ca="1">AVERAGE(OFFSET($BH$3,0,0,'Données projet'!$E$11+1,1))-AVERAGE(OFFSET($H$3,0,0,'Données projet'!$E$11+1,1))</f>
        <v>490.06222615476065</v>
      </c>
      <c r="BJ21" s="59">
        <f t="shared" si="38"/>
        <v>310.43914804089906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58.502059200000033</v>
      </c>
      <c r="CA21" s="13">
        <f t="shared" si="39"/>
        <v>16.788987108787442</v>
      </c>
      <c r="CB21" s="20">
        <f t="shared" si="10"/>
        <v>131.13190565447152</v>
      </c>
      <c r="CC21" s="59">
        <f t="shared" si="11"/>
        <v>409.79857232113818</v>
      </c>
      <c r="CD21" s="59">
        <f ca="1">AVERAGE(OFFSET($CC$3,0,0,'Données projet'!$E$12+1,1))-AVERAGE(OFFSET($H$3,0,0,'Données projet'!$E$12+1,1))</f>
        <v>510.71380643466227</v>
      </c>
      <c r="CE21" s="59">
        <f t="shared" si="40"/>
        <v>252.40654099948841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4.016578947368421</v>
      </c>
      <c r="CT21" s="12">
        <f>IF('Données projet'!$A$140&gt;35,CT20+CS21-DB20,IF(A21&lt;'Données projet'!$A$140,$CQ$205^A21,IF(A21='Données projet'!$A$140,'Données projet'!$B$140,CT20+CS21-DB20)))</f>
        <v>72.298421052631582</v>
      </c>
      <c r="CU21" s="17">
        <f>CT21*VLOOKUP('Données projet'!$B$13,Paramètres!$A$1:$I$89,3,0)*VLOOKUP('Données projet'!$B$13,Paramètres!$A$1:$I$89,5,0)</f>
        <v>77.822020421052642</v>
      </c>
      <c r="CV21" s="13">
        <f t="shared" si="41"/>
        <v>21.603804346173444</v>
      </c>
      <c r="CW21" s="20">
        <f t="shared" si="13"/>
        <v>173.16664480291877</v>
      </c>
      <c r="CX21" s="59">
        <f t="shared" si="14"/>
        <v>451.83331146958545</v>
      </c>
      <c r="CY21" s="59">
        <f ca="1">AVERAGE(OFFSET($CX$3,0,0,'Données projet'!$E$13+1,1))-AVERAGE(OFFSET($H$3,0,0,'Données projet'!$E$13+1,1))</f>
        <v>502.65044103360322</v>
      </c>
      <c r="CZ21" s="59">
        <f t="shared" si="42"/>
        <v>321.65762891855167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-25.899999999999977</v>
      </c>
      <c r="DP21" s="17">
        <f>DO21*VLOOKUP('Données projet'!$B$14,Paramètres!$A$1:$I$89,3,0)*VLOOKUP('Données projet'!$B$14,Paramètres!$A$1:$I$89,5,0)</f>
        <v>-13.171703999999989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63.94726564348116</v>
      </c>
      <c r="DU21" s="59">
        <f t="shared" si="44"/>
        <v>280.8165028422905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64.708981994466754</v>
      </c>
      <c r="EB21" s="21">
        <f>EXP(-LN(2)/25)*EB20+(1-EXP(-LN(2)/25))/(LN(2)/25)*Calculateur!DW21*Calculateur!DY21*VLOOKUP('Données projet'!$B$14,Paramètres!$A$1:$I$89,3,0)*0.475*44/12</f>
        <v>9.0630105126950085</v>
      </c>
      <c r="EC21" s="21">
        <f>EXP(-LN(2)/2)*EC20+(1-EXP(-LN(2)/2))/(LN(2)/2)*DW21*DZ21*VLOOKUP('Données projet'!$B$14,Paramètres!$A$1:$I$89,3,0)*0.475*44/12</f>
        <v>6.2187270180846435</v>
      </c>
      <c r="ED21" s="22">
        <f t="shared" si="18"/>
        <v>79.990719525246419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5.5759090909090911</v>
      </c>
      <c r="N22" s="13">
        <f>IF('Données projet'!$A$36&gt;35,N21+M22-V21,IF(A22&lt;'Données projet'!$A$36,$K$205^A22,IF(A22='Données projet'!$A$36,'Données projet'!$B$36,N21+M22-V21)))</f>
        <v>63.666416548378045</v>
      </c>
      <c r="O22" s="13">
        <f>N22*VLOOKUP('Données projet'!$B$9,Paramètres!$A$1:$I$89,3,0)*VLOOKUP('Données projet'!$B$9,Paramètres!$A$1:$I$89,5,0)</f>
        <v>36.417190265672247</v>
      </c>
      <c r="P22" s="13">
        <f t="shared" si="33"/>
        <v>11.043899121025426</v>
      </c>
      <c r="Q22" s="20">
        <f t="shared" si="2"/>
        <v>82.66139734849844</v>
      </c>
      <c r="R22" s="59">
        <f t="shared" si="0"/>
        <v>362.5502862373873</v>
      </c>
      <c r="S22" s="59">
        <f ca="1">AVERAGE(OFFSET($R$3,0,0,'Données projet'!$E$9+1,1))-AVERAGE(OFFSET($H$3,0,0,'Données projet'!$E$9+1,1))</f>
        <v>294.9631697747962</v>
      </c>
      <c r="T22" s="59">
        <f t="shared" si="34"/>
        <v>202.04924881627716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5.8890909090909096</v>
      </c>
      <c r="AI22" s="13">
        <f>IF('Données projet'!$A$62&gt;35,AI21+AH22-AQ21,IF(A22&lt;'Données projet'!$A$62,$AF$205^A22,IF(A22='Données projet'!$A$62,'Données projet'!$B$62,AI21+AH22-AQ21)))</f>
        <v>66.743153171347927</v>
      </c>
      <c r="AJ22" s="13">
        <f>AI22*VLOOKUP('Données projet'!$B$10,Paramètres!$A$1:$I$89,3,0)*VLOOKUP('Données projet'!$B$10,Paramètres!$A$1:$I$89,5,0)</f>
        <v>39.912405596466066</v>
      </c>
      <c r="AK22" s="13">
        <f t="shared" si="35"/>
        <v>11.975427038984135</v>
      </c>
      <c r="AL22" s="20">
        <f t="shared" si="4"/>
        <v>90.371308506742437</v>
      </c>
      <c r="AM22" s="59">
        <f t="shared" si="5"/>
        <v>370.26019739563128</v>
      </c>
      <c r="AN22" s="59">
        <f ca="1">AVERAGE(OFFSET($AM$3,0,0,'Données projet'!$E$10+1,1))-AVERAGE(OFFSET($H$3,0,0,'Données projet'!$E$10+1,1))</f>
        <v>349.71285006949597</v>
      </c>
      <c r="AO22" s="59">
        <f t="shared" si="36"/>
        <v>258.51550516456842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4.5856818181818184</v>
      </c>
      <c r="BD22" s="12">
        <f>IF('Données projet'!$A$88&gt;35,BD21+BC22-BL21,IF(A22&lt;'Données projet'!$A$88,$BA$205^A22,IF(A22='Données projet'!$A$88,'Données projet'!$B$88,BD21+BC22-BL21)))</f>
        <v>87.127954545454571</v>
      </c>
      <c r="BE22" s="13">
        <f>BD22*VLOOKUP('Données projet'!$B$11,Paramètres!$A$1:$I$89,3,0)*VLOOKUP('Données projet'!$B$11,Paramètres!$A$1:$I$89,5,0)</f>
        <v>78.833373272727286</v>
      </c>
      <c r="BF22" s="13">
        <f t="shared" si="37"/>
        <v>21.851694410372286</v>
      </c>
      <c r="BG22" s="20">
        <f t="shared" si="7"/>
        <v>175.35982621473178</v>
      </c>
      <c r="BH22" s="59">
        <f t="shared" si="8"/>
        <v>455.24871510362061</v>
      </c>
      <c r="BI22" s="59">
        <f ca="1">AVERAGE(OFFSET($BH$3,0,0,'Données projet'!$E$11+1,1))-AVERAGE(OFFSET($H$3,0,0,'Données projet'!$E$11+1,1))</f>
        <v>490.06222615476065</v>
      </c>
      <c r="BJ22" s="59">
        <f t="shared" si="38"/>
        <v>310.43914804089906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61.752173600000035</v>
      </c>
      <c r="CA22" s="13">
        <f t="shared" si="39"/>
        <v>17.610528597149965</v>
      </c>
      <c r="CB22" s="20">
        <f t="shared" si="10"/>
        <v>138.22337299336959</v>
      </c>
      <c r="CC22" s="59">
        <f t="shared" si="11"/>
        <v>418.11226188225845</v>
      </c>
      <c r="CD22" s="59">
        <f ca="1">AVERAGE(OFFSET($CC$3,0,0,'Données projet'!$E$12+1,1))-AVERAGE(OFFSET($H$3,0,0,'Données projet'!$E$12+1,1))</f>
        <v>510.71380643466227</v>
      </c>
      <c r="CE22" s="59">
        <f t="shared" si="40"/>
        <v>252.40654099948841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4.016578947368421</v>
      </c>
      <c r="CT22" s="12">
        <f>IF('Données projet'!$A$140&gt;35,CT21+CS22-DB21,IF(A22&lt;'Données projet'!$A$140,$CQ$205^A22,IF(A22='Données projet'!$A$140,'Données projet'!$B$140,CT21+CS22-DB21)))</f>
        <v>76.314999999999998</v>
      </c>
      <c r="CU22" s="17">
        <f>CT22*VLOOKUP('Données projet'!$B$13,Paramètres!$A$1:$I$89,3,0)*VLOOKUP('Données projet'!$B$13,Paramètres!$A$1:$I$89,5,0)</f>
        <v>82.145465999999999</v>
      </c>
      <c r="CV22" s="13">
        <f t="shared" si="41"/>
        <v>22.660951002004662</v>
      </c>
      <c r="CW22" s="20">
        <f t="shared" si="13"/>
        <v>182.53784294515813</v>
      </c>
      <c r="CX22" s="59">
        <f t="shared" si="14"/>
        <v>462.42673183404702</v>
      </c>
      <c r="CY22" s="59">
        <f ca="1">AVERAGE(OFFSET($CX$3,0,0,'Données projet'!$E$13+1,1))-AVERAGE(OFFSET($H$3,0,0,'Données projet'!$E$13+1,1))</f>
        <v>502.65044103360322</v>
      </c>
      <c r="CZ22" s="59">
        <f t="shared" si="42"/>
        <v>321.65762891855167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-25.899999999999977</v>
      </c>
      <c r="DP22" s="17">
        <f>DO22*VLOOKUP('Données projet'!$B$14,Paramètres!$A$1:$I$89,3,0)*VLOOKUP('Données projet'!$B$14,Paramètres!$A$1:$I$89,5,0)</f>
        <v>-13.171703999999989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63.94726564348116</v>
      </c>
      <c r="DU22" s="59">
        <f t="shared" si="44"/>
        <v>280.8165028422905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63.440078326137076</v>
      </c>
      <c r="EB22" s="21">
        <f>EXP(-LN(2)/25)*EB21+(1-EXP(-LN(2)/25))/(LN(2)/25)*Calculateur!DW22*Calculateur!DY22*VLOOKUP('Données projet'!$B$14,Paramètres!$A$1:$I$89,3,0)*0.475*44/12</f>
        <v>8.8151820136223549</v>
      </c>
      <c r="EC22" s="21">
        <f>EXP(-LN(2)/2)*EC21+(1-EXP(-LN(2)/2))/(LN(2)/2)*DW22*DZ22*VLOOKUP('Données projet'!$B$14,Paramètres!$A$1:$I$89,3,0)*0.475*44/12</f>
        <v>4.3973040448356491</v>
      </c>
      <c r="ED22" s="22">
        <f t="shared" si="18"/>
        <v>76.652564384595081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5.5759090909090911</v>
      </c>
      <c r="N23" s="13">
        <f>IF('Données projet'!$A$36&gt;35,N22+M23-V22,IF(A23&lt;'Données projet'!$A$36,$K$205^A23,IF(A23='Données projet'!$A$36,'Données projet'!$B$36,N22+M23-V22)))</f>
        <v>79.223323826316161</v>
      </c>
      <c r="O23" s="13">
        <f>N23*VLOOKUP('Données projet'!$B$9,Paramètres!$A$1:$I$89,3,0)*VLOOKUP('Données projet'!$B$9,Paramètres!$A$1:$I$89,5,0)</f>
        <v>45.315741228652847</v>
      </c>
      <c r="P23" s="13">
        <f t="shared" si="33"/>
        <v>13.397191311986944</v>
      </c>
      <c r="Q23" s="20">
        <f t="shared" si="2"/>
        <v>102.25835750828095</v>
      </c>
      <c r="R23" s="59">
        <f t="shared" si="0"/>
        <v>383.36946861939208</v>
      </c>
      <c r="S23" s="59">
        <f ca="1">AVERAGE(OFFSET($R$3,0,0,'Données projet'!$E$9+1,1))-AVERAGE(OFFSET($H$3,0,0,'Données projet'!$E$9+1,1))</f>
        <v>294.9631697747962</v>
      </c>
      <c r="T23" s="59">
        <f t="shared" si="34"/>
        <v>202.04924881627716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5.8890909090909096</v>
      </c>
      <c r="AI23" s="13">
        <f>IF('Données projet'!$A$62&gt;35,AI22+AH23-AQ22,IF(A23&lt;'Données projet'!$A$62,$AF$205^A23,IF(A23='Données projet'!$A$62,'Données projet'!$B$62,AI22+AH23-AQ22)))</f>
        <v>83.25841265260587</v>
      </c>
      <c r="AJ23" s="13">
        <f>AI23*VLOOKUP('Données projet'!$B$10,Paramètres!$A$1:$I$89,3,0)*VLOOKUP('Données projet'!$B$10,Paramètres!$A$1:$I$89,5,0)</f>
        <v>49.788530766258319</v>
      </c>
      <c r="AK23" s="13">
        <f t="shared" si="35"/>
        <v>14.559133347501747</v>
      </c>
      <c r="AL23" s="20">
        <f t="shared" si="4"/>
        <v>112.07218166479875</v>
      </c>
      <c r="AM23" s="59">
        <f t="shared" si="5"/>
        <v>393.18329277590988</v>
      </c>
      <c r="AN23" s="59">
        <f ca="1">AVERAGE(OFFSET($AM$3,0,0,'Données projet'!$E$10+1,1))-AVERAGE(OFFSET($H$3,0,0,'Données projet'!$E$10+1,1))</f>
        <v>349.71285006949597</v>
      </c>
      <c r="AO23" s="59">
        <f t="shared" si="36"/>
        <v>258.51550516456842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4.5856818181818184</v>
      </c>
      <c r="BD23" s="12">
        <f>IF('Données projet'!$A$88&gt;35,BD22+BC23-BL22,IF(A23&lt;'Données projet'!$A$88,$BA$205^A23,IF(A23='Données projet'!$A$88,'Données projet'!$B$88,BD22+BC23-BL22)))</f>
        <v>91.713636363636397</v>
      </c>
      <c r="BE23" s="13">
        <f>BD23*VLOOKUP('Données projet'!$B$11,Paramètres!$A$1:$I$89,3,0)*VLOOKUP('Données projet'!$B$11,Paramètres!$A$1:$I$89,5,0)</f>
        <v>82.982498181818215</v>
      </c>
      <c r="BF23" s="13">
        <f t="shared" si="37"/>
        <v>22.86485969464519</v>
      </c>
      <c r="BG23" s="20">
        <f t="shared" si="7"/>
        <v>184.35081496817375</v>
      </c>
      <c r="BH23" s="59">
        <f t="shared" si="8"/>
        <v>465.46192607928492</v>
      </c>
      <c r="BI23" s="59">
        <f ca="1">AVERAGE(OFFSET($BH$3,0,0,'Données projet'!$E$11+1,1))-AVERAGE(OFFSET($H$3,0,0,'Données projet'!$E$11+1,1))</f>
        <v>490.06222615476065</v>
      </c>
      <c r="BJ23" s="59">
        <f t="shared" si="38"/>
        <v>310.43914804089906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65.002288000000036</v>
      </c>
      <c r="CA23" s="13">
        <f t="shared" si="39"/>
        <v>18.427050001726204</v>
      </c>
      <c r="CB23" s="20">
        <f t="shared" si="10"/>
        <v>145.30609701967319</v>
      </c>
      <c r="CC23" s="59">
        <f t="shared" si="11"/>
        <v>426.41720813078433</v>
      </c>
      <c r="CD23" s="59">
        <f ca="1">AVERAGE(OFFSET($CC$3,0,0,'Données projet'!$E$12+1,1))-AVERAGE(OFFSET($H$3,0,0,'Données projet'!$E$12+1,1))</f>
        <v>510.71380643466227</v>
      </c>
      <c r="CE23" s="59">
        <f t="shared" si="40"/>
        <v>252.40654099948841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4.016578947368421</v>
      </c>
      <c r="CT23" s="12">
        <f>IF('Données projet'!$A$140&gt;35,CT22+CS23-DB22,IF(A23&lt;'Données projet'!$A$140,$CQ$205^A23,IF(A23='Données projet'!$A$140,'Données projet'!$B$140,CT22+CS23-DB22)))</f>
        <v>80.331578947368413</v>
      </c>
      <c r="CU23" s="17">
        <f>CT23*VLOOKUP('Données projet'!$B$13,Paramètres!$A$1:$I$89,3,0)*VLOOKUP('Données projet'!$B$13,Paramètres!$A$1:$I$89,5,0)</f>
        <v>86.468911578947356</v>
      </c>
      <c r="CV23" s="13">
        <f t="shared" si="41"/>
        <v>23.711637893037807</v>
      </c>
      <c r="CW23" s="20">
        <f t="shared" si="13"/>
        <v>191.89779033037416</v>
      </c>
      <c r="CX23" s="59">
        <f t="shared" si="14"/>
        <v>473.00890144148531</v>
      </c>
      <c r="CY23" s="59">
        <f ca="1">AVERAGE(OFFSET($CX$3,0,0,'Données projet'!$E$13+1,1))-AVERAGE(OFFSET($H$3,0,0,'Données projet'!$E$13+1,1))</f>
        <v>502.65044103360322</v>
      </c>
      <c r="CZ23" s="59">
        <f t="shared" si="42"/>
        <v>321.65762891855167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-25.899999999999977</v>
      </c>
      <c r="DP23" s="17">
        <f>DO23*VLOOKUP('Données projet'!$B$14,Paramètres!$A$1:$I$89,3,0)*VLOOKUP('Données projet'!$B$14,Paramètres!$A$1:$I$89,5,0)</f>
        <v>-13.171703999999989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63.94726564348116</v>
      </c>
      <c r="DU23" s="59">
        <f t="shared" si="44"/>
        <v>280.8165028422905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62.196057084788528</v>
      </c>
      <c r="EB23" s="21">
        <f>EXP(-LN(2)/25)*EB22+(1-EXP(-LN(2)/25))/(LN(2)/25)*Calculateur!DW23*Calculateur!DY23*VLOOKUP('Données projet'!$B$14,Paramètres!$A$1:$I$89,3,0)*0.475*44/12</f>
        <v>8.5741303978895775</v>
      </c>
      <c r="EC23" s="21">
        <f>EXP(-LN(2)/2)*EC22+(1-EXP(-LN(2)/2))/(LN(2)/2)*DW23*DZ23*VLOOKUP('Données projet'!$B$14,Paramètres!$A$1:$I$89,3,0)*0.475*44/12</f>
        <v>3.1093635090423217</v>
      </c>
      <c r="ED23" s="22">
        <f t="shared" si="18"/>
        <v>73.879550991720436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5.5759090909090911</v>
      </c>
      <c r="N24" s="13">
        <f>IF('Données projet'!$A$36&gt;35,N23+M24-V23,IF(A24&lt;'Données projet'!$A$36,$K$205^A24,IF(A24='Données projet'!$A$36,'Données projet'!$B$36,N23+M24-V23)))</f>
        <v>98.581565892281233</v>
      </c>
      <c r="O24" s="13">
        <f>N24*VLOOKUP('Données projet'!$B$9,Paramètres!$A$1:$I$89,3,0)*VLOOKUP('Données projet'!$B$9,Paramètres!$A$1:$I$89,5,0)</f>
        <v>56.388655690384866</v>
      </c>
      <c r="P24" s="13">
        <f t="shared" si="33"/>
        <v>16.25193539737019</v>
      </c>
      <c r="Q24" s="20">
        <f t="shared" si="2"/>
        <v>126.51569614450671</v>
      </c>
      <c r="R24" s="59">
        <f t="shared" si="0"/>
        <v>408.84902947784002</v>
      </c>
      <c r="S24" s="59">
        <f ca="1">AVERAGE(OFFSET($R$3,0,0,'Données projet'!$E$9+1,1))-AVERAGE(OFFSET($H$3,0,0,'Données projet'!$E$9+1,1))</f>
        <v>294.9631697747962</v>
      </c>
      <c r="T24" s="59">
        <f t="shared" si="34"/>
        <v>202.04924881627716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5.8890909090909096</v>
      </c>
      <c r="AI24" s="13">
        <f>IF('Données projet'!$A$62&gt;35,AI23+AH24-AQ23,IF(A24&lt;'Données projet'!$A$62,$AF$205^A24,IF(A24='Données projet'!$A$62,'Données projet'!$B$62,AI23+AH24-AQ23)))</f>
        <v>103.86029050253822</v>
      </c>
      <c r="AJ24" s="13">
        <f>AI24*VLOOKUP('Données projet'!$B$10,Paramètres!$A$1:$I$89,3,0)*VLOOKUP('Données projet'!$B$10,Paramètres!$A$1:$I$89,5,0)</f>
        <v>62.108453720517858</v>
      </c>
      <c r="AK24" s="13">
        <f t="shared" si="35"/>
        <v>17.700276001875135</v>
      </c>
      <c r="AL24" s="20">
        <f t="shared" si="4"/>
        <v>139.00020426650113</v>
      </c>
      <c r="AM24" s="59">
        <f t="shared" si="5"/>
        <v>421.33353759983447</v>
      </c>
      <c r="AN24" s="59">
        <f ca="1">AVERAGE(OFFSET($AM$3,0,0,'Données projet'!$E$10+1,1))-AVERAGE(OFFSET($H$3,0,0,'Données projet'!$E$10+1,1))</f>
        <v>349.71285006949597</v>
      </c>
      <c r="AO24" s="59">
        <f t="shared" si="36"/>
        <v>258.51550516456842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4.5856818181818184</v>
      </c>
      <c r="BD24" s="12">
        <f>IF('Données projet'!$A$88&gt;35,BD23+BC24-BL23,IF(A24&lt;'Données projet'!$A$88,$BA$205^A24,IF(A24='Données projet'!$A$88,'Données projet'!$B$88,BD23+BC24-BL23)))</f>
        <v>96.299318181818222</v>
      </c>
      <c r="BE24" s="13">
        <f>BD24*VLOOKUP('Données projet'!$B$11,Paramètres!$A$1:$I$89,3,0)*VLOOKUP('Données projet'!$B$11,Paramètres!$A$1:$I$89,5,0)</f>
        <v>87.13162309090913</v>
      </c>
      <c r="BF24" s="13">
        <f t="shared" si="37"/>
        <v>23.872142895355385</v>
      </c>
      <c r="BG24" s="20">
        <f t="shared" si="7"/>
        <v>193.33155909274402</v>
      </c>
      <c r="BH24" s="59">
        <f t="shared" si="8"/>
        <v>475.66489242607736</v>
      </c>
      <c r="BI24" s="59">
        <f ca="1">AVERAGE(OFFSET($BH$3,0,0,'Données projet'!$E$11+1,1))-AVERAGE(OFFSET($H$3,0,0,'Données projet'!$E$11+1,1))</f>
        <v>490.06222615476065</v>
      </c>
      <c r="BJ24" s="59">
        <f t="shared" si="38"/>
        <v>310.43914804089906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68.252402400000037</v>
      </c>
      <c r="CA24" s="13">
        <f t="shared" si="39"/>
        <v>19.238830968382739</v>
      </c>
      <c r="CB24" s="20">
        <f t="shared" si="10"/>
        <v>152.38056478326666</v>
      </c>
      <c r="CC24" s="59">
        <f t="shared" si="11"/>
        <v>434.71389811659998</v>
      </c>
      <c r="CD24" s="59">
        <f ca="1">AVERAGE(OFFSET($CC$3,0,0,'Données projet'!$E$12+1,1))-AVERAGE(OFFSET($H$3,0,0,'Données projet'!$E$12+1,1))</f>
        <v>510.71380643466227</v>
      </c>
      <c r="CE24" s="59">
        <f t="shared" si="40"/>
        <v>252.40654099948841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4.016578947368421</v>
      </c>
      <c r="CT24" s="12">
        <f>IF('Données projet'!$A$140&gt;35,CT23+CS24-DB23,IF(A24&lt;'Données projet'!$A$140,$CQ$205^A24,IF(A24='Données projet'!$A$140,'Données projet'!$B$140,CT23+CS24-DB23)))</f>
        <v>84.348157894736829</v>
      </c>
      <c r="CU24" s="17">
        <f>CT24*VLOOKUP('Données projet'!$B$13,Paramètres!$A$1:$I$89,3,0)*VLOOKUP('Données projet'!$B$13,Paramètres!$A$1:$I$89,5,0)</f>
        <v>90.792357157894727</v>
      </c>
      <c r="CV24" s="13">
        <f t="shared" si="41"/>
        <v>24.756224863172324</v>
      </c>
      <c r="CW24" s="20">
        <f t="shared" si="13"/>
        <v>201.24711368669179</v>
      </c>
      <c r="CX24" s="59">
        <f t="shared" si="14"/>
        <v>483.58044702002508</v>
      </c>
      <c r="CY24" s="59">
        <f ca="1">AVERAGE(OFFSET($CX$3,0,0,'Données projet'!$E$13+1,1))-AVERAGE(OFFSET($H$3,0,0,'Données projet'!$E$13+1,1))</f>
        <v>502.65044103360322</v>
      </c>
      <c r="CZ24" s="59">
        <f t="shared" si="42"/>
        <v>321.65762891855167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-25.899999999999977</v>
      </c>
      <c r="DP24" s="17">
        <f>DO24*VLOOKUP('Données projet'!$B$14,Paramètres!$A$1:$I$89,3,0)*VLOOKUP('Données projet'!$B$14,Paramètres!$A$1:$I$89,5,0)</f>
        <v>-13.171703999999989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63.94726564348116</v>
      </c>
      <c r="DU24" s="59">
        <f t="shared" si="44"/>
        <v>280.8165028422905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60.976430341204789</v>
      </c>
      <c r="EB24" s="21">
        <f>EXP(-LN(2)/25)*EB23+(1-EXP(-LN(2)/25))/(LN(2)/25)*Calculateur!DW24*Calculateur!DY24*VLOOKUP('Données projet'!$B$14,Paramètres!$A$1:$I$89,3,0)*0.475*44/12</f>
        <v>8.3396703512653652</v>
      </c>
      <c r="EC24" s="21">
        <f>EXP(-LN(2)/2)*EC23+(1-EXP(-LN(2)/2))/(LN(2)/2)*DW24*DZ24*VLOOKUP('Données projet'!$B$14,Paramètres!$A$1:$I$89,3,0)*0.475*44/12</f>
        <v>2.1986520224178245</v>
      </c>
      <c r="ED24" s="22">
        <f t="shared" si="18"/>
        <v>71.514752714887976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122.67</v>
      </c>
      <c r="L25" s="12">
        <f>VLOOKUP(A25,'Données projet'!$A$35:$I$55,9,0)</f>
        <v>5.5759090909090911</v>
      </c>
      <c r="M25" s="12">
        <f t="array" ref="M25">INDEX(L:L,MIN(IF(ISNUMBER(L25:L221),ROW(L25:L221),"")))</f>
        <v>5.5759090909090911</v>
      </c>
      <c r="N25" s="13">
        <f>IF('Données projet'!$A$36&gt;35,N24+M25-V24,IF(A25&lt;'Données projet'!$A$36,$K$205^A25,IF(A25='Données projet'!$A$36,'Données projet'!$B$36,N24+M25-V24)))</f>
        <v>122.67</v>
      </c>
      <c r="O25" s="13">
        <f>N25*VLOOKUP('Données projet'!$B$9,Paramètres!$A$1:$I$89,3,0)*VLOOKUP('Données projet'!$B$9,Paramètres!$A$1:$I$89,5,0)</f>
        <v>70.167240000000007</v>
      </c>
      <c r="P25" s="13">
        <f t="shared" si="33"/>
        <v>19.714983387896524</v>
      </c>
      <c r="Q25" s="20">
        <f t="shared" si="2"/>
        <v>156.54487240058646</v>
      </c>
      <c r="R25" s="59">
        <f t="shared" si="0"/>
        <v>440.10042795614197</v>
      </c>
      <c r="S25" s="59">
        <f ca="1">AVERAGE(OFFSET($R$3,0,0,'Données projet'!$E$9+1,1))-AVERAGE(OFFSET($H$3,0,0,'Données projet'!$E$9+1,1))</f>
        <v>294.9631697747962</v>
      </c>
      <c r="T25" s="59">
        <f t="shared" si="34"/>
        <v>202.04924881627716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50.86</v>
      </c>
      <c r="W25" s="16">
        <f>IF(ISNA(VLOOKUP(A25,'Données projet'!$A$35:$I$55,5,0)),0%,VLOOKUP(A25,'Données projet'!$A$35:$I$55,5,0)*VLOOKUP('Données projet'!$B$9,Paramètres!$A$1:$I$89,7,0))</f>
        <v>0.1125</v>
      </c>
      <c r="X25" s="16">
        <f>IF(ISNA(VLOOKUP(A25,'Données projet'!$A$35:$I$55,6,0)),0%,VLOOKUP(A25,'Données projet'!$A$35:$I$55,6,0)*VLOOKUP('Données projet'!$B$9,Paramètres!$A$1:$I$89,7,0))</f>
        <v>0.16650000000000001</v>
      </c>
      <c r="Y25" s="16">
        <f>IF(ISNA(VLOOKUP(A25,'Données projet'!$A$35:$I$55,7,0)),0%,VLOOKUP(A25,'Données projet'!$A$35:$I$55,7,0))</f>
        <v>0.38</v>
      </c>
      <c r="Z25" s="21">
        <f>EXP(-LN(2)/35)*Z24+(1-EXP(-LN(2)/35))/(LN(2)/35)*V25*W25*VLOOKUP('Données projet'!$B$9,Paramètres!$A$1:$I$89,3,0)*0.475*44/12</f>
        <v>4.3416345389052005</v>
      </c>
      <c r="AA25" s="21">
        <f>EXP(-LN(2)/25)*AA24+(1-EXP(-LN(2)/25))/(LN(2)/25)*Calculateur!V25*Calculateur!X25*VLOOKUP('Données projet'!$B$9,Paramètres!$A$1:$I$89,3,0)*0.475*44/12</f>
        <v>6.4003190067609523</v>
      </c>
      <c r="AB25" s="21">
        <f>EXP(-LN(2)/2)*AB24+(1-EXP(-LN(2)/2))/(LN(2)/2)*V25*Y25*VLOOKUP('Données projet'!$B$9,Paramètres!$A$1:$I$89,3,0)*0.475*44/12</f>
        <v>12.516748340001335</v>
      </c>
      <c r="AC25" s="22">
        <f t="shared" si="3"/>
        <v>23.258701885667488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129.56</v>
      </c>
      <c r="AG25" s="12">
        <f>VLOOKUP(A25,'Données projet'!$A$61:$I$81,9,0)</f>
        <v>5.8890909090909096</v>
      </c>
      <c r="AH25" s="12">
        <f t="array" ref="AH25">INDEX(AG:AG,MIN(IF(ISNUMBER(AG25:AG221),ROW(AG25:AG221),"")))</f>
        <v>5.8890909090909096</v>
      </c>
      <c r="AI25" s="13">
        <f>IF('Données projet'!$A$62&gt;35,AI24+AH25-AQ24,IF(A25&lt;'Données projet'!$A$62,$AF$205^A25,IF(A25='Données projet'!$A$62,'Données projet'!$B$62,AI24+AH25-AQ24)))</f>
        <v>129.56</v>
      </c>
      <c r="AJ25" s="13">
        <f>AI25*VLOOKUP('Données projet'!$B$10,Paramètres!$A$1:$I$89,3,0)*VLOOKUP('Données projet'!$B$10,Paramètres!$A$1:$I$89,5,0)</f>
        <v>77.476880000000008</v>
      </c>
      <c r="AK25" s="13">
        <f t="shared" si="35"/>
        <v>21.519122262611628</v>
      </c>
      <c r="AL25" s="20">
        <f t="shared" si="4"/>
        <v>172.4180372740486</v>
      </c>
      <c r="AM25" s="59">
        <f t="shared" si="5"/>
        <v>455.97359282960417</v>
      </c>
      <c r="AN25" s="59">
        <f ca="1">AVERAGE(OFFSET($AM$3,0,0,'Données projet'!$E$10+1,1))-AVERAGE(OFFSET($H$3,0,0,'Données projet'!$E$10+1,1))</f>
        <v>349.71285006949597</v>
      </c>
      <c r="AO25" s="59">
        <f t="shared" si="36"/>
        <v>258.51550516456842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52.620000000000005</v>
      </c>
      <c r="AR25" s="16">
        <f>IF(ISNA(VLOOKUP(A25,'Données projet'!$A$61:$I$81,5,0)),0%,VLOOKUP(A25,'Données projet'!$A$61:$I$81,5,0)*VLOOKUP('Données projet'!$B$10,Paramètres!$A$1:$I$89,7,0))</f>
        <v>0.1125</v>
      </c>
      <c r="AS25" s="16">
        <f>IF(ISNA(VLOOKUP(A25,'Données projet'!$A$61:$I$81,6,0)),0%,VLOOKUP(A25,'Données projet'!$A$61:$I$81,6,0)*VLOOKUP('Données projet'!$B$10,Paramètres!$A$1:$I$89,7,0))</f>
        <v>0.16650000000000001</v>
      </c>
      <c r="AT25" s="16">
        <f>IF(ISNA(VLOOKUP(A25,'Données projet'!$A$61:$I$81,7,0)),0%,VLOOKUP(A25,'Données projet'!$A$61:$I$81,7,0))</f>
        <v>0.38</v>
      </c>
      <c r="AU25" s="21">
        <f>EXP(-LN(2)/35)*AU24+(1-EXP(-LN(2)/35))/(LN(2)/35)*AQ25*AR25*VLOOKUP('Données projet'!$B$10,Paramètres!$A$1:$I$89,3,0)*0.475*44/12</f>
        <v>4.6960521011827554</v>
      </c>
      <c r="AV25" s="21">
        <f>EXP(-LN(2)/25)*AV24+(1-EXP(-LN(2)/25))/(LN(2)/25)*Calculateur!AQ25*Calculateur!AS25*VLOOKUP('Données projet'!$B$10,Paramètres!$A$1:$I$89,3,0)*0.475*44/12</f>
        <v>6.9227916929919147</v>
      </c>
      <c r="AW25" s="21">
        <f>EXP(-LN(2)/2)*AW24+(1-EXP(-LN(2)/2))/(LN(2)/2)*AQ25*AT25*VLOOKUP('Données projet'!$B$10,Paramètres!$A$1:$I$89,3,0)*0.475*44/12</f>
        <v>13.538519148795281</v>
      </c>
      <c r="AX25" s="21">
        <f t="shared" si="6"/>
        <v>25.15736294296995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4.5856818181818184</v>
      </c>
      <c r="BD25" s="12">
        <f>IF('Données projet'!$A$88&gt;35,BD24+BC25-BL24,IF(A25&lt;'Données projet'!$A$88,$BA$205^A25,IF(A25='Données projet'!$A$88,'Données projet'!$B$88,BD24+BC25-BL24)))</f>
        <v>100.88500000000005</v>
      </c>
      <c r="BE25" s="13">
        <f>BD25*VLOOKUP('Données projet'!$B$11,Paramètres!$A$1:$I$89,3,0)*VLOOKUP('Données projet'!$B$11,Paramètres!$A$1:$I$89,5,0)</f>
        <v>91.280748000000031</v>
      </c>
      <c r="BF25" s="13">
        <f t="shared" si="37"/>
        <v>24.873856091511385</v>
      </c>
      <c r="BG25" s="20">
        <f t="shared" si="7"/>
        <v>202.30260212604904</v>
      </c>
      <c r="BH25" s="59">
        <f t="shared" si="8"/>
        <v>485.85815768160455</v>
      </c>
      <c r="BI25" s="59">
        <f ca="1">AVERAGE(OFFSET($BH$3,0,0,'Données projet'!$E$11+1,1))-AVERAGE(OFFSET($H$3,0,0,'Données projet'!$E$11+1,1))</f>
        <v>490.06222615476065</v>
      </c>
      <c r="BJ25" s="59">
        <f t="shared" si="38"/>
        <v>310.43914804089906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71.502516800000038</v>
      </c>
      <c r="CA25" s="13">
        <f t="shared" si="39"/>
        <v>20.046123005135481</v>
      </c>
      <c r="CB25" s="20">
        <f t="shared" si="10"/>
        <v>159.44721432727769</v>
      </c>
      <c r="CC25" s="59">
        <f t="shared" si="11"/>
        <v>443.00276988283326</v>
      </c>
      <c r="CD25" s="59">
        <f ca="1">AVERAGE(OFFSET($CC$3,0,0,'Données projet'!$E$12+1,1))-AVERAGE(OFFSET($H$3,0,0,'Données projet'!$E$12+1,1))</f>
        <v>510.71380643466227</v>
      </c>
      <c r="CE25" s="59">
        <f t="shared" si="40"/>
        <v>252.40654099948841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4.016578947368421</v>
      </c>
      <c r="CT25" s="12">
        <f>IF('Données projet'!$A$140&gt;35,CT24+CS25-DB24,IF(A25&lt;'Données projet'!$A$140,$CQ$205^A25,IF(A25='Données projet'!$A$140,'Données projet'!$B$140,CT24+CS25-DB24)))</f>
        <v>88.364736842105245</v>
      </c>
      <c r="CU25" s="17">
        <f>CT25*VLOOKUP('Données projet'!$B$13,Paramètres!$A$1:$I$89,3,0)*VLOOKUP('Données projet'!$B$13,Paramètres!$A$1:$I$89,5,0)</f>
        <v>95.115802736842085</v>
      </c>
      <c r="CV25" s="13">
        <f t="shared" si="41"/>
        <v>25.795035548964155</v>
      </c>
      <c r="CW25" s="20">
        <f t="shared" si="13"/>
        <v>210.58637668111251</v>
      </c>
      <c r="CX25" s="59">
        <f t="shared" si="14"/>
        <v>494.14193223666803</v>
      </c>
      <c r="CY25" s="59">
        <f ca="1">AVERAGE(OFFSET($CX$3,0,0,'Données projet'!$E$13+1,1))-AVERAGE(OFFSET($H$3,0,0,'Données projet'!$E$13+1,1))</f>
        <v>502.65044103360322</v>
      </c>
      <c r="CZ25" s="59">
        <f t="shared" si="42"/>
        <v>321.65762891855167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-25.899999999999977</v>
      </c>
      <c r="DP25" s="17">
        <f>DO25*VLOOKUP('Données projet'!$B$14,Paramètres!$A$1:$I$89,3,0)*VLOOKUP('Données projet'!$B$14,Paramètres!$A$1:$I$89,5,0)</f>
        <v>-13.171703999999989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63.94726564348116</v>
      </c>
      <c r="DU25" s="59">
        <f t="shared" si="44"/>
        <v>280.8165028422905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59.780719734163874</v>
      </c>
      <c r="EB25" s="21">
        <f>EXP(-LN(2)/25)*EB24+(1-EXP(-LN(2)/25))/(LN(2)/25)*Calculateur!DW25*Calculateur!DY25*VLOOKUP('Données projet'!$B$14,Paramètres!$A$1:$I$89,3,0)*0.475*44/12</f>
        <v>8.1116216269458103</v>
      </c>
      <c r="EC25" s="21">
        <f>EXP(-LN(2)/2)*EC24+(1-EXP(-LN(2)/2))/(LN(2)/2)*DW25*DZ25*VLOOKUP('Données projet'!$B$14,Paramètres!$A$1:$I$89,3,0)*0.475*44/12</f>
        <v>1.5546817545211609</v>
      </c>
      <c r="ED25" s="22">
        <f t="shared" si="18"/>
        <v>69.447023115630842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11.16285714285714</v>
      </c>
      <c r="N26" s="13">
        <f>IF('Données projet'!$A$36&gt;35,N25+M26-V25,IF(A26&lt;'Données projet'!$A$36,$K$205^A26,IF(A26='Données projet'!$A$36,'Données projet'!$B$36,N25+M26-V25)))</f>
        <v>82.972857142857137</v>
      </c>
      <c r="O26" s="13">
        <f>N26*VLOOKUP('Données projet'!$B$9,Paramètres!$A$1:$I$89,3,0)*VLOOKUP('Données projet'!$B$9,Paramètres!$A$1:$I$89,5,0)</f>
        <v>47.460474285714284</v>
      </c>
      <c r="P26" s="13">
        <f t="shared" si="33"/>
        <v>13.955939734917521</v>
      </c>
      <c r="Q26" s="20">
        <f t="shared" si="2"/>
        <v>106.96692108593372</v>
      </c>
      <c r="R26" s="59">
        <f t="shared" si="0"/>
        <v>391.74469886371151</v>
      </c>
      <c r="S26" s="59">
        <f ca="1">AVERAGE(OFFSET($R$3,0,0,'Données projet'!$E$9+1,1))-AVERAGE(OFFSET($H$3,0,0,'Données projet'!$E$9+1,1))</f>
        <v>294.9631697747962</v>
      </c>
      <c r="T26" s="59">
        <f t="shared" si="34"/>
        <v>202.04924881627716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4.2564977337328562</v>
      </c>
      <c r="AA26" s="21">
        <f>EXP(-LN(2)/25)*AA25+(1-EXP(-LN(2)/25))/(LN(2)/25)*Calculateur!V26*Calculateur!X26*VLOOKUP('Données projet'!$B$9,Paramètres!$A$1:$I$89,3,0)*0.475*44/12</f>
        <v>6.2253019469429258</v>
      </c>
      <c r="AB26" s="21">
        <f>EXP(-LN(2)/2)*AB25+(1-EXP(-LN(2)/2))/(LN(2)/2)*V26*Y26*VLOOKUP('Données projet'!$B$9,Paramètres!$A$1:$I$89,3,0)*0.475*44/12</f>
        <v>8.8506776296204066</v>
      </c>
      <c r="AC26" s="22">
        <f t="shared" si="3"/>
        <v>19.332477310296188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15.782</v>
      </c>
      <c r="AI26" s="13">
        <f>IF('Données projet'!$A$62&gt;35,AI25+AH26-AQ25,IF(A26&lt;'Données projet'!$A$62,$AF$205^A26,IF(A26='Données projet'!$A$62,'Données projet'!$B$62,AI25+AH26-AQ25)))</f>
        <v>92.722000000000008</v>
      </c>
      <c r="AJ26" s="13">
        <f>AI26*VLOOKUP('Données projet'!$B$10,Paramètres!$A$1:$I$89,3,0)*VLOOKUP('Données projet'!$B$10,Paramètres!$A$1:$I$89,5,0)</f>
        <v>55.447756000000005</v>
      </c>
      <c r="AK26" s="13">
        <f t="shared" si="35"/>
        <v>16.012087139856263</v>
      </c>
      <c r="AL26" s="20">
        <f t="shared" si="4"/>
        <v>124.45922680191636</v>
      </c>
      <c r="AM26" s="59">
        <f t="shared" si="5"/>
        <v>409.23700457969414</v>
      </c>
      <c r="AN26" s="59">
        <f ca="1">AVERAGE(OFFSET($AM$3,0,0,'Données projet'!$E$10+1,1))-AVERAGE(OFFSET($H$3,0,0,'Données projet'!$E$10+1,1))</f>
        <v>349.71285006949597</v>
      </c>
      <c r="AO26" s="59">
        <f t="shared" si="36"/>
        <v>258.51550516456842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4.6039653837875161</v>
      </c>
      <c r="AV26" s="21">
        <f>EXP(-LN(2)/25)*AV25+(1-EXP(-LN(2)/25))/(LN(2)/25)*Calculateur!AQ26*Calculateur!AS26*VLOOKUP('Données projet'!$B$10,Paramètres!$A$1:$I$89,3,0)*0.475*44/12</f>
        <v>6.733487590093258</v>
      </c>
      <c r="AW26" s="21">
        <f>EXP(-LN(2)/2)*AW25+(1-EXP(-LN(2)/2))/(LN(2)/2)*AQ26*AT26*VLOOKUP('Données projet'!$B$10,Paramètres!$A$1:$I$89,3,0)*0.475*44/12</f>
        <v>9.5731786973370685</v>
      </c>
      <c r="AX26" s="21">
        <f t="shared" si="6"/>
        <v>20.910631671217843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4.5856818181818184</v>
      </c>
      <c r="BD26" s="12">
        <f>IF('Données projet'!$A$88&gt;35,BD25+BC26-BL25,IF(A26&lt;'Données projet'!$A$88,$BA$205^A26,IF(A26='Données projet'!$A$88,'Données projet'!$B$88,BD25+BC26-BL25)))</f>
        <v>105.47068181818187</v>
      </c>
      <c r="BE26" s="13">
        <f>BD26*VLOOKUP('Données projet'!$B$11,Paramètres!$A$1:$I$89,3,0)*VLOOKUP('Données projet'!$B$11,Paramètres!$A$1:$I$89,5,0)</f>
        <v>95.429872909090946</v>
      </c>
      <c r="BF26" s="13">
        <f t="shared" si="37"/>
        <v>25.870281387606134</v>
      </c>
      <c r="BG26" s="20">
        <f t="shared" si="7"/>
        <v>211.26443540008074</v>
      </c>
      <c r="BH26" s="59">
        <f t="shared" si="8"/>
        <v>496.04221317785851</v>
      </c>
      <c r="BI26" s="59">
        <f ca="1">AVERAGE(OFFSET($BH$3,0,0,'Données projet'!$E$11+1,1))-AVERAGE(OFFSET($H$3,0,0,'Données projet'!$E$11+1,1))</f>
        <v>490.06222615476065</v>
      </c>
      <c r="BJ26" s="59">
        <f t="shared" si="38"/>
        <v>310.43914804089906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74.752631200000025</v>
      </c>
      <c r="CA26" s="13">
        <f t="shared" si="39"/>
        <v>20.84915346319784</v>
      </c>
      <c r="CB26" s="20">
        <f t="shared" si="10"/>
        <v>166.50644162173626</v>
      </c>
      <c r="CC26" s="59">
        <f t="shared" si="11"/>
        <v>451.28421939951403</v>
      </c>
      <c r="CD26" s="59">
        <f ca="1">AVERAGE(OFFSET($CC$3,0,0,'Données projet'!$E$12+1,1))-AVERAGE(OFFSET($H$3,0,0,'Données projet'!$E$12+1,1))</f>
        <v>510.71380643466227</v>
      </c>
      <c r="CE26" s="59">
        <f t="shared" si="40"/>
        <v>252.40654099948841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4.016578947368421</v>
      </c>
      <c r="CT26" s="12">
        <f>IF('Données projet'!$A$140&gt;35,CT25+CS26-DB25,IF(A26&lt;'Données projet'!$A$140,$CQ$205^A26,IF(A26='Données projet'!$A$140,'Données projet'!$B$140,CT25+CS26-DB25)))</f>
        <v>92.381315789473661</v>
      </c>
      <c r="CU26" s="17">
        <f>CT26*VLOOKUP('Données projet'!$B$13,Paramètres!$A$1:$I$89,3,0)*VLOOKUP('Données projet'!$B$13,Paramètres!$A$1:$I$89,5,0)</f>
        <v>99.439248315789442</v>
      </c>
      <c r="CV26" s="13">
        <f t="shared" si="41"/>
        <v>26.828362502376191</v>
      </c>
      <c r="CW26" s="20">
        <f t="shared" si="13"/>
        <v>219.91608884163847</v>
      </c>
      <c r="CX26" s="59">
        <f t="shared" si="14"/>
        <v>504.69386661941621</v>
      </c>
      <c r="CY26" s="59">
        <f ca="1">AVERAGE(OFFSET($CX$3,0,0,'Données projet'!$E$13+1,1))-AVERAGE(OFFSET($H$3,0,0,'Données projet'!$E$13+1,1))</f>
        <v>502.65044103360322</v>
      </c>
      <c r="CZ26" s="59">
        <f t="shared" si="42"/>
        <v>321.65762891855167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-25.899999999999977</v>
      </c>
      <c r="DP26" s="17">
        <f>DO26*VLOOKUP('Données projet'!$B$14,Paramètres!$A$1:$I$89,3,0)*VLOOKUP('Données projet'!$B$14,Paramètres!$A$1:$I$89,5,0)</f>
        <v>-13.171703999999989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63.94726564348116</v>
      </c>
      <c r="DU26" s="59">
        <f t="shared" si="44"/>
        <v>280.8165028422905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58.608456282815574</v>
      </c>
      <c r="EB26" s="21">
        <f>EXP(-LN(2)/25)*EB25+(1-EXP(-LN(2)/25))/(LN(2)/25)*Calculateur!DW26*Calculateur!DY26*VLOOKUP('Données projet'!$B$14,Paramètres!$A$1:$I$89,3,0)*0.475*44/12</f>
        <v>7.8898089069853352</v>
      </c>
      <c r="EC26" s="21">
        <f>EXP(-LN(2)/2)*EC25+(1-EXP(-LN(2)/2))/(LN(2)/2)*DW26*DZ26*VLOOKUP('Données projet'!$B$14,Paramètres!$A$1:$I$89,3,0)*0.475*44/12</f>
        <v>1.0993260112089123</v>
      </c>
      <c r="ED26" s="22">
        <f t="shared" si="18"/>
        <v>67.59759120100982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11.16285714285714</v>
      </c>
      <c r="N27" s="13">
        <f>IF('Données projet'!$A$36&gt;35,N26+M27-V26,IF(A27&lt;'Données projet'!$A$36,$K$205^A27,IF(A27='Données projet'!$A$36,'Données projet'!$B$36,N26+M27-V26)))</f>
        <v>94.135714285714272</v>
      </c>
      <c r="O27" s="13">
        <f>N27*VLOOKUP('Données projet'!$B$9,Paramètres!$A$1:$I$89,3,0)*VLOOKUP('Données projet'!$B$9,Paramètres!$A$1:$I$89,5,0)</f>
        <v>53.845628571428563</v>
      </c>
      <c r="P27" s="13">
        <f t="shared" si="33"/>
        <v>15.602586661441572</v>
      </c>
      <c r="Q27" s="20">
        <f t="shared" si="2"/>
        <v>120.95564153058216</v>
      </c>
      <c r="R27" s="59">
        <f t="shared" si="0"/>
        <v>406.95564153058217</v>
      </c>
      <c r="S27" s="59">
        <f ca="1">AVERAGE(OFFSET($R$3,0,0,'Données projet'!$E$9+1,1))-AVERAGE(OFFSET($H$3,0,0,'Données projet'!$E$9+1,1))</f>
        <v>294.9631697747962</v>
      </c>
      <c r="T27" s="59">
        <f t="shared" si="34"/>
        <v>202.04924881627716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4.1730304093816182</v>
      </c>
      <c r="AA27" s="21">
        <f>EXP(-LN(2)/25)*AA26+(1-EXP(-LN(2)/25))/(LN(2)/25)*Calculateur!V27*Calculateur!X27*VLOOKUP('Données projet'!$B$9,Paramètres!$A$1:$I$89,3,0)*0.475*44/12</f>
        <v>6.0550707378293707</v>
      </c>
      <c r="AB27" s="21">
        <f>EXP(-LN(2)/2)*AB26+(1-EXP(-LN(2)/2))/(LN(2)/2)*V27*Y27*VLOOKUP('Données projet'!$B$9,Paramètres!$A$1:$I$89,3,0)*0.475*44/12</f>
        <v>6.2583741700006685</v>
      </c>
      <c r="AC27" s="22">
        <f t="shared" si="3"/>
        <v>16.486475317211656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15.782</v>
      </c>
      <c r="AI27" s="13">
        <f>IF('Données projet'!$A$62&gt;35,AI26+AH27-AQ26,IF(A27&lt;'Données projet'!$A$62,$AF$205^A27,IF(A27='Données projet'!$A$62,'Données projet'!$B$62,AI26+AH27-AQ26)))</f>
        <v>108.504</v>
      </c>
      <c r="AJ27" s="13">
        <f>AI27*VLOOKUP('Données projet'!$B$10,Paramètres!$A$1:$I$89,3,0)*VLOOKUP('Données projet'!$B$10,Paramètres!$A$1:$I$89,5,0)</f>
        <v>64.88539200000001</v>
      </c>
      <c r="AK27" s="13">
        <f t="shared" si="35"/>
        <v>18.397766162676771</v>
      </c>
      <c r="AL27" s="20">
        <f t="shared" si="4"/>
        <v>145.05150046666205</v>
      </c>
      <c r="AM27" s="59">
        <f t="shared" si="5"/>
        <v>431.05150046666205</v>
      </c>
      <c r="AN27" s="59">
        <f ca="1">AVERAGE(OFFSET($AM$3,0,0,'Données projet'!$E$10+1,1))-AVERAGE(OFFSET($H$3,0,0,'Données projet'!$E$10+1,1))</f>
        <v>349.71285006949597</v>
      </c>
      <c r="AO27" s="59">
        <f t="shared" si="36"/>
        <v>258.51550516456842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4.5136844307530462</v>
      </c>
      <c r="AV27" s="21">
        <f>EXP(-LN(2)/25)*AV26+(1-EXP(-LN(2)/25))/(LN(2)/25)*Calculateur!AQ27*Calculateur!AS27*VLOOKUP('Données projet'!$B$10,Paramètres!$A$1:$I$89,3,0)*0.475*44/12</f>
        <v>6.5493600178434352</v>
      </c>
      <c r="AW27" s="21">
        <f>EXP(-LN(2)/2)*AW26+(1-EXP(-LN(2)/2))/(LN(2)/2)*AQ27*AT27*VLOOKUP('Données projet'!$B$10,Paramètres!$A$1:$I$89,3,0)*0.475*44/12</f>
        <v>6.7692595743976414</v>
      </c>
      <c r="AX27" s="21">
        <f t="shared" si="6"/>
        <v>17.832304022994123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4.5856818181818184</v>
      </c>
      <c r="BD27" s="12">
        <f>IF('Données projet'!$A$88&gt;35,BD26+BC27-BL26,IF(A27&lt;'Données projet'!$A$88,$BA$205^A27,IF(A27='Données projet'!$A$88,'Données projet'!$B$88,BD26+BC27-BL26)))</f>
        <v>110.0563636363637</v>
      </c>
      <c r="BE27" s="13">
        <f>BD27*VLOOKUP('Données projet'!$B$11,Paramètres!$A$1:$I$89,3,0)*VLOOKUP('Données projet'!$B$11,Paramètres!$A$1:$I$89,5,0)</f>
        <v>99.578997818181875</v>
      </c>
      <c r="BF27" s="13">
        <f t="shared" si="37"/>
        <v>26.861674970087829</v>
      </c>
      <c r="BG27" s="20">
        <f t="shared" si="7"/>
        <v>220.21750510623642</v>
      </c>
      <c r="BH27" s="59">
        <f t="shared" si="8"/>
        <v>506.21750510623644</v>
      </c>
      <c r="BI27" s="59">
        <f ca="1">AVERAGE(OFFSET($BH$3,0,0,'Données projet'!$E$11+1,1))-AVERAGE(OFFSET($H$3,0,0,'Données projet'!$E$11+1,1))</f>
        <v>490.06222615476065</v>
      </c>
      <c r="BJ27" s="59">
        <f t="shared" si="38"/>
        <v>310.43914804089906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78.002745600000026</v>
      </c>
      <c r="CA27" s="13">
        <f t="shared" si="39"/>
        <v>21.648128806136818</v>
      </c>
      <c r="CB27" s="20">
        <f t="shared" si="10"/>
        <v>173.55860625735497</v>
      </c>
      <c r="CC27" s="59">
        <f t="shared" si="11"/>
        <v>459.558606257355</v>
      </c>
      <c r="CD27" s="59">
        <f ca="1">AVERAGE(OFFSET($CC$3,0,0,'Données projet'!$E$12+1,1))-AVERAGE(OFFSET($H$3,0,0,'Données projet'!$E$12+1,1))</f>
        <v>510.71380643466227</v>
      </c>
      <c r="CE27" s="59">
        <f t="shared" si="40"/>
        <v>252.40654099948841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4.016578947368421</v>
      </c>
      <c r="CT27" s="12">
        <f>IF('Données projet'!$A$140&gt;35,CT26+CS27-DB26,IF(A27&lt;'Données projet'!$A$140,$CQ$205^A27,IF(A27='Données projet'!$A$140,'Données projet'!$B$140,CT26+CS27-DB26)))</f>
        <v>96.397894736842076</v>
      </c>
      <c r="CU27" s="17">
        <f>CT27*VLOOKUP('Données projet'!$B$13,Paramètres!$A$1:$I$89,3,0)*VLOOKUP('Données projet'!$B$13,Paramètres!$A$1:$I$89,5,0)</f>
        <v>103.76269389473681</v>
      </c>
      <c r="CV27" s="13">
        <f t="shared" si="41"/>
        <v>27.856471397476621</v>
      </c>
      <c r="CW27" s="20">
        <f t="shared" si="13"/>
        <v>229.2367128839384</v>
      </c>
      <c r="CX27" s="59">
        <f t="shared" si="14"/>
        <v>515.23671288393837</v>
      </c>
      <c r="CY27" s="59">
        <f ca="1">AVERAGE(OFFSET($CX$3,0,0,'Données projet'!$E$13+1,1))-AVERAGE(OFFSET($H$3,0,0,'Données projet'!$E$13+1,1))</f>
        <v>502.65044103360322</v>
      </c>
      <c r="CZ27" s="59">
        <f t="shared" si="42"/>
        <v>321.65762891855167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-25.899999999999977</v>
      </c>
      <c r="DP27" s="17">
        <f>DO27*VLOOKUP('Données projet'!$B$14,Paramètres!$A$1:$I$89,3,0)*VLOOKUP('Données projet'!$B$14,Paramètres!$A$1:$I$89,5,0)</f>
        <v>-13.171703999999989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63.94726564348116</v>
      </c>
      <c r="DU27" s="59">
        <f t="shared" si="44"/>
        <v>280.8165028422905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57.459180202738111</v>
      </c>
      <c r="EB27" s="21">
        <f>EXP(-LN(2)/25)*EB26+(1-EXP(-LN(2)/25))/(LN(2)/25)*Calculateur!DW27*Calculateur!DY27*VLOOKUP('Données projet'!$B$14,Paramètres!$A$1:$I$89,3,0)*0.475*44/12</f>
        <v>7.6740616675168036</v>
      </c>
      <c r="EC27" s="21">
        <f>EXP(-LN(2)/2)*EC26+(1-EXP(-LN(2)/2))/(LN(2)/2)*DW27*DZ27*VLOOKUP('Données projet'!$B$14,Paramètres!$A$1:$I$89,3,0)*0.475*44/12</f>
        <v>0.77734087726058043</v>
      </c>
      <c r="ED27" s="22">
        <f t="shared" si="18"/>
        <v>65.910582747515505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11.16285714285714</v>
      </c>
      <c r="N28" s="13">
        <f>IF('Données projet'!$A$36&gt;35,N27+M28-V27,IF(A28&lt;'Données projet'!$A$36,$K$205^A28,IF(A28='Données projet'!$A$36,'Données projet'!$B$36,N27+M28-V27)))</f>
        <v>105.29857142857141</v>
      </c>
      <c r="O28" s="13">
        <f>N28*VLOOKUP('Données projet'!$B$9,Paramètres!$A$1:$I$89,3,0)*VLOOKUP('Données projet'!$B$9,Paramètres!$A$1:$I$89,5,0)</f>
        <v>60.230782857142849</v>
      </c>
      <c r="P28" s="13">
        <f t="shared" si="33"/>
        <v>17.226605116248191</v>
      </c>
      <c r="Q28" s="20">
        <f t="shared" si="2"/>
        <v>134.90495072032272</v>
      </c>
      <c r="R28" s="59">
        <f t="shared" si="0"/>
        <v>422.12717294254492</v>
      </c>
      <c r="S28" s="59">
        <f ca="1">AVERAGE(OFFSET($R$3,0,0,'Données projet'!$E$9+1,1))-AVERAGE(OFFSET($H$3,0,0,'Données projet'!$E$9+1,1))</f>
        <v>294.9631697747962</v>
      </c>
      <c r="T28" s="59">
        <f t="shared" si="34"/>
        <v>202.04924881627716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4.0911998283508675</v>
      </c>
      <c r="AA28" s="21">
        <f>EXP(-LN(2)/25)*AA27+(1-EXP(-LN(2)/25))/(LN(2)/25)*Calculateur!V28*Calculateur!X28*VLOOKUP('Données projet'!$B$9,Paramètres!$A$1:$I$89,3,0)*0.475*44/12</f>
        <v>5.8894945100810956</v>
      </c>
      <c r="AB28" s="21">
        <f>EXP(-LN(2)/2)*AB27+(1-EXP(-LN(2)/2))/(LN(2)/2)*V28*Y28*VLOOKUP('Données projet'!$B$9,Paramètres!$A$1:$I$89,3,0)*0.475*44/12</f>
        <v>4.4253388148102042</v>
      </c>
      <c r="AC28" s="22">
        <f t="shared" si="3"/>
        <v>14.406033153242166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15.782</v>
      </c>
      <c r="AI28" s="13">
        <f>IF('Données projet'!$A$62&gt;35,AI27+AH28-AQ27,IF(A28&lt;'Données projet'!$A$62,$AF$205^A28,IF(A28='Données projet'!$A$62,'Données projet'!$B$62,AI27+AH28-AQ27)))</f>
        <v>124.286</v>
      </c>
      <c r="AJ28" s="13">
        <f>AI28*VLOOKUP('Données projet'!$B$10,Paramètres!$A$1:$I$89,3,0)*VLOOKUP('Données projet'!$B$10,Paramètres!$A$1:$I$89,5,0)</f>
        <v>74.323028000000008</v>
      </c>
      <c r="AK28" s="13">
        <f t="shared" si="35"/>
        <v>20.743244990540482</v>
      </c>
      <c r="AL28" s="20">
        <f t="shared" si="4"/>
        <v>165.57375879185801</v>
      </c>
      <c r="AM28" s="59">
        <f t="shared" si="5"/>
        <v>452.79598101408021</v>
      </c>
      <c r="AN28" s="59">
        <f ca="1">AVERAGE(OFFSET($AM$3,0,0,'Données projet'!$E$10+1,1))-AVERAGE(OFFSET($H$3,0,0,'Données projet'!$E$10+1,1))</f>
        <v>349.71285006949597</v>
      </c>
      <c r="AO28" s="59">
        <f t="shared" si="36"/>
        <v>258.51550516456842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4.4251738321416383</v>
      </c>
      <c r="AV28" s="21">
        <f>EXP(-LN(2)/25)*AV27+(1-EXP(-LN(2)/25))/(LN(2)/25)*Calculateur!AQ28*Calculateur!AS28*VLOOKUP('Données projet'!$B$10,Paramètres!$A$1:$I$89,3,0)*0.475*44/12</f>
        <v>6.370267423739632</v>
      </c>
      <c r="AW28" s="21">
        <f>EXP(-LN(2)/2)*AW27+(1-EXP(-LN(2)/2))/(LN(2)/2)*AQ28*AT28*VLOOKUP('Données projet'!$B$10,Paramètres!$A$1:$I$89,3,0)*0.475*44/12</f>
        <v>4.7865893486685351</v>
      </c>
      <c r="AX28" s="21">
        <f t="shared" si="6"/>
        <v>15.582030604549805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4.5856818181818184</v>
      </c>
      <c r="BD28" s="12">
        <f>IF('Données projet'!$A$88&gt;35,BD27+BC28-BL27,IF(A28&lt;'Données projet'!$A$88,$BA$205^A28,IF(A28='Données projet'!$A$88,'Données projet'!$B$88,BD27+BC28-BL27)))</f>
        <v>114.64204545454552</v>
      </c>
      <c r="BE28" s="13">
        <f>BD28*VLOOKUP('Données projet'!$B$11,Paramètres!$A$1:$I$89,3,0)*VLOOKUP('Données projet'!$B$11,Paramètres!$A$1:$I$89,5,0)</f>
        <v>103.72812272727279</v>
      </c>
      <c r="BF28" s="13">
        <f t="shared" si="37"/>
        <v>27.848270468701784</v>
      </c>
      <c r="BG28" s="20">
        <f t="shared" si="7"/>
        <v>229.16221814965567</v>
      </c>
      <c r="BH28" s="59">
        <f t="shared" si="8"/>
        <v>516.38444037187787</v>
      </c>
      <c r="BI28" s="59">
        <f ca="1">AVERAGE(OFFSET($BH$3,0,0,'Données projet'!$E$11+1,1))-AVERAGE(OFFSET($H$3,0,0,'Données projet'!$E$11+1,1))</f>
        <v>490.06222615476065</v>
      </c>
      <c r="BJ28" s="59">
        <f t="shared" si="38"/>
        <v>310.43914804089906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81.252860000000027</v>
      </c>
      <c r="CA28" s="13">
        <f t="shared" si="39"/>
        <v>22.443237318816408</v>
      </c>
      <c r="CB28" s="20">
        <f t="shared" si="10"/>
        <v>180.60403616360529</v>
      </c>
      <c r="CC28" s="59">
        <f t="shared" si="11"/>
        <v>467.82625838582749</v>
      </c>
      <c r="CD28" s="59">
        <f ca="1">AVERAGE(OFFSET($CC$3,0,0,'Données projet'!$E$12+1,1))-AVERAGE(OFFSET($H$3,0,0,'Données projet'!$E$12+1,1))</f>
        <v>510.71380643466227</v>
      </c>
      <c r="CE28" s="59">
        <f t="shared" si="40"/>
        <v>252.40654099948841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4.016578947368421</v>
      </c>
      <c r="CT28" s="12">
        <f>IF('Données projet'!$A$140&gt;35,CT27+CS28-DB27,IF(A28&lt;'Données projet'!$A$140,$CQ$205^A28,IF(A28='Données projet'!$A$140,'Données projet'!$B$140,CT27+CS28-DB27)))</f>
        <v>100.41447368421049</v>
      </c>
      <c r="CU28" s="17">
        <f>CT28*VLOOKUP('Données projet'!$B$13,Paramètres!$A$1:$I$89,3,0)*VLOOKUP('Données projet'!$B$13,Paramètres!$A$1:$I$89,5,0)</f>
        <v>108.08613947368417</v>
      </c>
      <c r="CV28" s="13">
        <f t="shared" si="41"/>
        <v>28.879604516264717</v>
      </c>
      <c r="CW28" s="20">
        <f t="shared" si="13"/>
        <v>238.54867078249427</v>
      </c>
      <c r="CX28" s="59">
        <f t="shared" si="14"/>
        <v>525.77089300471653</v>
      </c>
      <c r="CY28" s="59">
        <f ca="1">AVERAGE(OFFSET($CX$3,0,0,'Données projet'!$E$13+1,1))-AVERAGE(OFFSET($H$3,0,0,'Données projet'!$E$13+1,1))</f>
        <v>502.65044103360322</v>
      </c>
      <c r="CZ28" s="59">
        <f t="shared" si="42"/>
        <v>321.65762891855167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-25.899999999999977</v>
      </c>
      <c r="DP28" s="17">
        <f>DO28*VLOOKUP('Données projet'!$B$14,Paramètres!$A$1:$I$89,3,0)*VLOOKUP('Données projet'!$B$14,Paramètres!$A$1:$I$89,5,0)</f>
        <v>-13.171703999999989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63.94726564348116</v>
      </c>
      <c r="DU28" s="59">
        <f t="shared" si="44"/>
        <v>280.8165028422905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56.332440725601771</v>
      </c>
      <c r="EB28" s="21">
        <f>EXP(-LN(2)/25)*EB27+(1-EXP(-LN(2)/25))/(LN(2)/25)*Calculateur!DW28*Calculateur!DY28*VLOOKUP('Données projet'!$B$14,Paramètres!$A$1:$I$89,3,0)*0.475*44/12</f>
        <v>7.464214047657193</v>
      </c>
      <c r="EC28" s="21">
        <f>EXP(-LN(2)/2)*EC27+(1-EXP(-LN(2)/2))/(LN(2)/2)*DW28*DZ28*VLOOKUP('Données projet'!$B$14,Paramètres!$A$1:$I$89,3,0)*0.475*44/12</f>
        <v>0.54966300560445613</v>
      </c>
      <c r="ED28" s="22">
        <f t="shared" si="18"/>
        <v>64.346317778863423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11.16285714285714</v>
      </c>
      <c r="N29" s="13">
        <f>IF('Données projet'!$A$36&gt;35,N28+M29-V28,IF(A29&lt;'Données projet'!$A$36,$K$205^A29,IF(A29='Données projet'!$A$36,'Données projet'!$B$36,N28+M29-V28)))</f>
        <v>116.46142857142854</v>
      </c>
      <c r="O29" s="13">
        <f>N29*VLOOKUP('Données projet'!$B$9,Paramètres!$A$1:$I$89,3,0)*VLOOKUP('Données projet'!$B$9,Paramètres!$A$1:$I$89,5,0)</f>
        <v>66.615937142857135</v>
      </c>
      <c r="P29" s="13">
        <f t="shared" si="33"/>
        <v>18.83066732988917</v>
      </c>
      <c r="Q29" s="20">
        <f t="shared" si="2"/>
        <v>148.81950279003311</v>
      </c>
      <c r="R29" s="59">
        <f t="shared" si="0"/>
        <v>437.26394723447754</v>
      </c>
      <c r="S29" s="59">
        <f ca="1">AVERAGE(OFFSET($R$3,0,0,'Données projet'!$E$9+1,1))-AVERAGE(OFFSET($H$3,0,0,'Données projet'!$E$9+1,1))</f>
        <v>294.9631697747962</v>
      </c>
      <c r="T29" s="59">
        <f t="shared" si="34"/>
        <v>202.04924881627716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4.0109738951024037</v>
      </c>
      <c r="AA29" s="21">
        <f>EXP(-LN(2)/25)*AA28+(1-EXP(-LN(2)/25))/(LN(2)/25)*Calculateur!V29*Calculateur!X29*VLOOKUP('Données projet'!$B$9,Paramètres!$A$1:$I$89,3,0)*0.475*44/12</f>
        <v>5.7284459729878723</v>
      </c>
      <c r="AB29" s="21">
        <f>EXP(-LN(2)/2)*AB28+(1-EXP(-LN(2)/2))/(LN(2)/2)*V29*Y29*VLOOKUP('Données projet'!$B$9,Paramètres!$A$1:$I$89,3,0)*0.475*44/12</f>
        <v>3.1291870850003347</v>
      </c>
      <c r="AC29" s="22">
        <f t="shared" si="3"/>
        <v>12.868606953090612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15.782</v>
      </c>
      <c r="AI29" s="13">
        <f>IF('Données projet'!$A$62&gt;35,AI28+AH29-AQ28,IF(A29&lt;'Données projet'!$A$62,$AF$205^A29,IF(A29='Données projet'!$A$62,'Données projet'!$B$62,AI28+AH29-AQ28)))</f>
        <v>140.06800000000001</v>
      </c>
      <c r="AJ29" s="13">
        <f>AI29*VLOOKUP('Données projet'!$B$10,Paramètres!$A$1:$I$89,3,0)*VLOOKUP('Données projet'!$B$10,Paramètres!$A$1:$I$89,5,0)</f>
        <v>83.76066400000002</v>
      </c>
      <c r="AK29" s="13">
        <f t="shared" si="35"/>
        <v>23.054213321234659</v>
      </c>
      <c r="AL29" s="20">
        <f t="shared" si="4"/>
        <v>186.0359113344837</v>
      </c>
      <c r="AM29" s="59">
        <f t="shared" si="5"/>
        <v>474.48035577892813</v>
      </c>
      <c r="AN29" s="59">
        <f ca="1">AVERAGE(OFFSET($AM$3,0,0,'Données projet'!$E$10+1,1))-AVERAGE(OFFSET($H$3,0,0,'Données projet'!$E$10+1,1))</f>
        <v>349.71285006949597</v>
      </c>
      <c r="AO29" s="59">
        <f t="shared" si="36"/>
        <v>258.51550516456842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4.3383988723828653</v>
      </c>
      <c r="AV29" s="21">
        <f>EXP(-LN(2)/25)*AV28+(1-EXP(-LN(2)/25))/(LN(2)/25)*Calculateur!AQ29*Calculateur!AS29*VLOOKUP('Données projet'!$B$10,Paramètres!$A$1:$I$89,3,0)*0.475*44/12</f>
        <v>6.1960721260396676</v>
      </c>
      <c r="AW29" s="21">
        <f>EXP(-LN(2)/2)*AW28+(1-EXP(-LN(2)/2))/(LN(2)/2)*AQ29*AT29*VLOOKUP('Données projet'!$B$10,Paramètres!$A$1:$I$89,3,0)*0.475*44/12</f>
        <v>3.3846297871988211</v>
      </c>
      <c r="AX29" s="21">
        <f t="shared" si="6"/>
        <v>13.919100785621353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4.5856818181818184</v>
      </c>
      <c r="BD29" s="12">
        <f>IF('Données projet'!$A$88&gt;35,BD28+BC29-BL28,IF(A29&lt;'Données projet'!$A$88,$BA$205^A29,IF(A29='Données projet'!$A$88,'Données projet'!$B$88,BD28+BC29-BL28)))</f>
        <v>119.22772727272735</v>
      </c>
      <c r="BE29" s="13">
        <f>BD29*VLOOKUP('Données projet'!$B$11,Paramètres!$A$1:$I$89,3,0)*VLOOKUP('Données projet'!$B$11,Paramètres!$A$1:$I$89,5,0)</f>
        <v>107.87724763636369</v>
      </c>
      <c r="BF29" s="13">
        <f t="shared" si="37"/>
        <v>28.830281764878382</v>
      </c>
      <c r="BG29" s="20">
        <f t="shared" si="7"/>
        <v>238.09894704049665</v>
      </c>
      <c r="BH29" s="59">
        <f t="shared" si="8"/>
        <v>526.54339148494114</v>
      </c>
      <c r="BI29" s="59">
        <f ca="1">AVERAGE(OFFSET($BH$3,0,0,'Données projet'!$E$11+1,1))-AVERAGE(OFFSET($H$3,0,0,'Données projet'!$E$11+1,1))</f>
        <v>490.06222615476065</v>
      </c>
      <c r="BJ29" s="59">
        <f t="shared" si="38"/>
        <v>310.43914804089906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84.502974400000014</v>
      </c>
      <c r="CA29" s="13">
        <f t="shared" si="39"/>
        <v>23.234651370709514</v>
      </c>
      <c r="CB29" s="20">
        <f t="shared" si="10"/>
        <v>187.64303155065241</v>
      </c>
      <c r="CC29" s="59">
        <f t="shared" si="11"/>
        <v>476.08747599509684</v>
      </c>
      <c r="CD29" s="59">
        <f ca="1">AVERAGE(OFFSET($CC$3,0,0,'Données projet'!$E$12+1,1))-AVERAGE(OFFSET($H$3,0,0,'Données projet'!$E$12+1,1))</f>
        <v>510.71380643466227</v>
      </c>
      <c r="CE29" s="59">
        <f t="shared" si="40"/>
        <v>252.40654099948841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4.016578947368421</v>
      </c>
      <c r="CT29" s="12">
        <f>IF('Données projet'!$A$140&gt;35,CT28+CS29-DB28,IF(A29&lt;'Données projet'!$A$140,$CQ$205^A29,IF(A29='Données projet'!$A$140,'Données projet'!$B$140,CT28+CS29-DB28)))</f>
        <v>104.43105263157891</v>
      </c>
      <c r="CU29" s="17">
        <f>CT29*VLOOKUP('Données projet'!$B$13,Paramètres!$A$1:$I$89,3,0)*VLOOKUP('Données projet'!$B$13,Paramètres!$A$1:$I$89,5,0)</f>
        <v>112.40958505263153</v>
      </c>
      <c r="CV29" s="13">
        <f t="shared" si="41"/>
        <v>29.897983661065066</v>
      </c>
      <c r="CW29" s="20">
        <f t="shared" si="13"/>
        <v>247.85234884302153</v>
      </c>
      <c r="CX29" s="59">
        <f t="shared" si="14"/>
        <v>536.29679328746602</v>
      </c>
      <c r="CY29" s="59">
        <f ca="1">AVERAGE(OFFSET($CX$3,0,0,'Données projet'!$E$13+1,1))-AVERAGE(OFFSET($H$3,0,0,'Données projet'!$E$13+1,1))</f>
        <v>502.65044103360322</v>
      </c>
      <c r="CZ29" s="59">
        <f t="shared" si="42"/>
        <v>321.65762891855167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-25.899999999999977</v>
      </c>
      <c r="DP29" s="17">
        <f>DO29*VLOOKUP('Données projet'!$B$14,Paramètres!$A$1:$I$89,3,0)*VLOOKUP('Données projet'!$B$14,Paramètres!$A$1:$I$89,5,0)</f>
        <v>-13.171703999999989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63.94726564348116</v>
      </c>
      <c r="DU29" s="59">
        <f t="shared" si="44"/>
        <v>280.8165028422905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55.227795922368855</v>
      </c>
      <c r="EB29" s="21">
        <f>EXP(-LN(2)/25)*EB28+(1-EXP(-LN(2)/25))/(LN(2)/25)*Calculateur!DW29*Calculateur!DY29*VLOOKUP('Données projet'!$B$14,Paramètres!$A$1:$I$89,3,0)*0.475*44/12</f>
        <v>7.2601047219980499</v>
      </c>
      <c r="EC29" s="21">
        <f>EXP(-LN(2)/2)*EC28+(1-EXP(-LN(2)/2))/(LN(2)/2)*DW29*DZ29*VLOOKUP('Données projet'!$B$14,Paramètres!$A$1:$I$89,3,0)*0.475*44/12</f>
        <v>0.38867043863029022</v>
      </c>
      <c r="ED29" s="22">
        <f t="shared" si="18"/>
        <v>62.876571082997195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11.16285714285714</v>
      </c>
      <c r="N30" s="13">
        <f>IF('Données projet'!$A$36&gt;35,N29+M30-V29,IF(A30&lt;'Données projet'!$A$36,$K$205^A30,IF(A30='Données projet'!$A$36,'Données projet'!$B$36,N29+M30-V29)))</f>
        <v>127.62428571428568</v>
      </c>
      <c r="O30" s="13">
        <f>N30*VLOOKUP('Données projet'!$B$9,Paramètres!$A$1:$I$89,3,0)*VLOOKUP('Données projet'!$B$9,Paramètres!$A$1:$I$89,5,0)</f>
        <v>73.001091428571414</v>
      </c>
      <c r="P30" s="13">
        <f t="shared" si="33"/>
        <v>20.416903748709558</v>
      </c>
      <c r="Q30" s="20">
        <f t="shared" si="2"/>
        <v>162.70300826709769</v>
      </c>
      <c r="R30" s="59">
        <f t="shared" si="0"/>
        <v>452.36967493376437</v>
      </c>
      <c r="S30" s="59">
        <f ca="1">AVERAGE(OFFSET($R$3,0,0,'Données projet'!$E$9+1,1))-AVERAGE(OFFSET($H$3,0,0,'Données projet'!$E$9+1,1))</f>
        <v>294.9631697747962</v>
      </c>
      <c r="T30" s="59">
        <f t="shared" si="34"/>
        <v>202.04924881627716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3.9323211434719543</v>
      </c>
      <c r="AA30" s="21">
        <f>EXP(-LN(2)/25)*AA29+(1-EXP(-LN(2)/25))/(LN(2)/25)*Calculateur!V30*Calculateur!X30*VLOOKUP('Données projet'!$B$9,Paramètres!$A$1:$I$89,3,0)*0.475*44/12</f>
        <v>5.5718013166106379</v>
      </c>
      <c r="AB30" s="21">
        <f>EXP(-LN(2)/2)*AB29+(1-EXP(-LN(2)/2))/(LN(2)/2)*V30*Y30*VLOOKUP('Données projet'!$B$9,Paramètres!$A$1:$I$89,3,0)*0.475*44/12</f>
        <v>2.2126694074051021</v>
      </c>
      <c r="AC30" s="22">
        <f t="shared" si="3"/>
        <v>11.716791867487693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155.85</v>
      </c>
      <c r="AG30" s="12">
        <f>VLOOKUP(A30,'Données projet'!$A$61:$I$81,9,0)</f>
        <v>15.782</v>
      </c>
      <c r="AH30" s="12">
        <f t="array" ref="AH30">INDEX(AG:AG,MIN(IF(ISNUMBER(AG30:AG226),ROW(AG30:AG226),"")))</f>
        <v>15.782</v>
      </c>
      <c r="AI30" s="13">
        <f>IF('Données projet'!$A$62&gt;35,AI29+AH30-AQ29,IF(A30&lt;'Données projet'!$A$62,$AF$205^A30,IF(A30='Données projet'!$A$62,'Données projet'!$B$62,AI29+AH30-AQ29)))</f>
        <v>155.85000000000002</v>
      </c>
      <c r="AJ30" s="13">
        <f>AI30*VLOOKUP('Données projet'!$B$10,Paramètres!$A$1:$I$89,3,0)*VLOOKUP('Données projet'!$B$10,Paramètres!$A$1:$I$89,5,0)</f>
        <v>93.198300000000032</v>
      </c>
      <c r="AK30" s="13">
        <f t="shared" si="35"/>
        <v>25.335003309876146</v>
      </c>
      <c r="AL30" s="20">
        <f t="shared" si="4"/>
        <v>206.44550326470099</v>
      </c>
      <c r="AM30" s="59">
        <f t="shared" si="5"/>
        <v>496.1121699313677</v>
      </c>
      <c r="AN30" s="59">
        <f ca="1">AVERAGE(OFFSET($AM$3,0,0,'Données projet'!$E$10+1,1))-AVERAGE(OFFSET($H$3,0,0,'Données projet'!$E$10+1,1))</f>
        <v>349.71285006949597</v>
      </c>
      <c r="AO30" s="59">
        <f t="shared" si="36"/>
        <v>258.51550516456842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37.929999999999993</v>
      </c>
      <c r="AR30" s="16">
        <f>IF(ISNA(VLOOKUP(A30,'Données projet'!$A$61:$I$81,5,0)),0%,VLOOKUP(A30,'Données projet'!$A$61:$I$81,5,0)*VLOOKUP('Données projet'!$B$10,Paramètres!$A$1:$I$89,7,0))</f>
        <v>0.1125</v>
      </c>
      <c r="AS30" s="16">
        <f>IF(ISNA(VLOOKUP(A30,'Données projet'!$A$61:$I$81,6,0)),0%,VLOOKUP(A30,'Données projet'!$A$61:$I$81,6,0)*VLOOKUP('Données projet'!$B$10,Paramètres!$A$1:$I$89,7,0))</f>
        <v>0.16650000000000001</v>
      </c>
      <c r="AT30" s="16">
        <f>IF(ISNA(VLOOKUP(A30,'Données projet'!$A$61:$I$81,7,0)),0%,VLOOKUP(A30,'Données projet'!$A$61:$I$81,7,0))</f>
        <v>0.38</v>
      </c>
      <c r="AU30" s="21">
        <f>EXP(-LN(2)/35)*AU29+(1-EXP(-LN(2)/35))/(LN(2)/35)*AQ30*AR30*VLOOKUP('Données projet'!$B$10,Paramètres!$A$1:$I$89,3,0)*0.475*44/12</f>
        <v>7.6383740951040968</v>
      </c>
      <c r="AV30" s="21">
        <f>EXP(-LN(2)/25)*AV29+(1-EXP(-LN(2)/25))/(LN(2)/25)*Calculateur!AQ30*Calculateur!AS30*VLOOKUP('Données projet'!$B$10,Paramètres!$A$1:$I$89,3,0)*0.475*44/12</f>
        <v>11.016786329451062</v>
      </c>
      <c r="AW30" s="21">
        <f>EXP(-LN(2)/2)*AW29+(1-EXP(-LN(2)/2))/(LN(2)/2)*AQ30*AT30*VLOOKUP('Données projet'!$B$10,Paramètres!$A$1:$I$89,3,0)*0.475*44/12</f>
        <v>12.152246238640709</v>
      </c>
      <c r="AX30" s="21">
        <f t="shared" si="6"/>
        <v>30.80740666319587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4.5856818181818184</v>
      </c>
      <c r="BD30" s="12">
        <f>IF('Données projet'!$A$88&gt;35,BD29+BC30-BL29,IF(A30&lt;'Données projet'!$A$88,$BA$205^A30,IF(A30='Données projet'!$A$88,'Données projet'!$B$88,BD29+BC30-BL29)))</f>
        <v>123.81340909090918</v>
      </c>
      <c r="BE30" s="13">
        <f>BD30*VLOOKUP('Données projet'!$B$11,Paramètres!$A$1:$I$89,3,0)*VLOOKUP('Données projet'!$B$11,Paramètres!$A$1:$I$89,5,0)</f>
        <v>112.02637254545461</v>
      </c>
      <c r="BF30" s="13">
        <f t="shared" si="37"/>
        <v>29.807905355909242</v>
      </c>
      <c r="BG30" s="20">
        <f t="shared" si="7"/>
        <v>247.02803401154202</v>
      </c>
      <c r="BH30" s="59">
        <f t="shared" si="8"/>
        <v>536.69470067820873</v>
      </c>
      <c r="BI30" s="59">
        <f ca="1">AVERAGE(OFFSET($BH$3,0,0,'Données projet'!$E$11+1,1))-AVERAGE(OFFSET($H$3,0,0,'Données projet'!$E$11+1,1))</f>
        <v>490.06222615476065</v>
      </c>
      <c r="BJ30" s="59">
        <f t="shared" si="38"/>
        <v>310.43914804089906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87.753088800000015</v>
      </c>
      <c r="CA30" s="13">
        <f t="shared" si="39"/>
        <v>24.022529321214137</v>
      </c>
      <c r="CB30" s="20">
        <f t="shared" si="10"/>
        <v>194.67586822778131</v>
      </c>
      <c r="CC30" s="59">
        <f t="shared" si="11"/>
        <v>484.34253489444802</v>
      </c>
      <c r="CD30" s="59">
        <f ca="1">AVERAGE(OFFSET($CC$3,0,0,'Données projet'!$E$12+1,1))-AVERAGE(OFFSET($H$3,0,0,'Données projet'!$E$12+1,1))</f>
        <v>510.71380643466227</v>
      </c>
      <c r="CE30" s="59">
        <f t="shared" si="40"/>
        <v>252.40654099948841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4.016578947368421</v>
      </c>
      <c r="CT30" s="12">
        <f>IF('Données projet'!$A$140&gt;35,CT29+CS30-DB29,IF(A30&lt;'Données projet'!$A$140,$CQ$205^A30,IF(A30='Données projet'!$A$140,'Données projet'!$B$140,CT29+CS30-DB29)))</f>
        <v>108.44763157894732</v>
      </c>
      <c r="CU30" s="17">
        <f>CT30*VLOOKUP('Données projet'!$B$13,Paramètres!$A$1:$I$89,3,0)*VLOOKUP('Données projet'!$B$13,Paramètres!$A$1:$I$89,5,0)</f>
        <v>116.7330306315789</v>
      </c>
      <c r="CV30" s="13">
        <f t="shared" si="41"/>
        <v>30.911812606258344</v>
      </c>
      <c r="CW30" s="20">
        <f t="shared" si="13"/>
        <v>257.14810197256651</v>
      </c>
      <c r="CX30" s="59">
        <f t="shared" si="14"/>
        <v>546.81476863923319</v>
      </c>
      <c r="CY30" s="59">
        <f ca="1">AVERAGE(OFFSET($CX$3,0,0,'Données projet'!$E$13+1,1))-AVERAGE(OFFSET($H$3,0,0,'Données projet'!$E$13+1,1))</f>
        <v>502.65044103360322</v>
      </c>
      <c r="CZ30" s="59">
        <f t="shared" si="42"/>
        <v>321.65762891855167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-25.899999999999977</v>
      </c>
      <c r="DP30" s="17">
        <f>DO30*VLOOKUP('Données projet'!$B$14,Paramètres!$A$1:$I$89,3,0)*VLOOKUP('Données projet'!$B$14,Paramètres!$A$1:$I$89,5,0)</f>
        <v>-13.171703999999989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63.94726564348116</v>
      </c>
      <c r="DU30" s="59">
        <f t="shared" si="44"/>
        <v>280.8165028422905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54.144812529960532</v>
      </c>
      <c r="EB30" s="21">
        <f>EXP(-LN(2)/25)*EB29+(1-EXP(-LN(2)/25))/(LN(2)/25)*Calculateur!DW30*Calculateur!DY30*VLOOKUP('Données projet'!$B$14,Paramètres!$A$1:$I$89,3,0)*0.475*44/12</f>
        <v>7.0615767765826991</v>
      </c>
      <c r="EC30" s="21">
        <f>EXP(-LN(2)/2)*EC29+(1-EXP(-LN(2)/2))/(LN(2)/2)*DW30*DZ30*VLOOKUP('Données projet'!$B$14,Paramètres!$A$1:$I$89,3,0)*0.475*44/12</f>
        <v>0.27483150280222807</v>
      </c>
      <c r="ED30" s="22">
        <f t="shared" si="18"/>
        <v>61.481220809345459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11.16285714285714</v>
      </c>
      <c r="N31" s="13">
        <f>IF('Données projet'!$A$36&gt;35,N30+M31-V30,IF(A31&lt;'Données projet'!$A$36,$K$205^A31,IF(A31='Données projet'!$A$36,'Données projet'!$B$36,N30+M31-V30)))</f>
        <v>138.78714285714281</v>
      </c>
      <c r="O31" s="13">
        <f>N31*VLOOKUP('Données projet'!$B$9,Paramètres!$A$1:$I$89,3,0)*VLOOKUP('Données projet'!$B$9,Paramètres!$A$1:$I$89,5,0)</f>
        <v>79.386245714285693</v>
      </c>
      <c r="P31" s="13">
        <f t="shared" si="33"/>
        <v>21.987050817543054</v>
      </c>
      <c r="Q31" s="20">
        <f t="shared" si="2"/>
        <v>176.5584914596017</v>
      </c>
      <c r="R31" s="59">
        <f t="shared" si="0"/>
        <v>467.44738034849058</v>
      </c>
      <c r="S31" s="59">
        <f ca="1">AVERAGE(OFFSET($R$3,0,0,'Données projet'!$E$9+1,1))-AVERAGE(OFFSET($H$3,0,0,'Données projet'!$E$9+1,1))</f>
        <v>294.9631697747962</v>
      </c>
      <c r="T31" s="59">
        <f t="shared" si="34"/>
        <v>202.04924881627716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3.8552107243275366</v>
      </c>
      <c r="AA31" s="21">
        <f>EXP(-LN(2)/25)*AA30+(1-EXP(-LN(2)/25))/(LN(2)/25)*Calculateur!V31*Calculateur!X31*VLOOKUP('Données projet'!$B$9,Paramètres!$A$1:$I$89,3,0)*0.475*44/12</f>
        <v>5.4194401165996231</v>
      </c>
      <c r="AB31" s="21">
        <f>EXP(-LN(2)/2)*AB30+(1-EXP(-LN(2)/2))/(LN(2)/2)*V31*Y31*VLOOKUP('Données projet'!$B$9,Paramètres!$A$1:$I$89,3,0)*0.475*44/12</f>
        <v>1.5645935425001674</v>
      </c>
      <c r="AC31" s="22">
        <f t="shared" si="3"/>
        <v>10.839244383427328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16.621666666666666</v>
      </c>
      <c r="AI31" s="13">
        <f>IF('Données projet'!$A$62&gt;35,AI30+AH31-AQ30,IF(A31&lt;'Données projet'!$A$62,$AF$205^A31,IF(A31='Données projet'!$A$62,'Données projet'!$B$62,AI30+AH31-AQ30)))</f>
        <v>134.54166666666669</v>
      </c>
      <c r="AJ31" s="13">
        <f>AI31*VLOOKUP('Données projet'!$B$10,Paramètres!$A$1:$I$89,3,0)*VLOOKUP('Données projet'!$B$10,Paramètres!$A$1:$I$89,5,0)</f>
        <v>80.455916666666681</v>
      </c>
      <c r="AK31" s="13">
        <f t="shared" si="35"/>
        <v>22.248621228387805</v>
      </c>
      <c r="AL31" s="20">
        <f t="shared" si="4"/>
        <v>178.8770701672199</v>
      </c>
      <c r="AM31" s="59">
        <f t="shared" si="5"/>
        <v>469.76595905610873</v>
      </c>
      <c r="AN31" s="59">
        <f ca="1">AVERAGE(OFFSET($AM$3,0,0,'Données projet'!$E$10+1,1))-AVERAGE(OFFSET($H$3,0,0,'Données projet'!$E$10+1,1))</f>
        <v>349.71285006949597</v>
      </c>
      <c r="AO31" s="59">
        <f t="shared" si="36"/>
        <v>258.51550516456842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7.4885902380472702</v>
      </c>
      <c r="AV31" s="21">
        <f>EXP(-LN(2)/25)*AV30+(1-EXP(-LN(2)/25))/(LN(2)/25)*Calculateur!AQ31*Calculateur!AS31*VLOOKUP('Données projet'!$B$10,Paramètres!$A$1:$I$89,3,0)*0.475*44/12</f>
        <v>10.715531727924608</v>
      </c>
      <c r="AW31" s="21">
        <f>EXP(-LN(2)/2)*AW30+(1-EXP(-LN(2)/2))/(LN(2)/2)*AQ31*AT31*VLOOKUP('Données projet'!$B$10,Paramètres!$A$1:$I$89,3,0)*0.475*44/12</f>
        <v>8.5929357219915623</v>
      </c>
      <c r="AX31" s="21">
        <f t="shared" si="6"/>
        <v>26.797057687963441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4.5856818181818184</v>
      </c>
      <c r="BD31" s="12">
        <f>IF('Données projet'!$A$88&gt;35,BD30+BC31-BL30,IF(A31&lt;'Données projet'!$A$88,$BA$205^A31,IF(A31='Données projet'!$A$88,'Données projet'!$B$88,BD30+BC31-BL30)))</f>
        <v>128.399090909091</v>
      </c>
      <c r="BE31" s="13">
        <f>BD31*VLOOKUP('Données projet'!$B$11,Paramètres!$A$1:$I$89,3,0)*VLOOKUP('Données projet'!$B$11,Paramètres!$A$1:$I$89,5,0)</f>
        <v>116.17549745454552</v>
      </c>
      <c r="BF31" s="13">
        <f t="shared" si="37"/>
        <v>30.781322359028373</v>
      </c>
      <c r="BG31" s="20">
        <f t="shared" si="7"/>
        <v>255.94979450864125</v>
      </c>
      <c r="BH31" s="59">
        <f t="shared" si="8"/>
        <v>546.83868339753008</v>
      </c>
      <c r="BI31" s="59">
        <f ca="1">AVERAGE(OFFSET($BH$3,0,0,'Données projet'!$E$11+1,1))-AVERAGE(OFFSET($H$3,0,0,'Données projet'!$E$11+1,1))</f>
        <v>490.06222615476065</v>
      </c>
      <c r="BJ31" s="59">
        <f t="shared" si="38"/>
        <v>310.43914804089906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91.003203200000016</v>
      </c>
      <c r="CA31" s="13">
        <f t="shared" si="39"/>
        <v>24.807017134765282</v>
      </c>
      <c r="CB31" s="20">
        <f t="shared" si="10"/>
        <v>201.70280041638287</v>
      </c>
      <c r="CC31" s="59">
        <f t="shared" si="11"/>
        <v>492.59168930527176</v>
      </c>
      <c r="CD31" s="59">
        <f ca="1">AVERAGE(OFFSET($CC$3,0,0,'Données projet'!$E$12+1,1))-AVERAGE(OFFSET($H$3,0,0,'Données projet'!$E$12+1,1))</f>
        <v>510.71380643466227</v>
      </c>
      <c r="CE31" s="59">
        <f t="shared" si="40"/>
        <v>252.40654099948841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4.016578947368421</v>
      </c>
      <c r="CT31" s="12">
        <f>IF('Données projet'!$A$140&gt;35,CT30+CS31-DB30,IF(A31&lt;'Données projet'!$A$140,$CQ$205^A31,IF(A31='Données projet'!$A$140,'Données projet'!$B$140,CT30+CS31-DB30)))</f>
        <v>112.46421052631574</v>
      </c>
      <c r="CU31" s="17">
        <f>CT31*VLOOKUP('Données projet'!$B$13,Paramètres!$A$1:$I$89,3,0)*VLOOKUP('Données projet'!$B$13,Paramètres!$A$1:$I$89,5,0)</f>
        <v>121.05647621052626</v>
      </c>
      <c r="CV31" s="13">
        <f t="shared" si="41"/>
        <v>31.921279176582079</v>
      </c>
      <c r="CW31" s="20">
        <f t="shared" si="13"/>
        <v>266.43625729921371</v>
      </c>
      <c r="CX31" s="59">
        <f t="shared" si="14"/>
        <v>557.32514618810251</v>
      </c>
      <c r="CY31" s="59">
        <f ca="1">AVERAGE(OFFSET($CX$3,0,0,'Données projet'!$E$13+1,1))-AVERAGE(OFFSET($H$3,0,0,'Données projet'!$E$13+1,1))</f>
        <v>502.65044103360322</v>
      </c>
      <c r="CZ31" s="59">
        <f t="shared" si="42"/>
        <v>321.65762891855167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-25.899999999999977</v>
      </c>
      <c r="DP31" s="17">
        <f>DO31*VLOOKUP('Données projet'!$B$14,Paramètres!$A$1:$I$89,3,0)*VLOOKUP('Données projet'!$B$14,Paramètres!$A$1:$I$89,5,0)</f>
        <v>-13.171703999999989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63.94726564348116</v>
      </c>
      <c r="DU31" s="59">
        <f t="shared" si="44"/>
        <v>280.8165028422905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53.083065781322695</v>
      </c>
      <c r="EB31" s="21">
        <f>EXP(-LN(2)/25)*EB30+(1-EXP(-LN(2)/25))/(LN(2)/25)*Calculateur!DW31*Calculateur!DY31*VLOOKUP('Données projet'!$B$14,Paramètres!$A$1:$I$89,3,0)*0.475*44/12</f>
        <v>6.8684775882748621</v>
      </c>
      <c r="EC31" s="21">
        <f>EXP(-LN(2)/2)*EC30+(1-EXP(-LN(2)/2))/(LN(2)/2)*DW31*DZ31*VLOOKUP('Données projet'!$B$14,Paramètres!$A$1:$I$89,3,0)*0.475*44/12</f>
        <v>0.19433521931514511</v>
      </c>
      <c r="ED31" s="22">
        <f t="shared" si="18"/>
        <v>60.145878588912701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149.94999999999999</v>
      </c>
      <c r="L32" s="12">
        <f>VLOOKUP(A32,'Données projet'!$A$35:$I$55,9,0)</f>
        <v>11.16285714285714</v>
      </c>
      <c r="M32" s="12">
        <f t="array" ref="M32">INDEX(L:L,MIN(IF(ISNUMBER(L32:L228),ROW(L32:L228),"")))</f>
        <v>11.16285714285714</v>
      </c>
      <c r="N32" s="13">
        <f>IF('Données projet'!$A$36&gt;35,N31+M32-V31,IF(A32&lt;'Données projet'!$A$36,$K$205^A32,IF(A32='Données projet'!$A$36,'Données projet'!$B$36,N31+M32-V31)))</f>
        <v>149.94999999999996</v>
      </c>
      <c r="O32" s="13">
        <f>N32*VLOOKUP('Données projet'!$B$9,Paramètres!$A$1:$I$89,3,0)*VLOOKUP('Données projet'!$B$9,Paramètres!$A$1:$I$89,5,0)</f>
        <v>85.771399999999971</v>
      </c>
      <c r="P32" s="13">
        <f t="shared" si="33"/>
        <v>23.542549752483964</v>
      </c>
      <c r="Q32" s="20">
        <f t="shared" si="2"/>
        <v>190.38846248557618</v>
      </c>
      <c r="R32" s="59">
        <f t="shared" si="0"/>
        <v>482.49957359668736</v>
      </c>
      <c r="S32" s="59">
        <f ca="1">AVERAGE(OFFSET($R$3,0,0,'Données projet'!$E$9+1,1))-AVERAGE(OFFSET($H$3,0,0,'Données projet'!$E$9+1,1))</f>
        <v>294.9631697747962</v>
      </c>
      <c r="T32" s="59">
        <f t="shared" si="34"/>
        <v>202.04924881627716</v>
      </c>
      <c r="U32" s="15">
        <f>IF(ISNA(VLOOKUP(A32,'Données projet'!$A$35:$I$55,3,0)),0,VLOOKUP(A32,'Données projet'!$A$35:$I$55,3,0))</f>
        <v>2</v>
      </c>
      <c r="V32" s="15">
        <f>IF(ISNA(VLOOKUP(A32,'Données projet'!$A$35:$I$55,4,0)),0,VLOOKUP(A32,'Données projet'!$A$35:$I$55,4,0))</f>
        <v>31.419999999999987</v>
      </c>
      <c r="W32" s="16">
        <f>IF(ISNA(VLOOKUP(A32,'Données projet'!$A$35:$I$55,5,0)),0%,VLOOKUP(A32,'Données projet'!$A$35:$I$55,5,0)*VLOOKUP('Données projet'!$B$9,Paramètres!$A$1:$I$89,7,0))</f>
        <v>0.1125</v>
      </c>
      <c r="X32" s="16">
        <f>IF(ISNA(VLOOKUP(A32,'Données projet'!$A$35:$I$55,6,0)),0%,VLOOKUP(A32,'Données projet'!$A$35:$I$55,6,0)*VLOOKUP('Données projet'!$B$9,Paramètres!$A$1:$I$89,7,0))</f>
        <v>0.16650000000000001</v>
      </c>
      <c r="Y32" s="16">
        <f>IF(ISNA(VLOOKUP(A32,'Données projet'!$A$35:$I$55,7,0)),0%,VLOOKUP(A32,'Données projet'!$A$35:$I$55,7,0))</f>
        <v>0.38</v>
      </c>
      <c r="Z32" s="21">
        <f>EXP(-LN(2)/35)*Z31+(1-EXP(-LN(2)/35))/(LN(2)/35)*V32*W32*VLOOKUP('Données projet'!$B$9,Paramètres!$A$1:$I$89,3,0)*0.475*44/12</f>
        <v>6.4617625549405595</v>
      </c>
      <c r="AA32" s="21">
        <f>EXP(-LN(2)/25)*AA31+(1-EXP(-LN(2)/25))/(LN(2)/25)*Calculateur!V32*Calculateur!X32*VLOOKUP('Données projet'!$B$9,Paramètres!$A$1:$I$89,3,0)*0.475*44/12</f>
        <v>9.2251977227876534</v>
      </c>
      <c r="AB32" s="21">
        <f>EXP(-LN(2)/2)*AB31+(1-EXP(-LN(2)/2))/(LN(2)/2)*V32*Y32*VLOOKUP('Données projet'!$B$9,Paramètres!$A$1:$I$89,3,0)*0.475*44/12</f>
        <v>8.838859926723428</v>
      </c>
      <c r="AC32" s="22">
        <f t="shared" si="3"/>
        <v>24.525820204451641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16.621666666666666</v>
      </c>
      <c r="AI32" s="13">
        <f>IF('Données projet'!$A$62&gt;35,AI31+AH32-AQ31,IF(A32&lt;'Données projet'!$A$62,$AF$205^A32,IF(A32='Données projet'!$A$62,'Données projet'!$B$62,AI31+AH32-AQ31)))</f>
        <v>151.16333333333336</v>
      </c>
      <c r="AJ32" s="13">
        <f>AI32*VLOOKUP('Données projet'!$B$10,Paramètres!$A$1:$I$89,3,0)*VLOOKUP('Données projet'!$B$10,Paramètres!$A$1:$I$89,5,0)</f>
        <v>90.395673333333363</v>
      </c>
      <c r="AK32" s="13">
        <f t="shared" si="35"/>
        <v>24.660627497212822</v>
      </c>
      <c r="AL32" s="20">
        <f t="shared" si="4"/>
        <v>200.38972394653459</v>
      </c>
      <c r="AM32" s="59">
        <f t="shared" si="5"/>
        <v>492.50083505764576</v>
      </c>
      <c r="AN32" s="59">
        <f ca="1">AVERAGE(OFFSET($AM$3,0,0,'Données projet'!$E$10+1,1))-AVERAGE(OFFSET($H$3,0,0,'Données projet'!$E$10+1,1))</f>
        <v>349.71285006949597</v>
      </c>
      <c r="AO32" s="59">
        <f t="shared" si="36"/>
        <v>258.51550516456842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7.3417435510681965</v>
      </c>
      <c r="AV32" s="21">
        <f>EXP(-LN(2)/25)*AV31+(1-EXP(-LN(2)/25))/(LN(2)/25)*Calculateur!AQ32*Calculateur!AS32*VLOOKUP('Données projet'!$B$10,Paramètres!$A$1:$I$89,3,0)*0.475*44/12</f>
        <v>10.422514949319186</v>
      </c>
      <c r="AW32" s="21">
        <f>EXP(-LN(2)/2)*AW31+(1-EXP(-LN(2)/2))/(LN(2)/2)*AQ32*AT32*VLOOKUP('Données projet'!$B$10,Paramètres!$A$1:$I$89,3,0)*0.475*44/12</f>
        <v>6.0761231193203562</v>
      </c>
      <c r="AX32" s="21">
        <f t="shared" si="6"/>
        <v>23.840381619707742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4.5856818181818184</v>
      </c>
      <c r="BD32" s="12">
        <f>IF('Données projet'!$A$88&gt;35,BD31+BC32-BL31,IF(A32&lt;'Données projet'!$A$88,$BA$205^A32,IF(A32='Données projet'!$A$88,'Données projet'!$B$88,BD31+BC32-BL31)))</f>
        <v>132.98477272727283</v>
      </c>
      <c r="BE32" s="13">
        <f>BD32*VLOOKUP('Données projet'!$B$11,Paramètres!$A$1:$I$89,3,0)*VLOOKUP('Données projet'!$B$11,Paramètres!$A$1:$I$89,5,0)</f>
        <v>120.32462236363645</v>
      </c>
      <c r="BF32" s="13">
        <f t="shared" si="37"/>
        <v>31.750700221151241</v>
      </c>
      <c r="BG32" s="20">
        <f t="shared" si="7"/>
        <v>264.86452016850518</v>
      </c>
      <c r="BH32" s="59">
        <f t="shared" si="8"/>
        <v>556.97563127961632</v>
      </c>
      <c r="BI32" s="59">
        <f ca="1">AVERAGE(OFFSET($BH$3,0,0,'Données projet'!$E$11+1,1))-AVERAGE(OFFSET($H$3,0,0,'Données projet'!$E$11+1,1))</f>
        <v>490.06222615476065</v>
      </c>
      <c r="BJ32" s="59">
        <f t="shared" si="38"/>
        <v>310.43914804089906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94.253317600000003</v>
      </c>
      <c r="CA32" s="13">
        <f t="shared" si="39"/>
        <v>25.588249758733145</v>
      </c>
      <c r="CB32" s="20">
        <f t="shared" si="10"/>
        <v>208.72406314979355</v>
      </c>
      <c r="CC32" s="59">
        <f t="shared" si="11"/>
        <v>500.83517426090469</v>
      </c>
      <c r="CD32" s="59">
        <f ca="1">AVERAGE(OFFSET($CC$3,0,0,'Données projet'!$E$12+1,1))-AVERAGE(OFFSET($H$3,0,0,'Données projet'!$E$12+1,1))</f>
        <v>510.71380643466227</v>
      </c>
      <c r="CE32" s="59">
        <f t="shared" si="40"/>
        <v>252.40654099948841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4.016578947368421</v>
      </c>
      <c r="CT32" s="12">
        <f>IF('Données projet'!$A$140&gt;35,CT31+CS32-DB31,IF(A32&lt;'Données projet'!$A$140,$CQ$205^A32,IF(A32='Données projet'!$A$140,'Données projet'!$B$140,CT31+CS32-DB31)))</f>
        <v>116.48078947368415</v>
      </c>
      <c r="CU32" s="17">
        <f>CT32*VLOOKUP('Données projet'!$B$13,Paramètres!$A$1:$I$89,3,0)*VLOOKUP('Données projet'!$B$13,Paramètres!$A$1:$I$89,5,0)</f>
        <v>125.37992178947361</v>
      </c>
      <c r="CV32" s="13">
        <f t="shared" si="41"/>
        <v>32.926557020187957</v>
      </c>
      <c r="CW32" s="20">
        <f t="shared" si="13"/>
        <v>275.71711726016053</v>
      </c>
      <c r="CX32" s="59">
        <f t="shared" si="14"/>
        <v>567.82822837127173</v>
      </c>
      <c r="CY32" s="59">
        <f ca="1">AVERAGE(OFFSET($CX$3,0,0,'Données projet'!$E$13+1,1))-AVERAGE(OFFSET($H$3,0,0,'Données projet'!$E$13+1,1))</f>
        <v>502.65044103360322</v>
      </c>
      <c r="CZ32" s="59">
        <f t="shared" si="42"/>
        <v>321.65762891855167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-25.899999999999977</v>
      </c>
      <c r="DP32" s="17">
        <f>DO32*VLOOKUP('Données projet'!$B$14,Paramètres!$A$1:$I$89,3,0)*VLOOKUP('Données projet'!$B$14,Paramètres!$A$1:$I$89,5,0)</f>
        <v>-13.171703999999989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63.94726564348116</v>
      </c>
      <c r="DU32" s="59">
        <f t="shared" si="44"/>
        <v>280.8165028422905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52.04213923882407</v>
      </c>
      <c r="EB32" s="21">
        <f>EXP(-LN(2)/25)*EB31+(1-EXP(-LN(2)/25))/(LN(2)/25)*Calculateur!DW32*Calculateur!DY32*VLOOKUP('Données projet'!$B$14,Paramètres!$A$1:$I$89,3,0)*0.475*44/12</f>
        <v>6.6806587074259474</v>
      </c>
      <c r="EC32" s="21">
        <f>EXP(-LN(2)/2)*EC31+(1-EXP(-LN(2)/2))/(LN(2)/2)*DW32*DZ32*VLOOKUP('Données projet'!$B$14,Paramètres!$A$1:$I$89,3,0)*0.475*44/12</f>
        <v>0.13741575140111403</v>
      </c>
      <c r="ED32" s="22">
        <f t="shared" si="18"/>
        <v>58.860213697651133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11.251428571428571</v>
      </c>
      <c r="N33" s="13">
        <f>IF('Données projet'!$A$36&gt;35,N32+M33-V32,IF(A33&lt;'Données projet'!$A$36,$K$205^A33,IF(A33='Données projet'!$A$36,'Données projet'!$B$36,N32+M33-V32)))</f>
        <v>129.78142857142853</v>
      </c>
      <c r="O33" s="13">
        <f>N33*VLOOKUP('Données projet'!$B$9,Paramètres!$A$1:$I$89,3,0)*VLOOKUP('Données projet'!$B$9,Paramètres!$A$1:$I$89,5,0)</f>
        <v>74.234977142857133</v>
      </c>
      <c r="P33" s="13">
        <f t="shared" si="33"/>
        <v>20.721529354526897</v>
      </c>
      <c r="Q33" s="20">
        <f t="shared" si="2"/>
        <v>165.3825821496105</v>
      </c>
      <c r="R33" s="59">
        <f t="shared" si="0"/>
        <v>458.71591548294384</v>
      </c>
      <c r="S33" s="59">
        <f ca="1">AVERAGE(OFFSET($R$3,0,0,'Données projet'!$E$9+1,1))-AVERAGE(OFFSET($H$3,0,0,'Données projet'!$E$9+1,1))</f>
        <v>294.9631697747962</v>
      </c>
      <c r="T33" s="59">
        <f t="shared" si="34"/>
        <v>202.04924881627716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6.3350513325241637</v>
      </c>
      <c r="AA33" s="21">
        <f>EXP(-LN(2)/25)*AA32+(1-EXP(-LN(2)/25))/(LN(2)/25)*Calculateur!V33*Calculateur!X33*VLOOKUP('Données projet'!$B$9,Paramètres!$A$1:$I$89,3,0)*0.475*44/12</f>
        <v>8.9729342059259611</v>
      </c>
      <c r="AB33" s="21">
        <f>EXP(-LN(2)/2)*AB32+(1-EXP(-LN(2)/2))/(LN(2)/2)*V33*Y33*VLOOKUP('Données projet'!$B$9,Paramètres!$A$1:$I$89,3,0)*0.475*44/12</f>
        <v>6.2500177921441669</v>
      </c>
      <c r="AC33" s="22">
        <f t="shared" si="3"/>
        <v>21.558003330594293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16.621666666666666</v>
      </c>
      <c r="AI33" s="13">
        <f>IF('Données projet'!$A$62&gt;35,AI32+AH33-AQ32,IF(A33&lt;'Données projet'!$A$62,$AF$205^A33,IF(A33='Données projet'!$A$62,'Données projet'!$B$62,AI32+AH33-AQ32)))</f>
        <v>167.78500000000003</v>
      </c>
      <c r="AJ33" s="13">
        <f>AI33*VLOOKUP('Données projet'!$B$10,Paramètres!$A$1:$I$89,3,0)*VLOOKUP('Données projet'!$B$10,Paramètres!$A$1:$I$89,5,0)</f>
        <v>100.33543000000002</v>
      </c>
      <c r="AK33" s="13">
        <f t="shared" si="35"/>
        <v>27.041893539465132</v>
      </c>
      <c r="AL33" s="20">
        <f t="shared" si="4"/>
        <v>221.84883849790182</v>
      </c>
      <c r="AM33" s="59">
        <f t="shared" si="5"/>
        <v>515.18217183123511</v>
      </c>
      <c r="AN33" s="59">
        <f ca="1">AVERAGE(OFFSET($AM$3,0,0,'Données projet'!$E$10+1,1))-AVERAGE(OFFSET($H$3,0,0,'Données projet'!$E$10+1,1))</f>
        <v>349.71285006949597</v>
      </c>
      <c r="AO33" s="59">
        <f t="shared" si="36"/>
        <v>258.51550516456842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7.1977764380531477</v>
      </c>
      <c r="AV33" s="21">
        <f>EXP(-LN(2)/25)*AV32+(1-EXP(-LN(2)/25))/(LN(2)/25)*Calculateur!AQ33*Calculateur!AS33*VLOOKUP('Données projet'!$B$10,Paramètres!$A$1:$I$89,3,0)*0.475*44/12</f>
        <v>10.137510729933814</v>
      </c>
      <c r="AW33" s="21">
        <f>EXP(-LN(2)/2)*AW32+(1-EXP(-LN(2)/2))/(LN(2)/2)*AQ33*AT33*VLOOKUP('Données projet'!$B$10,Paramètres!$A$1:$I$89,3,0)*0.475*44/12</f>
        <v>4.296467860995782</v>
      </c>
      <c r="AX33" s="21">
        <f t="shared" si="6"/>
        <v>21.631755028982745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4.5856818181818184</v>
      </c>
      <c r="BD33" s="12">
        <f>IF('Données projet'!$A$88&gt;35,BD32+BC33-BL32,IF(A33&lt;'Données projet'!$A$88,$BA$205^A33,IF(A33='Données projet'!$A$88,'Données projet'!$B$88,BD32+BC33-BL32)))</f>
        <v>137.57045454545465</v>
      </c>
      <c r="BE33" s="13">
        <f>BD33*VLOOKUP('Données projet'!$B$11,Paramètres!$A$1:$I$89,3,0)*VLOOKUP('Données projet'!$B$11,Paramètres!$A$1:$I$89,5,0)</f>
        <v>124.47374727272737</v>
      </c>
      <c r="BF33" s="13">
        <f t="shared" si="37"/>
        <v>32.716194186162085</v>
      </c>
      <c r="BG33" s="20">
        <f t="shared" si="7"/>
        <v>273.77248137423243</v>
      </c>
      <c r="BH33" s="59">
        <f t="shared" si="8"/>
        <v>567.10581470756574</v>
      </c>
      <c r="BI33" s="59">
        <f ca="1">AVERAGE(OFFSET($BH$3,0,0,'Données projet'!$E$11+1,1))-AVERAGE(OFFSET($H$3,0,0,'Données projet'!$E$11+1,1))</f>
        <v>490.06222615476065</v>
      </c>
      <c r="BJ33" s="59">
        <f t="shared" si="38"/>
        <v>310.43914804089906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97.503432000000004</v>
      </c>
      <c r="CA33" s="13">
        <f t="shared" si="39"/>
        <v>26.366352305926398</v>
      </c>
      <c r="CB33" s="20">
        <f t="shared" si="10"/>
        <v>215.73987433282181</v>
      </c>
      <c r="CC33" s="59">
        <f t="shared" si="11"/>
        <v>509.0732076661551</v>
      </c>
      <c r="CD33" s="59">
        <f ca="1">AVERAGE(OFFSET($CC$3,0,0,'Données projet'!$E$12+1,1))-AVERAGE(OFFSET($H$3,0,0,'Données projet'!$E$12+1,1))</f>
        <v>510.71380643466227</v>
      </c>
      <c r="CE33" s="59">
        <f t="shared" si="40"/>
        <v>252.40654099948841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4.016578947368421</v>
      </c>
      <c r="CT33" s="12">
        <f>IF('Données projet'!$A$140&gt;35,CT32+CS33-DB32,IF(A33&lt;'Données projet'!$A$140,$CQ$205^A33,IF(A33='Données projet'!$A$140,'Données projet'!$B$140,CT32+CS33-DB32)))</f>
        <v>120.49736842105257</v>
      </c>
      <c r="CU33" s="17">
        <f>CT33*VLOOKUP('Données projet'!$B$13,Paramètres!$A$1:$I$89,3,0)*VLOOKUP('Données projet'!$B$13,Paramètres!$A$1:$I$89,5,0)</f>
        <v>129.703367368421</v>
      </c>
      <c r="CV33" s="13">
        <f t="shared" si="41"/>
        <v>33.927807130269002</v>
      </c>
      <c r="CW33" s="20">
        <f t="shared" si="13"/>
        <v>284.99096225188504</v>
      </c>
      <c r="CX33" s="59">
        <f t="shared" si="14"/>
        <v>578.32429558521835</v>
      </c>
      <c r="CY33" s="59">
        <f ca="1">AVERAGE(OFFSET($CX$3,0,0,'Données projet'!$E$13+1,1))-AVERAGE(OFFSET($H$3,0,0,'Données projet'!$E$13+1,1))</f>
        <v>502.65044103360322</v>
      </c>
      <c r="CZ33" s="59">
        <f t="shared" si="42"/>
        <v>321.65762891855167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-25.899999999999977</v>
      </c>
      <c r="DP33" s="17">
        <f>DO33*VLOOKUP('Données projet'!$B$14,Paramètres!$A$1:$I$89,3,0)*VLOOKUP('Données projet'!$B$14,Paramètres!$A$1:$I$89,5,0)</f>
        <v>-13.171703999999989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63.94726564348116</v>
      </c>
      <c r="DU33" s="59">
        <f t="shared" si="44"/>
        <v>280.8165028422905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51.021624630921345</v>
      </c>
      <c r="EB33" s="21">
        <f>EXP(-LN(2)/25)*EB32+(1-EXP(-LN(2)/25))/(LN(2)/25)*Calculateur!DW33*Calculateur!DY33*VLOOKUP('Données projet'!$B$14,Paramètres!$A$1:$I$89,3,0)*0.475*44/12</f>
        <v>6.4979757437508123</v>
      </c>
      <c r="EC33" s="21">
        <f>EXP(-LN(2)/2)*EC32+(1-EXP(-LN(2)/2))/(LN(2)/2)*DW33*DZ33*VLOOKUP('Données projet'!$B$14,Paramètres!$A$1:$I$89,3,0)*0.475*44/12</f>
        <v>9.7167609657572554E-2</v>
      </c>
      <c r="ED33" s="22">
        <f t="shared" si="18"/>
        <v>57.616767984329734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11.251428571428571</v>
      </c>
      <c r="N34" s="13">
        <f>IF('Données projet'!$A$36&gt;35,N33+M34-V33,IF(A34&lt;'Données projet'!$A$36,$K$205^A34,IF(A34='Données projet'!$A$36,'Données projet'!$B$36,N33+M34-V33)))</f>
        <v>141.0328571428571</v>
      </c>
      <c r="O34" s="13">
        <f>N34*VLOOKUP('Données projet'!$B$9,Paramètres!$A$1:$I$89,3,0)*VLOOKUP('Données projet'!$B$9,Paramètres!$A$1:$I$89,5,0)</f>
        <v>80.670794285714265</v>
      </c>
      <c r="P34" s="13">
        <f t="shared" si="33"/>
        <v>22.301117028761723</v>
      </c>
      <c r="Q34" s="20">
        <f t="shared" si="2"/>
        <v>179.34274553937902</v>
      </c>
      <c r="R34" s="59">
        <f t="shared" si="0"/>
        <v>472.67607887271231</v>
      </c>
      <c r="S34" s="59">
        <f ca="1">AVERAGE(OFFSET($R$3,0,0,'Données projet'!$E$9+1,1))-AVERAGE(OFFSET($H$3,0,0,'Données projet'!$E$9+1,1))</f>
        <v>294.9631697747962</v>
      </c>
      <c r="T34" s="59">
        <f t="shared" si="34"/>
        <v>202.04924881627716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6.2108248398931396</v>
      </c>
      <c r="AA34" s="21">
        <f>EXP(-LN(2)/25)*AA33+(1-EXP(-LN(2)/25))/(LN(2)/25)*Calculateur!V34*Calculateur!X34*VLOOKUP('Données projet'!$B$9,Paramètres!$A$1:$I$89,3,0)*0.475*44/12</f>
        <v>8.7275688481988141</v>
      </c>
      <c r="AB34" s="21">
        <f>EXP(-LN(2)/2)*AB33+(1-EXP(-LN(2)/2))/(LN(2)/2)*V34*Y34*VLOOKUP('Données projet'!$B$9,Paramètres!$A$1:$I$89,3,0)*0.475*44/12</f>
        <v>4.4194299633617149</v>
      </c>
      <c r="AC34" s="22">
        <f t="shared" si="3"/>
        <v>19.357823651453668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16.621666666666666</v>
      </c>
      <c r="AI34" s="13">
        <f>IF('Données projet'!$A$62&gt;35,AI33+AH34-AQ33,IF(A34&lt;'Données projet'!$A$62,$AF$205^A34,IF(A34='Données projet'!$A$62,'Données projet'!$B$62,AI33+AH34-AQ33)))</f>
        <v>184.40666666666669</v>
      </c>
      <c r="AJ34" s="13">
        <f>AI34*VLOOKUP('Données projet'!$B$10,Paramètres!$A$1:$I$89,3,0)*VLOOKUP('Données projet'!$B$10,Paramètres!$A$1:$I$89,5,0)</f>
        <v>110.27518666666668</v>
      </c>
      <c r="AK34" s="13">
        <f t="shared" si="35"/>
        <v>29.395811266319566</v>
      </c>
      <c r="AL34" s="20">
        <f t="shared" si="4"/>
        <v>243.26032139995104</v>
      </c>
      <c r="AM34" s="59">
        <f t="shared" si="5"/>
        <v>536.59365473328432</v>
      </c>
      <c r="AN34" s="59">
        <f ca="1">AVERAGE(OFFSET($AM$3,0,0,'Données projet'!$E$10+1,1))-AVERAGE(OFFSET($H$3,0,0,'Données projet'!$E$10+1,1))</f>
        <v>349.71285006949597</v>
      </c>
      <c r="AO34" s="59">
        <f t="shared" si="36"/>
        <v>258.51550516456842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7.0566324323130551</v>
      </c>
      <c r="AV34" s="21">
        <f>EXP(-LN(2)/25)*AV33+(1-EXP(-LN(2)/25))/(LN(2)/25)*Calculateur!AQ34*Calculateur!AS34*VLOOKUP('Données projet'!$B$10,Paramètres!$A$1:$I$89,3,0)*0.475*44/12</f>
        <v>9.860299965915253</v>
      </c>
      <c r="AW34" s="21">
        <f>EXP(-LN(2)/2)*AW33+(1-EXP(-LN(2)/2))/(LN(2)/2)*AQ34*AT34*VLOOKUP('Données projet'!$B$10,Paramètres!$A$1:$I$89,3,0)*0.475*44/12</f>
        <v>3.0380615596601785</v>
      </c>
      <c r="AX34" s="21">
        <f t="shared" si="6"/>
        <v>19.954993957888487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4.5856818181818184</v>
      </c>
      <c r="BD34" s="12">
        <f>IF('Données projet'!$A$88&gt;35,BD33+BC34-BL33,IF(A34&lt;'Données projet'!$A$88,$BA$205^A34,IF(A34='Données projet'!$A$88,'Données projet'!$B$88,BD33+BC34-BL33)))</f>
        <v>142.15613636363648</v>
      </c>
      <c r="BE34" s="13">
        <f>BD34*VLOOKUP('Données projet'!$B$11,Paramètres!$A$1:$I$89,3,0)*VLOOKUP('Données projet'!$B$11,Paramètres!$A$1:$I$89,5,0)</f>
        <v>128.62287218181828</v>
      </c>
      <c r="BF34" s="13">
        <f t="shared" si="37"/>
        <v>33.67794856106724</v>
      </c>
      <c r="BG34" s="20">
        <f t="shared" si="7"/>
        <v>282.67392946052559</v>
      </c>
      <c r="BH34" s="59">
        <f t="shared" si="8"/>
        <v>576.0072627938589</v>
      </c>
      <c r="BI34" s="59">
        <f ca="1">AVERAGE(OFFSET($BH$3,0,0,'Données projet'!$E$11+1,1))-AVERAGE(OFFSET($H$3,0,0,'Données projet'!$E$11+1,1))</f>
        <v>490.06222615476065</v>
      </c>
      <c r="BJ34" s="59">
        <f t="shared" si="38"/>
        <v>310.43914804089906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100.7535464</v>
      </c>
      <c r="CA34" s="13">
        <f t="shared" si="39"/>
        <v>27.141441074999669</v>
      </c>
      <c r="CB34" s="20">
        <f t="shared" si="10"/>
        <v>222.7504365189578</v>
      </c>
      <c r="CC34" s="59">
        <f t="shared" si="11"/>
        <v>516.08376985229108</v>
      </c>
      <c r="CD34" s="59">
        <f ca="1">AVERAGE(OFFSET($CC$3,0,0,'Données projet'!$E$12+1,1))-AVERAGE(OFFSET($H$3,0,0,'Données projet'!$E$12+1,1))</f>
        <v>510.71380643466227</v>
      </c>
      <c r="CE34" s="59">
        <f t="shared" si="40"/>
        <v>252.40654099948841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4.016578947368421</v>
      </c>
      <c r="CT34" s="12">
        <f>IF('Données projet'!$A$140&gt;35,CT33+CS34-DB33,IF(A34&lt;'Données projet'!$A$140,$CQ$205^A34,IF(A34='Données projet'!$A$140,'Données projet'!$B$140,CT33+CS34-DB33)))</f>
        <v>124.51394736842099</v>
      </c>
      <c r="CU34" s="17">
        <f>CT34*VLOOKUP('Données projet'!$B$13,Paramètres!$A$1:$I$89,3,0)*VLOOKUP('Données projet'!$B$13,Paramètres!$A$1:$I$89,5,0)</f>
        <v>134.02681294736834</v>
      </c>
      <c r="CV34" s="13">
        <f t="shared" si="41"/>
        <v>34.925179158103305</v>
      </c>
      <c r="CW34" s="20">
        <f t="shared" si="13"/>
        <v>294.25805291702977</v>
      </c>
      <c r="CX34" s="59">
        <f t="shared" si="14"/>
        <v>587.59138625036303</v>
      </c>
      <c r="CY34" s="59">
        <f ca="1">AVERAGE(OFFSET($CX$3,0,0,'Données projet'!$E$13+1,1))-AVERAGE(OFFSET($H$3,0,0,'Données projet'!$E$13+1,1))</f>
        <v>502.65044103360322</v>
      </c>
      <c r="CZ34" s="59">
        <f t="shared" si="42"/>
        <v>321.65762891855167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-25.899999999999977</v>
      </c>
      <c r="DP34" s="17">
        <f>DO34*VLOOKUP('Données projet'!$B$14,Paramètres!$A$1:$I$89,3,0)*VLOOKUP('Données projet'!$B$14,Paramètres!$A$1:$I$89,5,0)</f>
        <v>-13.171703999999989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63.94726564348116</v>
      </c>
      <c r="DU34" s="59">
        <f t="shared" si="44"/>
        <v>280.8165028422905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50.021121692027144</v>
      </c>
      <c r="EB34" s="21">
        <f>EXP(-LN(2)/25)*EB33+(1-EXP(-LN(2)/25))/(LN(2)/25)*Calculateur!DW34*Calculateur!DY34*VLOOKUP('Données projet'!$B$14,Paramètres!$A$1:$I$89,3,0)*0.475*44/12</f>
        <v>6.320288255324253</v>
      </c>
      <c r="EC34" s="21">
        <f>EXP(-LN(2)/2)*EC33+(1-EXP(-LN(2)/2))/(LN(2)/2)*DW34*DZ34*VLOOKUP('Données projet'!$B$14,Paramètres!$A$1:$I$89,3,0)*0.475*44/12</f>
        <v>6.8707875700557017E-2</v>
      </c>
      <c r="ED34" s="22">
        <f t="shared" si="18"/>
        <v>56.410117823051948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11.251428571428571</v>
      </c>
      <c r="N35" s="13">
        <f>IF('Données projet'!$A$36&gt;35,N34+M35-V34,IF(A35&lt;'Données projet'!$A$36,$K$205^A35,IF(A35='Données projet'!$A$36,'Données projet'!$B$36,N34+M35-V34)))</f>
        <v>152.28428571428566</v>
      </c>
      <c r="O35" s="13">
        <f>N35*VLOOKUP('Données projet'!$B$9,Paramètres!$A$1:$I$89,3,0)*VLOOKUP('Données projet'!$B$9,Paramètres!$A$1:$I$89,5,0)</f>
        <v>87.106611428571398</v>
      </c>
      <c r="P35" s="13">
        <f t="shared" si="33"/>
        <v>23.866087798117839</v>
      </c>
      <c r="Q35" s="20">
        <f t="shared" ref="Q35:Q66" si="53">(O35+P35)*0.475*44/12</f>
        <v>193.27745115315039</v>
      </c>
      <c r="R35" s="59">
        <f t="shared" si="0"/>
        <v>486.61078448648368</v>
      </c>
      <c r="S35" s="59">
        <f ca="1">AVERAGE(OFFSET($R$3,0,0,'Données projet'!$E$9+1,1))-AVERAGE(OFFSET($H$3,0,0,'Données projet'!$E$9+1,1))</f>
        <v>294.9631697747962</v>
      </c>
      <c r="T35" s="59">
        <f t="shared" si="34"/>
        <v>202.04924881627716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6.0890343530119306</v>
      </c>
      <c r="AA35" s="21">
        <f>EXP(-LN(2)/25)*AA34+(1-EXP(-LN(2)/25))/(LN(2)/25)*Calculateur!V35*Calculateur!X35*VLOOKUP('Données projet'!$B$9,Paramètres!$A$1:$I$89,3,0)*0.475*44/12</f>
        <v>8.4889130190819184</v>
      </c>
      <c r="AB35" s="21">
        <f>EXP(-LN(2)/2)*AB34+(1-EXP(-LN(2)/2))/(LN(2)/2)*V35*Y35*VLOOKUP('Données projet'!$B$9,Paramètres!$A$1:$I$89,3,0)*0.475*44/12</f>
        <v>3.1250088960720839</v>
      </c>
      <c r="AC35" s="22">
        <f t="shared" si="3"/>
        <v>17.702956268165934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16.621666666666666</v>
      </c>
      <c r="AI35" s="13">
        <f>IF('Données projet'!$A$62&gt;35,AI34+AH35-AQ34,IF(A35&lt;'Données projet'!$A$62,$AF$205^A35,IF(A35='Données projet'!$A$62,'Données projet'!$B$62,AI34+AH35-AQ34)))</f>
        <v>201.02833333333336</v>
      </c>
      <c r="AJ35" s="13">
        <f>AI35*VLOOKUP('Données projet'!$B$10,Paramètres!$A$1:$I$89,3,0)*VLOOKUP('Données projet'!$B$10,Paramètres!$A$1:$I$89,5,0)</f>
        <v>120.21494333333335</v>
      </c>
      <c r="AK35" s="13">
        <f t="shared" si="35"/>
        <v>31.725126074196275</v>
      </c>
      <c r="AL35" s="20">
        <f t="shared" si="4"/>
        <v>264.62895421811407</v>
      </c>
      <c r="AM35" s="59">
        <f t="shared" si="5"/>
        <v>557.96228755144739</v>
      </c>
      <c r="AN35" s="59">
        <f ca="1">AVERAGE(OFFSET($AM$3,0,0,'Données projet'!$E$10+1,1))-AVERAGE(OFFSET($H$3,0,0,'Données projet'!$E$10+1,1))</f>
        <v>349.71285006949597</v>
      </c>
      <c r="AO35" s="59">
        <f t="shared" si="36"/>
        <v>258.51550516456842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6.9182561744361832</v>
      </c>
      <c r="AV35" s="21">
        <f>EXP(-LN(2)/25)*AV34+(1-EXP(-LN(2)/25))/(LN(2)/25)*Calculateur!AQ35*Calculateur!AS35*VLOOKUP('Données projet'!$B$10,Paramètres!$A$1:$I$89,3,0)*0.475*44/12</f>
        <v>9.5906695448166612</v>
      </c>
      <c r="AW35" s="21">
        <f>EXP(-LN(2)/2)*AW34+(1-EXP(-LN(2)/2))/(LN(2)/2)*AQ35*AT35*VLOOKUP('Données projet'!$B$10,Paramètres!$A$1:$I$89,3,0)*0.475*44/12</f>
        <v>2.1482339304978915</v>
      </c>
      <c r="AX35" s="21">
        <f t="shared" si="6"/>
        <v>18.657159649750735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4.5856818181818184</v>
      </c>
      <c r="BD35" s="12">
        <f>IF('Données projet'!$A$88&gt;35,BD34+BC35-BL34,IF(A35&lt;'Données projet'!$A$88,$BA$205^A35,IF(A35='Données projet'!$A$88,'Données projet'!$B$88,BD34+BC35-BL34)))</f>
        <v>146.7418181818183</v>
      </c>
      <c r="BE35" s="13">
        <f>BD35*VLOOKUP('Données projet'!$B$11,Paramètres!$A$1:$I$89,3,0)*VLOOKUP('Données projet'!$B$11,Paramètres!$A$1:$I$89,5,0)</f>
        <v>132.7719970909092</v>
      </c>
      <c r="BF35" s="13">
        <f t="shared" si="37"/>
        <v>34.636097814184424</v>
      </c>
      <c r="BG35" s="20">
        <f t="shared" si="7"/>
        <v>291.56909862637139</v>
      </c>
      <c r="BH35" s="59">
        <f t="shared" si="8"/>
        <v>584.9024319597047</v>
      </c>
      <c r="BI35" s="59">
        <f ca="1">AVERAGE(OFFSET($BH$3,0,0,'Données projet'!$E$11+1,1))-AVERAGE(OFFSET($H$3,0,0,'Données projet'!$E$11+1,1))</f>
        <v>490.06222615476065</v>
      </c>
      <c r="BJ35" s="59">
        <f t="shared" si="38"/>
        <v>310.43914804089906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104.00366079999999</v>
      </c>
      <c r="CA35" s="13">
        <f t="shared" si="39"/>
        <v>27.913624435496846</v>
      </c>
      <c r="CB35" s="20">
        <f t="shared" si="10"/>
        <v>229.75593845182368</v>
      </c>
      <c r="CC35" s="59">
        <f t="shared" si="11"/>
        <v>523.08927178515705</v>
      </c>
      <c r="CD35" s="59">
        <f ca="1">AVERAGE(OFFSET($CC$3,0,0,'Données projet'!$E$12+1,1))-AVERAGE(OFFSET($H$3,0,0,'Données projet'!$E$12+1,1))</f>
        <v>510.71380643466227</v>
      </c>
      <c r="CE35" s="59">
        <f t="shared" si="40"/>
        <v>252.40654099948841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4.016578947368421</v>
      </c>
      <c r="CT35" s="12">
        <f>IF('Données projet'!$A$140&gt;35,CT34+CS35-DB34,IF(A35&lt;'Données projet'!$A$140,$CQ$205^A35,IF(A35='Données projet'!$A$140,'Données projet'!$B$140,CT34+CS35-DB34)))</f>
        <v>128.53052631578942</v>
      </c>
      <c r="CU35" s="17">
        <f>CT35*VLOOKUP('Données projet'!$B$13,Paramètres!$A$1:$I$89,3,0)*VLOOKUP('Données projet'!$B$13,Paramètres!$A$1:$I$89,5,0)</f>
        <v>138.35025852631571</v>
      </c>
      <c r="CV35" s="13">
        <f t="shared" si="41"/>
        <v>35.918812551914193</v>
      </c>
      <c r="CW35" s="20">
        <f t="shared" si="13"/>
        <v>303.51863212791704</v>
      </c>
      <c r="CX35" s="59">
        <f t="shared" si="14"/>
        <v>596.8519654612503</v>
      </c>
      <c r="CY35" s="59">
        <f ca="1">AVERAGE(OFFSET($CX$3,0,0,'Données projet'!$E$13+1,1))-AVERAGE(OFFSET($H$3,0,0,'Données projet'!$E$13+1,1))</f>
        <v>502.65044103360322</v>
      </c>
      <c r="CZ35" s="59">
        <f t="shared" si="42"/>
        <v>321.65762891855167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-25.899999999999977</v>
      </c>
      <c r="DP35" s="17">
        <f>DO35*VLOOKUP('Données projet'!$B$14,Paramètres!$A$1:$I$89,3,0)*VLOOKUP('Données projet'!$B$14,Paramètres!$A$1:$I$89,5,0)</f>
        <v>-13.171703999999989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63.94726564348116</v>
      </c>
      <c r="DU35" s="59">
        <f t="shared" si="44"/>
        <v>280.8165028422905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49.040238005518127</v>
      </c>
      <c r="EB35" s="21">
        <f>EXP(-LN(2)/25)*EB34+(1-EXP(-LN(2)/25))/(LN(2)/25)*Calculateur!DW35*Calculateur!DY35*VLOOKUP('Données projet'!$B$14,Paramètres!$A$1:$I$89,3,0)*0.475*44/12</f>
        <v>6.1474596406128974</v>
      </c>
      <c r="EC35" s="21">
        <f>EXP(-LN(2)/2)*EC34+(1-EXP(-LN(2)/2))/(LN(2)/2)*DW35*DZ35*VLOOKUP('Données projet'!$B$14,Paramètres!$A$1:$I$89,3,0)*0.475*44/12</f>
        <v>4.8583804828786277E-2</v>
      </c>
      <c r="ED35" s="22">
        <f t="shared" si="18"/>
        <v>55.236281450959815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11.251428571428571</v>
      </c>
      <c r="N36" s="13">
        <f>IF('Données projet'!$A$36&gt;35,N35+M36-V35,IF(A36&lt;'Données projet'!$A$36,$K$205^A36,IF(A36='Données projet'!$A$36,'Données projet'!$B$36,N35+M36-V35)))</f>
        <v>163.53571428571422</v>
      </c>
      <c r="O36" s="13">
        <f>N36*VLOOKUP('Données projet'!$B$9,Paramètres!$A$1:$I$89,3,0)*VLOOKUP('Données projet'!$B$9,Paramètres!$A$1:$I$89,5,0)</f>
        <v>93.54242857142853</v>
      </c>
      <c r="P36" s="13">
        <f t="shared" si="33"/>
        <v>25.417644431297298</v>
      </c>
      <c r="Q36" s="20">
        <f t="shared" si="53"/>
        <v>207.18879381308082</v>
      </c>
      <c r="R36" s="59">
        <f t="shared" si="0"/>
        <v>500.52212714641416</v>
      </c>
      <c r="S36" s="59">
        <f ca="1">AVERAGE(OFFSET($R$3,0,0,'Données projet'!$E$9+1,1))-AVERAGE(OFFSET($H$3,0,0,'Données projet'!$E$9+1,1))</f>
        <v>294.9631697747962</v>
      </c>
      <c r="T36" s="59">
        <f t="shared" si="34"/>
        <v>202.04924881627716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5.9696321032936002</v>
      </c>
      <c r="AA36" s="21">
        <f>EXP(-LN(2)/25)*AA35+(1-EXP(-LN(2)/25))/(LN(2)/25)*Calculateur!V36*Calculateur!X36*VLOOKUP('Données projet'!$B$9,Paramètres!$A$1:$I$89,3,0)*0.475*44/12</f>
        <v>8.2567832461625894</v>
      </c>
      <c r="AB36" s="21">
        <f>EXP(-LN(2)/2)*AB35+(1-EXP(-LN(2)/2))/(LN(2)/2)*V36*Y36*VLOOKUP('Données projet'!$B$9,Paramètres!$A$1:$I$89,3,0)*0.475*44/12</f>
        <v>2.2097149816808574</v>
      </c>
      <c r="AC36" s="22">
        <f t="shared" si="3"/>
        <v>16.436130331137047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217.65</v>
      </c>
      <c r="AG36" s="12">
        <f>VLOOKUP(A36,'Données projet'!$A$61:$I$81,9,0)</f>
        <v>16.621666666666666</v>
      </c>
      <c r="AH36" s="12">
        <f t="array" ref="AH36">INDEX(AG:AG,MIN(IF(ISNUMBER(AG36:AG232),ROW(AG36:AG232),"")))</f>
        <v>16.621666666666666</v>
      </c>
      <c r="AI36" s="13">
        <f>IF('Données projet'!$A$62&gt;35,AI35+AH36-AQ35,IF(A36&lt;'Données projet'!$A$62,$AF$205^A36,IF(A36='Données projet'!$A$62,'Données projet'!$B$62,AI35+AH36-AQ35)))</f>
        <v>217.65000000000003</v>
      </c>
      <c r="AJ36" s="13">
        <f>AI36*VLOOKUP('Données projet'!$B$10,Paramètres!$A$1:$I$89,3,0)*VLOOKUP('Données projet'!$B$10,Paramètres!$A$1:$I$89,5,0)</f>
        <v>130.15470000000002</v>
      </c>
      <c r="AK36" s="13">
        <f t="shared" si="35"/>
        <v>34.032103485601695</v>
      </c>
      <c r="AL36" s="20">
        <f t="shared" si="4"/>
        <v>285.95868273742298</v>
      </c>
      <c r="AM36" s="59">
        <f t="shared" si="5"/>
        <v>579.29201607075629</v>
      </c>
      <c r="AN36" s="59">
        <f ca="1">AVERAGE(OFFSET($AM$3,0,0,'Données projet'!$E$10+1,1))-AVERAGE(OFFSET($H$3,0,0,'Données projet'!$E$10+1,1))</f>
        <v>349.71285006949597</v>
      </c>
      <c r="AO36" s="59">
        <f t="shared" si="36"/>
        <v>258.51550516456842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50.460000000000008</v>
      </c>
      <c r="AR36" s="16">
        <f>IF(ISNA(VLOOKUP(A36,'Données projet'!$A$61:$I$81,5,0)),0%,VLOOKUP(A36,'Données projet'!$A$61:$I$81,5,0)*VLOOKUP('Données projet'!$B$10,Paramètres!$A$1:$I$89,7,0))</f>
        <v>0.1125</v>
      </c>
      <c r="AS36" s="16">
        <f>IF(ISNA(VLOOKUP(A36,'Données projet'!$A$61:$I$81,6,0)),0%,VLOOKUP(A36,'Données projet'!$A$61:$I$81,6,0)*VLOOKUP('Données projet'!$B$10,Paramètres!$A$1:$I$89,7,0))</f>
        <v>0.16650000000000001</v>
      </c>
      <c r="AT36" s="16">
        <f>IF(ISNA(VLOOKUP(A36,'Données projet'!$A$61:$I$81,7,0)),0%,VLOOKUP(A36,'Données projet'!$A$61:$I$81,7,0))</f>
        <v>0.38</v>
      </c>
      <c r="AU36" s="21">
        <f>EXP(-LN(2)/35)*AU35+(1-EXP(-LN(2)/35))/(LN(2)/35)*AQ36*AR36*VLOOKUP('Données projet'!$B$10,Paramètres!$A$1:$I$89,3,0)*0.475*44/12</f>
        <v>11.285877104480107</v>
      </c>
      <c r="AV36" s="21">
        <f>EXP(-LN(2)/25)*AV35+(1-EXP(-LN(2)/25))/(LN(2)/25)*Calculateur!AQ36*Calculateur!AS36*VLOOKUP('Données projet'!$B$10,Paramètres!$A$1:$I$89,3,0)*0.475*44/12</f>
        <v>15.967029985418133</v>
      </c>
      <c r="AW36" s="21">
        <f>EXP(-LN(2)/2)*AW35+(1-EXP(-LN(2)/2))/(LN(2)/2)*AQ36*AT36*VLOOKUP('Données projet'!$B$10,Paramètres!$A$1:$I$89,3,0)*0.475*44/12</f>
        <v>14.501806839279157</v>
      </c>
      <c r="AX36" s="21">
        <f t="shared" si="6"/>
        <v>41.754713929177399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4.5856818181818184</v>
      </c>
      <c r="BD36" s="12">
        <f>IF('Données projet'!$A$88&gt;35,BD35+BC36-BL35,IF(A36&lt;'Données projet'!$A$88,$BA$205^A36,IF(A36='Données projet'!$A$88,'Données projet'!$B$88,BD35+BC36-BL35)))</f>
        <v>151.32750000000013</v>
      </c>
      <c r="BE36" s="13">
        <f>BD36*VLOOKUP('Données projet'!$B$11,Paramètres!$A$1:$I$89,3,0)*VLOOKUP('Données projet'!$B$11,Paramètres!$A$1:$I$89,5,0)</f>
        <v>136.92112200000011</v>
      </c>
      <c r="BF36" s="13">
        <f t="shared" si="37"/>
        <v>35.5907675322022</v>
      </c>
      <c r="BG36" s="20">
        <f t="shared" si="7"/>
        <v>300.45820760191901</v>
      </c>
      <c r="BH36" s="59">
        <f t="shared" si="8"/>
        <v>593.79154093525233</v>
      </c>
      <c r="BI36" s="59">
        <f ca="1">AVERAGE(OFFSET($BH$3,0,0,'Données projet'!$E$11+1,1))-AVERAGE(OFFSET($H$3,0,0,'Données projet'!$E$11+1,1))</f>
        <v>490.06222615476065</v>
      </c>
      <c r="BJ36" s="59">
        <f t="shared" si="38"/>
        <v>310.43914804089906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107.25377520000001</v>
      </c>
      <c r="CA36" s="13">
        <f t="shared" si="39"/>
        <v>28.683003599155882</v>
      </c>
      <c r="CB36" s="20">
        <f t="shared" si="10"/>
        <v>236.75655640852983</v>
      </c>
      <c r="CC36" s="59">
        <f t="shared" si="11"/>
        <v>530.08988974186309</v>
      </c>
      <c r="CD36" s="59">
        <f ca="1">AVERAGE(OFFSET($CC$3,0,0,'Données projet'!$E$12+1,1))-AVERAGE(OFFSET($H$3,0,0,'Données projet'!$E$12+1,1))</f>
        <v>510.71380643466227</v>
      </c>
      <c r="CE36" s="59">
        <f t="shared" si="40"/>
        <v>252.40654099948841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4.016578947368421</v>
      </c>
      <c r="CT36" s="12">
        <f>IF('Données projet'!$A$140&gt;35,CT35+CS36-DB35,IF(A36&lt;'Données projet'!$A$140,$CQ$205^A36,IF(A36='Données projet'!$A$140,'Données projet'!$B$140,CT35+CS36-DB35)))</f>
        <v>132.54710526315785</v>
      </c>
      <c r="CU36" s="17">
        <f>CT36*VLOOKUP('Données projet'!$B$13,Paramètres!$A$1:$I$89,3,0)*VLOOKUP('Données projet'!$B$13,Paramètres!$A$1:$I$89,5,0)</f>
        <v>142.67370410526308</v>
      </c>
      <c r="CV36" s="13">
        <f t="shared" si="41"/>
        <v>36.908837549372954</v>
      </c>
      <c r="CW36" s="20">
        <f t="shared" si="13"/>
        <v>312.77292671515772</v>
      </c>
      <c r="CX36" s="59">
        <f t="shared" si="14"/>
        <v>606.10626004849109</v>
      </c>
      <c r="CY36" s="59">
        <f ca="1">AVERAGE(OFFSET($CX$3,0,0,'Données projet'!$E$13+1,1))-AVERAGE(OFFSET($H$3,0,0,'Données projet'!$E$13+1,1))</f>
        <v>502.65044103360322</v>
      </c>
      <c r="CZ36" s="59">
        <f t="shared" si="42"/>
        <v>321.65762891855167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-25.899999999999977</v>
      </c>
      <c r="DP36" s="17">
        <f>DO36*VLOOKUP('Données projet'!$B$14,Paramètres!$A$1:$I$89,3,0)*VLOOKUP('Données projet'!$B$14,Paramètres!$A$1:$I$89,5,0)</f>
        <v>-13.171703999999989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63.94726564348116</v>
      </c>
      <c r="DU36" s="59">
        <f t="shared" si="44"/>
        <v>280.8165028422905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48.078588849821578</v>
      </c>
      <c r="EB36" s="21">
        <f>EXP(-LN(2)/25)*EB35+(1-EXP(-LN(2)/25))/(LN(2)/25)*Calculateur!DW36*Calculateur!DY36*VLOOKUP('Données projet'!$B$14,Paramètres!$A$1:$I$89,3,0)*0.475*44/12</f>
        <v>5.9793570334594852</v>
      </c>
      <c r="EC36" s="21">
        <f>EXP(-LN(2)/2)*EC35+(1-EXP(-LN(2)/2))/(LN(2)/2)*DW36*DZ36*VLOOKUP('Données projet'!$B$14,Paramètres!$A$1:$I$89,3,0)*0.475*44/12</f>
        <v>3.4353937850278508E-2</v>
      </c>
      <c r="ED36" s="22">
        <f t="shared" si="18"/>
        <v>54.092299821131341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11.251428571428571</v>
      </c>
      <c r="N37" s="13">
        <f>IF('Données projet'!$A$36&gt;35,N36+M37-V36,IF(A37&lt;'Données projet'!$A$36,$K$205^A37,IF(A37='Données projet'!$A$36,'Données projet'!$B$36,N36+M37-V36)))</f>
        <v>174.78714285714278</v>
      </c>
      <c r="O37" s="13">
        <f>N37*VLOOKUP('Données projet'!$B$9,Paramètres!$A$1:$I$89,3,0)*VLOOKUP('Données projet'!$B$9,Paramètres!$A$1:$I$89,5,0)</f>
        <v>99.978245714285691</v>
      </c>
      <c r="P37" s="13">
        <f t="shared" si="33"/>
        <v>26.956814824140899</v>
      </c>
      <c r="Q37" s="20">
        <f t="shared" si="53"/>
        <v>221.07856377109297</v>
      </c>
      <c r="R37" s="59">
        <f t="shared" si="0"/>
        <v>514.41189710442632</v>
      </c>
      <c r="S37" s="59">
        <f ca="1">AVERAGE(OFFSET($R$3,0,0,'Données projet'!$E$9+1,1))-AVERAGE(OFFSET($H$3,0,0,'Données projet'!$E$9+1,1))</f>
        <v>294.9631697747962</v>
      </c>
      <c r="T37" s="59">
        <f t="shared" si="34"/>
        <v>202.04924881627716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5.8525712588640655</v>
      </c>
      <c r="AA37" s="21">
        <f>EXP(-LN(2)/25)*AA36+(1-EXP(-LN(2)/25))/(LN(2)/25)*Calculateur!V37*Calculateur!X37*VLOOKUP('Données projet'!$B$9,Paramètres!$A$1:$I$89,3,0)*0.475*44/12</f>
        <v>8.0310010740909128</v>
      </c>
      <c r="AB37" s="21">
        <f>EXP(-LN(2)/2)*AB36+(1-EXP(-LN(2)/2))/(LN(2)/2)*V37*Y37*VLOOKUP('Données projet'!$B$9,Paramètres!$A$1:$I$89,3,0)*0.475*44/12</f>
        <v>1.5625044480360419</v>
      </c>
      <c r="AC37" s="22">
        <f t="shared" si="3"/>
        <v>15.446076780991021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16.693750000000001</v>
      </c>
      <c r="AI37" s="13">
        <f>IF('Données projet'!$A$62&gt;35,AI36+AH37-AQ36,IF(A37&lt;'Données projet'!$A$62,$AF$205^A37,IF(A37='Données projet'!$A$62,'Données projet'!$B$62,AI36+AH37-AQ36)))</f>
        <v>183.88375000000002</v>
      </c>
      <c r="AJ37" s="13">
        <f>AI37*VLOOKUP('Données projet'!$B$10,Paramètres!$A$1:$I$89,3,0)*VLOOKUP('Données projet'!$B$10,Paramètres!$A$1:$I$89,5,0)</f>
        <v>109.96248250000002</v>
      </c>
      <c r="AK37" s="13">
        <f t="shared" si="35"/>
        <v>29.322144981447174</v>
      </c>
      <c r="AL37" s="20">
        <f t="shared" si="4"/>
        <v>242.58739286352048</v>
      </c>
      <c r="AM37" s="59">
        <f t="shared" si="5"/>
        <v>535.92072619685382</v>
      </c>
      <c r="AN37" s="59">
        <f ca="1">AVERAGE(OFFSET($AM$3,0,0,'Données projet'!$E$10+1,1))-AVERAGE(OFFSET($H$3,0,0,'Données projet'!$E$10+1,1))</f>
        <v>349.71285006949597</v>
      </c>
      <c r="AO37" s="59">
        <f t="shared" si="36"/>
        <v>258.51550516456842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11.064567938166578</v>
      </c>
      <c r="AV37" s="21">
        <f>EXP(-LN(2)/25)*AV36+(1-EXP(-LN(2)/25))/(LN(2)/25)*Calculateur!AQ37*Calculateur!AS37*VLOOKUP('Données projet'!$B$10,Paramètres!$A$1:$I$89,3,0)*0.475*44/12</f>
        <v>15.530410710797261</v>
      </c>
      <c r="AW37" s="21">
        <f>EXP(-LN(2)/2)*AW36+(1-EXP(-LN(2)/2))/(LN(2)/2)*AQ37*AT37*VLOOKUP('Données projet'!$B$10,Paramètres!$A$1:$I$89,3,0)*0.475*44/12</f>
        <v>10.254325955511746</v>
      </c>
      <c r="AX37" s="21">
        <f t="shared" si="6"/>
        <v>36.849304604475584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4.5856818181818184</v>
      </c>
      <c r="BD37" s="12">
        <f>IF('Données projet'!$A$88&gt;35,BD36+BC37-BL36,IF(A37&lt;'Données projet'!$A$88,$BA$205^A37,IF(A37='Données projet'!$A$88,'Données projet'!$B$88,BD36+BC37-BL36)))</f>
        <v>155.91318181818195</v>
      </c>
      <c r="BE37" s="13">
        <f>BD37*VLOOKUP('Données projet'!$B$11,Paramètres!$A$1:$I$89,3,0)*VLOOKUP('Données projet'!$B$11,Paramètres!$A$1:$I$89,5,0)</f>
        <v>141.07024690909103</v>
      </c>
      <c r="BF37" s="13">
        <f t="shared" si="37"/>
        <v>36.542075257972613</v>
      </c>
      <c r="BG37" s="20">
        <f t="shared" si="7"/>
        <v>309.34146110763578</v>
      </c>
      <c r="BH37" s="59">
        <f t="shared" si="8"/>
        <v>602.67479444096909</v>
      </c>
      <c r="BI37" s="59">
        <f ca="1">AVERAGE(OFFSET($BH$3,0,0,'Données projet'!$E$11+1,1))-AVERAGE(OFFSET($H$3,0,0,'Données projet'!$E$11+1,1))</f>
        <v>490.06222615476065</v>
      </c>
      <c r="BJ37" s="59">
        <f t="shared" si="38"/>
        <v>310.43914804089906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110.50388959999999</v>
      </c>
      <c r="CA37" s="13">
        <f t="shared" si="39"/>
        <v>29.449673295095682</v>
      </c>
      <c r="CB37" s="20">
        <f t="shared" si="10"/>
        <v>243.75245537562498</v>
      </c>
      <c r="CC37" s="59">
        <f t="shared" si="11"/>
        <v>537.08578870895826</v>
      </c>
      <c r="CD37" s="59">
        <f ca="1">AVERAGE(OFFSET($CC$3,0,0,'Données projet'!$E$12+1,1))-AVERAGE(OFFSET($H$3,0,0,'Données projet'!$E$12+1,1))</f>
        <v>510.71380643466227</v>
      </c>
      <c r="CE37" s="59">
        <f t="shared" si="40"/>
        <v>252.40654099948841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4.016578947368421</v>
      </c>
      <c r="CT37" s="12">
        <f>IF('Données projet'!$A$140&gt;35,CT36+CS37-DB36,IF(A37&lt;'Données projet'!$A$140,$CQ$205^A37,IF(A37='Données projet'!$A$140,'Données projet'!$B$140,CT36+CS37-DB36)))</f>
        <v>136.56368421052628</v>
      </c>
      <c r="CU37" s="17">
        <f>CT37*VLOOKUP('Données projet'!$B$13,Paramètres!$A$1:$I$89,3,0)*VLOOKUP('Données projet'!$B$13,Paramètres!$A$1:$I$89,5,0)</f>
        <v>146.99714968421048</v>
      </c>
      <c r="CV37" s="13">
        <f t="shared" si="41"/>
        <v>37.895376046418704</v>
      </c>
      <c r="CW37" s="20">
        <f t="shared" si="13"/>
        <v>322.02114898084585</v>
      </c>
      <c r="CX37" s="59">
        <f t="shared" si="14"/>
        <v>615.35448231417922</v>
      </c>
      <c r="CY37" s="59">
        <f ca="1">AVERAGE(OFFSET($CX$3,0,0,'Données projet'!$E$13+1,1))-AVERAGE(OFFSET($H$3,0,0,'Données projet'!$E$13+1,1))</f>
        <v>502.65044103360322</v>
      </c>
      <c r="CZ37" s="59">
        <f t="shared" si="42"/>
        <v>321.65762891855167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-25.899999999999977</v>
      </c>
      <c r="DP37" s="17">
        <f>DO37*VLOOKUP('Données projet'!$B$14,Paramètres!$A$1:$I$89,3,0)*VLOOKUP('Données projet'!$B$14,Paramètres!$A$1:$I$89,5,0)</f>
        <v>-13.171703999999989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63.94726564348116</v>
      </c>
      <c r="DU37" s="59">
        <f t="shared" si="44"/>
        <v>280.8165028422905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47.135797047520171</v>
      </c>
      <c r="EB37" s="21">
        <f>EXP(-LN(2)/25)*EB36+(1-EXP(-LN(2)/25))/(LN(2)/25)*Calculateur!DW37*Calculateur!DY37*VLOOKUP('Données projet'!$B$14,Paramètres!$A$1:$I$89,3,0)*0.475*44/12</f>
        <v>5.8158512009388152</v>
      </c>
      <c r="EC37" s="21">
        <f>EXP(-LN(2)/2)*EC36+(1-EXP(-LN(2)/2))/(LN(2)/2)*DW37*DZ37*VLOOKUP('Données projet'!$B$14,Paramètres!$A$1:$I$89,3,0)*0.475*44/12</f>
        <v>2.4291902414393138E-2</v>
      </c>
      <c r="ED37" s="22">
        <f t="shared" si="18"/>
        <v>52.975940150873377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11.251428571428571</v>
      </c>
      <c r="N38" s="13">
        <f>IF('Données projet'!$A$36&gt;35,N37+M38-V37,IF(A38&lt;'Données projet'!$A$36,$K$205^A38,IF(A38='Données projet'!$A$36,'Données projet'!$B$36,N37+M38-V37)))</f>
        <v>186.03857142857134</v>
      </c>
      <c r="O38" s="13">
        <f>N38*VLOOKUP('Données projet'!$B$9,Paramètres!$A$1:$I$89,3,0)*VLOOKUP('Données projet'!$B$9,Paramètres!$A$1:$I$89,5,0)</f>
        <v>106.41406285714282</v>
      </c>
      <c r="P38" s="13">
        <f t="shared" si="33"/>
        <v>28.48448705419711</v>
      </c>
      <c r="Q38" s="20">
        <f t="shared" si="53"/>
        <v>234.94830776225035</v>
      </c>
      <c r="R38" s="59">
        <f t="shared" si="0"/>
        <v>528.28164109558361</v>
      </c>
      <c r="S38" s="59">
        <f ca="1">AVERAGE(OFFSET($R$3,0,0,'Données projet'!$E$9+1,1))-AVERAGE(OFFSET($H$3,0,0,'Données projet'!$E$9+1,1))</f>
        <v>294.9631697747962</v>
      </c>
      <c r="T38" s="59">
        <f t="shared" si="34"/>
        <v>202.04924881627716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5.7378059061937288</v>
      </c>
      <c r="AA38" s="21">
        <f>EXP(-LN(2)/25)*AA37+(1-EXP(-LN(2)/25))/(LN(2)/25)*Calculateur!V38*Calculateur!X38*VLOOKUP('Données projet'!$B$9,Paramètres!$A$1:$I$89,3,0)*0.475*44/12</f>
        <v>7.8113929273879057</v>
      </c>
      <c r="AB38" s="21">
        <f>EXP(-LN(2)/2)*AB37+(1-EXP(-LN(2)/2))/(LN(2)/2)*V38*Y38*VLOOKUP('Données projet'!$B$9,Paramètres!$A$1:$I$89,3,0)*0.475*44/12</f>
        <v>1.1048574908404287</v>
      </c>
      <c r="AC38" s="22">
        <f t="shared" si="3"/>
        <v>14.654056324422063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16.693750000000001</v>
      </c>
      <c r="AI38" s="13">
        <f>IF('Données projet'!$A$62&gt;35,AI37+AH38-AQ37,IF(A38&lt;'Données projet'!$A$62,$AF$205^A38,IF(A38='Données projet'!$A$62,'Données projet'!$B$62,AI37+AH38-AQ37)))</f>
        <v>200.57750000000001</v>
      </c>
      <c r="AJ38" s="13">
        <f>AI38*VLOOKUP('Données projet'!$B$10,Paramètres!$A$1:$I$89,3,0)*VLOOKUP('Données projet'!$B$10,Paramètres!$A$1:$I$89,5,0)</f>
        <v>119.94534500000002</v>
      </c>
      <c r="AK38" s="13">
        <f t="shared" si="35"/>
        <v>31.662251574949313</v>
      </c>
      <c r="AL38" s="20">
        <f t="shared" si="4"/>
        <v>264.04989736803674</v>
      </c>
      <c r="AM38" s="59">
        <f t="shared" si="5"/>
        <v>557.38323070137005</v>
      </c>
      <c r="AN38" s="59">
        <f ca="1">AVERAGE(OFFSET($AM$3,0,0,'Données projet'!$E$10+1,1))-AVERAGE(OFFSET($H$3,0,0,'Données projet'!$E$10+1,1))</f>
        <v>349.71285006949597</v>
      </c>
      <c r="AO38" s="59">
        <f t="shared" si="36"/>
        <v>258.51550516456842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10.847598509619193</v>
      </c>
      <c r="AV38" s="21">
        <f>EXP(-LN(2)/25)*AV37+(1-EXP(-LN(2)/25))/(LN(2)/25)*Calculateur!AQ38*Calculateur!AS38*VLOOKUP('Données projet'!$B$10,Paramètres!$A$1:$I$89,3,0)*0.475*44/12</f>
        <v>15.105730813201706</v>
      </c>
      <c r="AW38" s="21">
        <f>EXP(-LN(2)/2)*AW37+(1-EXP(-LN(2)/2))/(LN(2)/2)*AQ38*AT38*VLOOKUP('Données projet'!$B$10,Paramètres!$A$1:$I$89,3,0)*0.475*44/12</f>
        <v>7.2509034196395792</v>
      </c>
      <c r="AX38" s="21">
        <f t="shared" si="6"/>
        <v>33.204232742460476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4.5856818181818184</v>
      </c>
      <c r="BD38" s="12">
        <f>IF('Données projet'!$A$88&gt;35,BD37+BC38-BL37,IF(A38&lt;'Données projet'!$A$88,$BA$205^A38,IF(A38='Données projet'!$A$88,'Données projet'!$B$88,BD37+BC38-BL37)))</f>
        <v>160.49886363636378</v>
      </c>
      <c r="BE38" s="13">
        <f>BD38*VLOOKUP('Données projet'!$B$11,Paramètres!$A$1:$I$89,3,0)*VLOOKUP('Données projet'!$B$11,Paramètres!$A$1:$I$89,5,0)</f>
        <v>145.21937181818194</v>
      </c>
      <c r="BF38" s="13">
        <f t="shared" si="37"/>
        <v>37.49013122697059</v>
      </c>
      <c r="BG38" s="20">
        <f t="shared" si="7"/>
        <v>318.21905113697397</v>
      </c>
      <c r="BH38" s="59">
        <f t="shared" si="8"/>
        <v>611.55238447030729</v>
      </c>
      <c r="BI38" s="59">
        <f ca="1">AVERAGE(OFFSET($BH$3,0,0,'Données projet'!$E$11+1,1))-AVERAGE(OFFSET($H$3,0,0,'Données projet'!$E$11+1,1))</f>
        <v>490.06222615476065</v>
      </c>
      <c r="BJ38" s="59">
        <f t="shared" si="38"/>
        <v>310.43914804089906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113.75400399999999</v>
      </c>
      <c r="CA38" s="13">
        <f t="shared" si="39"/>
        <v>30.213722363336938</v>
      </c>
      <c r="CB38" s="20">
        <f t="shared" si="10"/>
        <v>250.74379008281184</v>
      </c>
      <c r="CC38" s="59">
        <f t="shared" si="11"/>
        <v>544.07712341614513</v>
      </c>
      <c r="CD38" s="59">
        <f ca="1">AVERAGE(OFFSET($CC$3,0,0,'Données projet'!$E$12+1,1))-AVERAGE(OFFSET($H$3,0,0,'Données projet'!$E$12+1,1))</f>
        <v>510.71380643466227</v>
      </c>
      <c r="CE38" s="59">
        <f t="shared" si="40"/>
        <v>252.40654099948841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4.016578947368421</v>
      </c>
      <c r="CT38" s="12">
        <f>IF('Données projet'!$A$140&gt;35,CT37+CS38-DB37,IF(A38&lt;'Données projet'!$A$140,$CQ$205^A38,IF(A38='Données projet'!$A$140,'Données projet'!$B$140,CT37+CS38-DB37)))</f>
        <v>140.58026315789471</v>
      </c>
      <c r="CU38" s="17">
        <f>CT38*VLOOKUP('Données projet'!$B$13,Paramètres!$A$1:$I$89,3,0)*VLOOKUP('Données projet'!$B$13,Paramètres!$A$1:$I$89,5,0)</f>
        <v>151.32059526315786</v>
      </c>
      <c r="CV38" s="13">
        <f t="shared" si="41"/>
        <v>38.878542360991709</v>
      </c>
      <c r="CW38" s="20">
        <f t="shared" si="13"/>
        <v>331.26349802872716</v>
      </c>
      <c r="CX38" s="59">
        <f t="shared" si="14"/>
        <v>624.59683136206047</v>
      </c>
      <c r="CY38" s="59">
        <f ca="1">AVERAGE(OFFSET($CX$3,0,0,'Données projet'!$E$13+1,1))-AVERAGE(OFFSET($H$3,0,0,'Données projet'!$E$13+1,1))</f>
        <v>502.65044103360322</v>
      </c>
      <c r="CZ38" s="59">
        <f t="shared" si="42"/>
        <v>321.65762891855167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-25.899999999999977</v>
      </c>
      <c r="DP38" s="17">
        <f>DO38*VLOOKUP('Données projet'!$B$14,Paramètres!$A$1:$I$89,3,0)*VLOOKUP('Données projet'!$B$14,Paramètres!$A$1:$I$89,5,0)</f>
        <v>-13.171703999999989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63.94726564348116</v>
      </c>
      <c r="DU38" s="59">
        <f t="shared" si="44"/>
        <v>280.8165028422905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46.211492817415674</v>
      </c>
      <c r="EB38" s="21">
        <f>EXP(-LN(2)/25)*EB37+(1-EXP(-LN(2)/25))/(LN(2)/25)*Calculateur!DW38*Calculateur!DY38*VLOOKUP('Données projet'!$B$14,Paramètres!$A$1:$I$89,3,0)*0.475*44/12</f>
        <v>5.6568164440068207</v>
      </c>
      <c r="EC38" s="21">
        <f>EXP(-LN(2)/2)*EC37+(1-EXP(-LN(2)/2))/(LN(2)/2)*DW38*DZ38*VLOOKUP('Données projet'!$B$14,Paramètres!$A$1:$I$89,3,0)*0.475*44/12</f>
        <v>1.7176968925139254E-2</v>
      </c>
      <c r="ED38" s="22">
        <f t="shared" si="18"/>
        <v>51.885486230347638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197.29</v>
      </c>
      <c r="L39" s="12">
        <f>VLOOKUP(A39,'Données projet'!$A$35:$I$55,9,0)</f>
        <v>11.251428571428571</v>
      </c>
      <c r="M39" s="12">
        <f t="array" ref="M39">INDEX(L:L,MIN(IF(ISNUMBER(L39:L235),ROW(L39:L235),"")))</f>
        <v>11.251428571428571</v>
      </c>
      <c r="N39" s="13">
        <f>IF('Données projet'!$A$36&gt;35,N38+M39-V38,IF(A39&lt;'Données projet'!$A$36,$K$205^A39,IF(A39='Données projet'!$A$36,'Données projet'!$B$36,N38+M39-V38)))</f>
        <v>197.28999999999991</v>
      </c>
      <c r="O39" s="13">
        <f>N39*VLOOKUP('Données projet'!$B$9,Paramètres!$A$1:$I$89,3,0)*VLOOKUP('Données projet'!$B$9,Paramètres!$A$1:$I$89,5,0)</f>
        <v>112.84987999999996</v>
      </c>
      <c r="P39" s="13">
        <f t="shared" si="33"/>
        <v>30.00143570947812</v>
      </c>
      <c r="Q39" s="20">
        <f t="shared" si="53"/>
        <v>248.79937486067431</v>
      </c>
      <c r="R39" s="59">
        <f t="shared" si="0"/>
        <v>542.13270819400759</v>
      </c>
      <c r="S39" s="59">
        <f ca="1">AVERAGE(OFFSET($R$3,0,0,'Données projet'!$E$9+1,1))-AVERAGE(OFFSET($H$3,0,0,'Données projet'!$E$9+1,1))</f>
        <v>294.9631697747962</v>
      </c>
      <c r="T39" s="59">
        <f t="shared" si="34"/>
        <v>202.04924881627716</v>
      </c>
      <c r="U39" s="15">
        <f>IF(ISNA(VLOOKUP(A39,'Données projet'!$A$35:$I$55,3,0)),0,VLOOKUP(A39,'Données projet'!$A$35:$I$55,3,0))</f>
        <v>3</v>
      </c>
      <c r="V39" s="15">
        <f>IF(ISNA(VLOOKUP(A39,'Données projet'!$A$35:$I$55,4,0)),0,VLOOKUP(A39,'Données projet'!$A$35:$I$55,4,0))</f>
        <v>41.879999999999995</v>
      </c>
      <c r="W39" s="16">
        <f>IF(ISNA(VLOOKUP(A39,'Données projet'!$A$35:$I$55,5,0)),0%,VLOOKUP(A39,'Données projet'!$A$35:$I$55,5,0)*VLOOKUP('Données projet'!$B$9,Paramètres!$A$1:$I$89,7,0))</f>
        <v>0.1125</v>
      </c>
      <c r="X39" s="16">
        <f>IF(ISNA(VLOOKUP(A39,'Données projet'!$A$35:$I$55,6,0)),0%,VLOOKUP(A39,'Données projet'!$A$35:$I$55,6,0)*VLOOKUP('Données projet'!$B$9,Paramètres!$A$1:$I$89,7,0))</f>
        <v>0.16650000000000001</v>
      </c>
      <c r="Y39" s="16">
        <f>IF(ISNA(VLOOKUP(A39,'Données projet'!$A$35:$I$55,7,0)),0%,VLOOKUP(A39,'Données projet'!$A$35:$I$55,7,0))</f>
        <v>0.38</v>
      </c>
      <c r="Z39" s="21">
        <f>EXP(-LN(2)/35)*Z38+(1-EXP(-LN(2)/35))/(LN(2)/35)*V39*W39*VLOOKUP('Données projet'!$B$9,Paramètres!$A$1:$I$89,3,0)*0.475*44/12</f>
        <v>9.2003530550808446</v>
      </c>
      <c r="AA39" s="21">
        <f>EXP(-LN(2)/25)*AA38+(1-EXP(-LN(2)/25))/(LN(2)/25)*Calculateur!V39*Calculateur!X39*VLOOKUP('Données projet'!$B$9,Paramètres!$A$1:$I$89,3,0)*0.475*44/12</f>
        <v>12.868048726575546</v>
      </c>
      <c r="AB39" s="21">
        <f>EXP(-LN(2)/2)*AB38+(1-EXP(-LN(2)/2))/(LN(2)/2)*V39*Y39*VLOOKUP('Données projet'!$B$9,Paramètres!$A$1:$I$89,3,0)*0.475*44/12</f>
        <v>11.088004494549986</v>
      </c>
      <c r="AC39" s="22">
        <f t="shared" si="3"/>
        <v>33.156406276206376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16.693750000000001</v>
      </c>
      <c r="AI39" s="13">
        <f>IF('Données projet'!$A$62&gt;35,AI38+AH39-AQ38,IF(A39&lt;'Données projet'!$A$62,$AF$205^A39,IF(A39='Données projet'!$A$62,'Données projet'!$B$62,AI38+AH39-AQ38)))</f>
        <v>217.27125000000001</v>
      </c>
      <c r="AJ39" s="13">
        <f>AI39*VLOOKUP('Données projet'!$B$10,Paramètres!$A$1:$I$89,3,0)*VLOOKUP('Données projet'!$B$10,Paramètres!$A$1:$I$89,5,0)</f>
        <v>129.92820750000001</v>
      </c>
      <c r="AK39" s="13">
        <f t="shared" si="35"/>
        <v>33.97976966017913</v>
      </c>
      <c r="AL39" s="20">
        <f t="shared" si="4"/>
        <v>285.47306022064532</v>
      </c>
      <c r="AM39" s="59">
        <f t="shared" si="5"/>
        <v>578.80639355397864</v>
      </c>
      <c r="AN39" s="59">
        <f ca="1">AVERAGE(OFFSET($AM$3,0,0,'Données projet'!$E$10+1,1))-AVERAGE(OFFSET($H$3,0,0,'Données projet'!$E$10+1,1))</f>
        <v>349.71285006949597</v>
      </c>
      <c r="AO39" s="59">
        <f t="shared" si="36"/>
        <v>258.51550516456842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10.634883719227338</v>
      </c>
      <c r="AV39" s="21">
        <f>EXP(-LN(2)/25)*AV38+(1-EXP(-LN(2)/25))/(LN(2)/25)*Calculateur!AQ39*Calculateur!AS39*VLOOKUP('Données projet'!$B$10,Paramètres!$A$1:$I$89,3,0)*0.475*44/12</f>
        <v>14.692663809738846</v>
      </c>
      <c r="AW39" s="21">
        <f>EXP(-LN(2)/2)*AW38+(1-EXP(-LN(2)/2))/(LN(2)/2)*AQ39*AT39*VLOOKUP('Données projet'!$B$10,Paramètres!$A$1:$I$89,3,0)*0.475*44/12</f>
        <v>5.1271629777558738</v>
      </c>
      <c r="AX39" s="21">
        <f t="shared" si="6"/>
        <v>30.454710506722058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4.5856818181818184</v>
      </c>
      <c r="BD39" s="12">
        <f>IF('Données projet'!$A$88&gt;35,BD38+BC39-BL38,IF(A39&lt;'Données projet'!$A$88,$BA$205^A39,IF(A39='Données projet'!$A$88,'Données projet'!$B$88,BD38+BC39-BL38)))</f>
        <v>165.08454545454561</v>
      </c>
      <c r="BE39" s="13">
        <f>BD39*VLOOKUP('Données projet'!$B$11,Paramètres!$A$1:$I$89,3,0)*VLOOKUP('Données projet'!$B$11,Paramètres!$A$1:$I$89,5,0)</f>
        <v>149.36849672727286</v>
      </c>
      <c r="BF39" s="13">
        <f t="shared" si="37"/>
        <v>38.435039017220589</v>
      </c>
      <c r="BG39" s="20">
        <f t="shared" si="7"/>
        <v>327.09115808832604</v>
      </c>
      <c r="BH39" s="59">
        <f t="shared" si="8"/>
        <v>620.42449142165935</v>
      </c>
      <c r="BI39" s="59">
        <f ca="1">AVERAGE(OFFSET($BH$3,0,0,'Données projet'!$E$11+1,1))-AVERAGE(OFFSET($H$3,0,0,'Données projet'!$E$11+1,1))</f>
        <v>490.06222615476065</v>
      </c>
      <c r="BJ39" s="59">
        <f t="shared" si="38"/>
        <v>310.43914804089906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117.00411839999998</v>
      </c>
      <c r="CA39" s="13">
        <f t="shared" si="39"/>
        <v>30.975234278585425</v>
      </c>
      <c r="CB39" s="20">
        <f t="shared" si="10"/>
        <v>257.73070591520286</v>
      </c>
      <c r="CC39" s="59">
        <f t="shared" si="11"/>
        <v>551.06403924853612</v>
      </c>
      <c r="CD39" s="59">
        <f ca="1">AVERAGE(OFFSET($CC$3,0,0,'Données projet'!$E$12+1,1))-AVERAGE(OFFSET($H$3,0,0,'Données projet'!$E$12+1,1))</f>
        <v>510.71380643466227</v>
      </c>
      <c r="CE39" s="59">
        <f t="shared" si="40"/>
        <v>252.40654099948841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4.016578947368421</v>
      </c>
      <c r="CT39" s="12">
        <f>IF('Données projet'!$A$140&gt;35,CT38+CS39-DB38,IF(A39&lt;'Données projet'!$A$140,$CQ$205^A39,IF(A39='Données projet'!$A$140,'Données projet'!$B$140,CT38+CS39-DB38)))</f>
        <v>144.59684210526314</v>
      </c>
      <c r="CU39" s="17">
        <f>CT39*VLOOKUP('Données projet'!$B$13,Paramètres!$A$1:$I$89,3,0)*VLOOKUP('Données projet'!$B$13,Paramètres!$A$1:$I$89,5,0)</f>
        <v>155.64404084210523</v>
      </c>
      <c r="CV39" s="13">
        <f t="shared" si="41"/>
        <v>39.858443907029468</v>
      </c>
      <c r="CW39" s="20">
        <f t="shared" si="13"/>
        <v>340.50016093807625</v>
      </c>
      <c r="CX39" s="59">
        <f t="shared" si="14"/>
        <v>633.83349427140956</v>
      </c>
      <c r="CY39" s="59">
        <f ca="1">AVERAGE(OFFSET($CX$3,0,0,'Données projet'!$E$13+1,1))-AVERAGE(OFFSET($H$3,0,0,'Données projet'!$E$13+1,1))</f>
        <v>502.65044103360322</v>
      </c>
      <c r="CZ39" s="59">
        <f t="shared" si="42"/>
        <v>321.65762891855167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-25.899999999999977</v>
      </c>
      <c r="DP39" s="17">
        <f>DO39*VLOOKUP('Données projet'!$B$14,Paramètres!$A$1:$I$89,3,0)*VLOOKUP('Données projet'!$B$14,Paramètres!$A$1:$I$89,5,0)</f>
        <v>-13.171703999999989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63.94726564348116</v>
      </c>
      <c r="DU39" s="59">
        <f t="shared" si="44"/>
        <v>280.8165028422905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45.305313629493611</v>
      </c>
      <c r="EB39" s="21">
        <f>EXP(-LN(2)/25)*EB38+(1-EXP(-LN(2)/25))/(LN(2)/25)*Calculateur!DW39*Calculateur!DY39*VLOOKUP('Données projet'!$B$14,Paramètres!$A$1:$I$89,3,0)*0.475*44/12</f>
        <v>5.5021305008664063</v>
      </c>
      <c r="EC39" s="21">
        <f>EXP(-LN(2)/2)*EC38+(1-EXP(-LN(2)/2))/(LN(2)/2)*DW39*DZ39*VLOOKUP('Données projet'!$B$14,Paramètres!$A$1:$I$89,3,0)*0.475*44/12</f>
        <v>1.2145951207196569E-2</v>
      </c>
      <c r="ED39" s="22">
        <f t="shared" si="18"/>
        <v>50.819590081567213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10.686250000000001</v>
      </c>
      <c r="N40" s="13">
        <f>IF('Données projet'!$A$36&gt;35,N39+M40-V39,IF(A40&lt;'Données projet'!$A$36,$K$205^A40,IF(A40='Données projet'!$A$36,'Données projet'!$B$36,N39+M40-V39)))</f>
        <v>166.09624999999991</v>
      </c>
      <c r="O40" s="13">
        <f>N40*VLOOKUP('Données projet'!$B$9,Paramètres!$A$1:$I$89,3,0)*VLOOKUP('Données projet'!$B$9,Paramètres!$A$1:$I$89,5,0)</f>
        <v>95.007054999999951</v>
      </c>
      <c r="P40" s="13">
        <f t="shared" si="33"/>
        <v>25.768974715690913</v>
      </c>
      <c r="Q40" s="20">
        <f t="shared" si="53"/>
        <v>210.35158508816161</v>
      </c>
      <c r="R40" s="59">
        <f t="shared" si="0"/>
        <v>503.6849184214949</v>
      </c>
      <c r="S40" s="59">
        <f ca="1">AVERAGE(OFFSET($R$3,0,0,'Données projet'!$E$9+1,1))-AVERAGE(OFFSET($H$3,0,0,'Données projet'!$E$9+1,1))</f>
        <v>294.9631697747962</v>
      </c>
      <c r="T40" s="59">
        <f t="shared" si="34"/>
        <v>202.04924881627716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9.0199397433319675</v>
      </c>
      <c r="AA40" s="21">
        <f>EXP(-LN(2)/25)*AA39+(1-EXP(-LN(2)/25))/(LN(2)/25)*Calculateur!V40*Calculateur!X40*VLOOKUP('Données projet'!$B$9,Paramètres!$A$1:$I$89,3,0)*0.475*44/12</f>
        <v>12.516171257446066</v>
      </c>
      <c r="AB40" s="21">
        <f>EXP(-LN(2)/2)*AB39+(1-EXP(-LN(2)/2))/(LN(2)/2)*V40*Y40*VLOOKUP('Données projet'!$B$9,Paramètres!$A$1:$I$89,3,0)*0.475*44/12</f>
        <v>7.8404031679232133</v>
      </c>
      <c r="AC40" s="22">
        <f t="shared" si="3"/>
        <v>29.376514168701249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16.693750000000001</v>
      </c>
      <c r="AI40" s="13">
        <f>IF('Données projet'!$A$62&gt;35,AI39+AH40-AQ39,IF(A40&lt;'Données projet'!$A$62,$AF$205^A40,IF(A40='Données projet'!$A$62,'Données projet'!$B$62,AI39+AH40-AQ39)))</f>
        <v>233.965</v>
      </c>
      <c r="AJ40" s="13">
        <f>AI40*VLOOKUP('Données projet'!$B$10,Paramètres!$A$1:$I$89,3,0)*VLOOKUP('Données projet'!$B$10,Paramètres!$A$1:$I$89,5,0)</f>
        <v>139.91107000000002</v>
      </c>
      <c r="AK40" s="13">
        <f t="shared" si="35"/>
        <v>36.276632127461212</v>
      </c>
      <c r="AL40" s="20">
        <f t="shared" si="4"/>
        <v>306.860247871995</v>
      </c>
      <c r="AM40" s="59">
        <f t="shared" si="5"/>
        <v>600.19358120532831</v>
      </c>
      <c r="AN40" s="59">
        <f ca="1">AVERAGE(OFFSET($AM$3,0,0,'Données projet'!$E$10+1,1))-AVERAGE(OFFSET($H$3,0,0,'Données projet'!$E$10+1,1))</f>
        <v>349.71285006949597</v>
      </c>
      <c r="AO40" s="59">
        <f t="shared" si="36"/>
        <v>258.51550516456842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10.426340136131856</v>
      </c>
      <c r="AV40" s="21">
        <f>EXP(-LN(2)/25)*AV39+(1-EXP(-LN(2)/25))/(LN(2)/25)*Calculateur!AQ40*Calculateur!AS40*VLOOKUP('Données projet'!$B$10,Paramètres!$A$1:$I$89,3,0)*0.475*44/12</f>
        <v>14.290892145207929</v>
      </c>
      <c r="AW40" s="21">
        <f>EXP(-LN(2)/2)*AW39+(1-EXP(-LN(2)/2))/(LN(2)/2)*AQ40*AT40*VLOOKUP('Données projet'!$B$10,Paramètres!$A$1:$I$89,3,0)*0.475*44/12</f>
        <v>3.6254517098197905</v>
      </c>
      <c r="AX40" s="21">
        <f t="shared" si="6"/>
        <v>28.342683991159575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4.5856818181818184</v>
      </c>
      <c r="BD40" s="12">
        <f>IF('Données projet'!$A$88&gt;35,BD39+BC40-BL39,IF(A40&lt;'Données projet'!$A$88,$BA$205^A40,IF(A40='Données projet'!$A$88,'Données projet'!$B$88,BD39+BC40-BL39)))</f>
        <v>169.67022727272743</v>
      </c>
      <c r="BE40" s="13">
        <f>BD40*VLOOKUP('Données projet'!$B$11,Paramètres!$A$1:$I$89,3,0)*VLOOKUP('Données projet'!$B$11,Paramètres!$A$1:$I$89,5,0)</f>
        <v>153.51762163636377</v>
      </c>
      <c r="BF40" s="13">
        <f t="shared" si="37"/>
        <v>39.376896124979325</v>
      </c>
      <c r="BG40" s="20">
        <f t="shared" si="7"/>
        <v>335.95795176767251</v>
      </c>
      <c r="BH40" s="59">
        <f t="shared" si="8"/>
        <v>629.29128510100577</v>
      </c>
      <c r="BI40" s="59">
        <f ca="1">AVERAGE(OFFSET($BH$3,0,0,'Données projet'!$E$11+1,1))-AVERAGE(OFFSET($H$3,0,0,'Données projet'!$E$11+1,1))</f>
        <v>490.06222615476065</v>
      </c>
      <c r="BJ40" s="59">
        <f t="shared" si="38"/>
        <v>310.43914804089906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120.25423279999997</v>
      </c>
      <c r="CA40" s="13">
        <f t="shared" si="39"/>
        <v>31.734287614181273</v>
      </c>
      <c r="CB40" s="20">
        <f t="shared" si="10"/>
        <v>264.71333972136563</v>
      </c>
      <c r="CC40" s="59">
        <f t="shared" si="11"/>
        <v>558.04667305469889</v>
      </c>
      <c r="CD40" s="59">
        <f ca="1">AVERAGE(OFFSET($CC$3,0,0,'Données projet'!$E$12+1,1))-AVERAGE(OFFSET($H$3,0,0,'Données projet'!$E$12+1,1))</f>
        <v>510.71380643466227</v>
      </c>
      <c r="CE40" s="59">
        <f t="shared" si="40"/>
        <v>252.40654099948841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4.016578947368421</v>
      </c>
      <c r="CT40" s="12">
        <f>IF('Données projet'!$A$140&gt;35,CT39+CS40-DB39,IF(A40&lt;'Données projet'!$A$140,$CQ$205^A40,IF(A40='Données projet'!$A$140,'Données projet'!$B$140,CT39+CS40-DB39)))</f>
        <v>148.61342105263157</v>
      </c>
      <c r="CU40" s="17">
        <f>CT40*VLOOKUP('Données projet'!$B$13,Paramètres!$A$1:$I$89,3,0)*VLOOKUP('Données projet'!$B$13,Paramètres!$A$1:$I$89,5,0)</f>
        <v>159.96748642105263</v>
      </c>
      <c r="CV40" s="13">
        <f t="shared" si="41"/>
        <v>40.835181791469168</v>
      </c>
      <c r="CW40" s="20">
        <f t="shared" si="13"/>
        <v>349.73131380347536</v>
      </c>
      <c r="CX40" s="59">
        <f t="shared" si="14"/>
        <v>643.06464713680862</v>
      </c>
      <c r="CY40" s="59">
        <f ca="1">AVERAGE(OFFSET($CX$3,0,0,'Données projet'!$E$13+1,1))-AVERAGE(OFFSET($H$3,0,0,'Données projet'!$E$13+1,1))</f>
        <v>502.65044103360322</v>
      </c>
      <c r="CZ40" s="59">
        <f t="shared" si="42"/>
        <v>321.65762891855167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-25.899999999999977</v>
      </c>
      <c r="DP40" s="17">
        <f>DO40*VLOOKUP('Données projet'!$B$14,Paramètres!$A$1:$I$89,3,0)*VLOOKUP('Données projet'!$B$14,Paramètres!$A$1:$I$89,5,0)</f>
        <v>-13.171703999999989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63.94726564348116</v>
      </c>
      <c r="DU40" s="59">
        <f t="shared" si="44"/>
        <v>280.8165028422905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44.416904062731973</v>
      </c>
      <c r="EB40" s="21">
        <f>EXP(-LN(2)/25)*EB39+(1-EXP(-LN(2)/25))/(LN(2)/25)*Calculateur!DW40*Calculateur!DY40*VLOOKUP('Données projet'!$B$14,Paramètres!$A$1:$I$89,3,0)*0.475*44/12</f>
        <v>5.3516744529757467</v>
      </c>
      <c r="EC40" s="21">
        <f>EXP(-LN(2)/2)*EC39+(1-EXP(-LN(2)/2))/(LN(2)/2)*DW40*DZ40*VLOOKUP('Données projet'!$B$14,Paramètres!$A$1:$I$89,3,0)*0.475*44/12</f>
        <v>8.5884844625696271E-3</v>
      </c>
      <c r="ED40" s="22">
        <f t="shared" si="18"/>
        <v>49.777167000170287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10.686250000000001</v>
      </c>
      <c r="N41" s="13">
        <f>IF('Données projet'!$A$36&gt;35,N40+M41-V40,IF(A41&lt;'Données projet'!$A$36,$K$205^A41,IF(A41='Données projet'!$A$36,'Données projet'!$B$36,N40+M41-V40)))</f>
        <v>176.78249999999991</v>
      </c>
      <c r="O41" s="13">
        <f>N41*VLOOKUP('Données projet'!$B$9,Paramètres!$A$1:$I$89,3,0)*VLOOKUP('Données projet'!$B$9,Paramètres!$A$1:$I$89,5,0)</f>
        <v>101.11958999999995</v>
      </c>
      <c r="P41" s="13">
        <f t="shared" si="33"/>
        <v>27.228551347333443</v>
      </c>
      <c r="Q41" s="20">
        <f t="shared" si="53"/>
        <v>223.53967951327229</v>
      </c>
      <c r="R41" s="59">
        <f t="shared" si="0"/>
        <v>516.87301284660566</v>
      </c>
      <c r="S41" s="59">
        <f ca="1">AVERAGE(OFFSET($R$3,0,0,'Données projet'!$E$9+1,1))-AVERAGE(OFFSET($H$3,0,0,'Données projet'!$E$9+1,1))</f>
        <v>294.9631697747962</v>
      </c>
      <c r="T41" s="59">
        <f t="shared" si="34"/>
        <v>202.04924881627716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8.8430642265852306</v>
      </c>
      <c r="AA41" s="21">
        <f>EXP(-LN(2)/25)*AA40+(1-EXP(-LN(2)/25))/(LN(2)/25)*Calculateur!V41*Calculateur!X41*VLOOKUP('Données projet'!$B$9,Paramètres!$A$1:$I$89,3,0)*0.475*44/12</f>
        <v>12.173915896214362</v>
      </c>
      <c r="AB41" s="21">
        <f>EXP(-LN(2)/2)*AB40+(1-EXP(-LN(2)/2))/(LN(2)/2)*V41*Y41*VLOOKUP('Données projet'!$B$9,Paramètres!$A$1:$I$89,3,0)*0.475*44/12</f>
        <v>5.5440022472749941</v>
      </c>
      <c r="AC41" s="22">
        <f t="shared" si="3"/>
        <v>26.560982370074591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16.693750000000001</v>
      </c>
      <c r="AI41" s="13">
        <f>IF('Données projet'!$A$62&gt;35,AI40+AH41-AQ40,IF(A41&lt;'Données projet'!$A$62,$AF$205^A41,IF(A41='Données projet'!$A$62,'Données projet'!$B$62,AI40+AH41-AQ40)))</f>
        <v>250.65875</v>
      </c>
      <c r="AJ41" s="13">
        <f>AI41*VLOOKUP('Données projet'!$B$10,Paramètres!$A$1:$I$89,3,0)*VLOOKUP('Données projet'!$B$10,Paramètres!$A$1:$I$89,5,0)</f>
        <v>149.89393250000001</v>
      </c>
      <c r="AK41" s="13">
        <f t="shared" si="35"/>
        <v>38.554480408619099</v>
      </c>
      <c r="AL41" s="20">
        <f t="shared" si="4"/>
        <v>328.21431914917827</v>
      </c>
      <c r="AM41" s="59">
        <f t="shared" si="5"/>
        <v>621.54765248251158</v>
      </c>
      <c r="AN41" s="59">
        <f ca="1">AVERAGE(OFFSET($AM$3,0,0,'Données projet'!$E$10+1,1))-AVERAGE(OFFSET($H$3,0,0,'Données projet'!$E$10+1,1))</f>
        <v>349.71285006949597</v>
      </c>
      <c r="AO41" s="59">
        <f t="shared" si="36"/>
        <v>258.51550516456842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10.221885965501851</v>
      </c>
      <c r="AV41" s="21">
        <f>EXP(-LN(2)/25)*AV40+(1-EXP(-LN(2)/25))/(LN(2)/25)*Calculateur!AQ41*Calculateur!AS41*VLOOKUP('Données projet'!$B$10,Paramètres!$A$1:$I$89,3,0)*0.475*44/12</f>
        <v>13.900106947971862</v>
      </c>
      <c r="AW41" s="21">
        <f>EXP(-LN(2)/2)*AW40+(1-EXP(-LN(2)/2))/(LN(2)/2)*AQ41*AT41*VLOOKUP('Données projet'!$B$10,Paramètres!$A$1:$I$89,3,0)*0.475*44/12</f>
        <v>2.5635814888779374</v>
      </c>
      <c r="AX41" s="21">
        <f t="shared" si="6"/>
        <v>26.685574402351648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4.5856818181818184</v>
      </c>
      <c r="BD41" s="12">
        <f>IF('Données projet'!$A$88&gt;35,BD40+BC41-BL40,IF(A41&lt;'Données projet'!$A$88,$BA$205^A41,IF(A41='Données projet'!$A$88,'Données projet'!$B$88,BD40+BC41-BL40)))</f>
        <v>174.25590909090926</v>
      </c>
      <c r="BE41" s="13">
        <f>BD41*VLOOKUP('Données projet'!$B$11,Paramètres!$A$1:$I$89,3,0)*VLOOKUP('Données projet'!$B$11,Paramètres!$A$1:$I$89,5,0)</f>
        <v>157.66674654545469</v>
      </c>
      <c r="BF41" s="13">
        <f t="shared" si="37"/>
        <v>40.315794476431826</v>
      </c>
      <c r="BG41" s="20">
        <f t="shared" si="7"/>
        <v>344.81959227978564</v>
      </c>
      <c r="BH41" s="59">
        <f t="shared" si="8"/>
        <v>638.1529256131189</v>
      </c>
      <c r="BI41" s="59">
        <f ca="1">AVERAGE(OFFSET($BH$3,0,0,'Données projet'!$E$11+1,1))-AVERAGE(OFFSET($H$3,0,0,'Données projet'!$E$11+1,1))</f>
        <v>490.06222615476065</v>
      </c>
      <c r="BJ41" s="59">
        <f t="shared" si="38"/>
        <v>310.43914804089906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123.50434719999998</v>
      </c>
      <c r="CA41" s="13">
        <f t="shared" si="39"/>
        <v>32.490956454480575</v>
      </c>
      <c r="CB41" s="20">
        <f t="shared" si="10"/>
        <v>271.69182053155362</v>
      </c>
      <c r="CC41" s="59">
        <f t="shared" si="11"/>
        <v>565.02515386488699</v>
      </c>
      <c r="CD41" s="59">
        <f ca="1">AVERAGE(OFFSET($CC$3,0,0,'Données projet'!$E$12+1,1))-AVERAGE(OFFSET($H$3,0,0,'Données projet'!$E$12+1,1))</f>
        <v>510.71380643466227</v>
      </c>
      <c r="CE41" s="59">
        <f t="shared" si="40"/>
        <v>252.40654099948841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>
        <f>VLOOKUP(A41,'Données projet'!$A$139:$I$159,2,0)</f>
        <v>152.63</v>
      </c>
      <c r="CR41" s="12">
        <f>VLOOKUP(A41,'Données projet'!$A$139:$I$159,9,0)</f>
        <v>4.016578947368421</v>
      </c>
      <c r="CS41" s="12">
        <f t="array" ref="CS41">INDEX(CR:CR,MIN(IF(ISNUMBER(CR41:CR237),ROW(CR41:CR237),"")))</f>
        <v>4.016578947368421</v>
      </c>
      <c r="CT41" s="12">
        <f>IF('Données projet'!$A$140&gt;35,CT40+CS41-DB40,IF(A41&lt;'Données projet'!$A$140,$CQ$205^A41,IF(A41='Données projet'!$A$140,'Données projet'!$B$140,CT40+CS41-DB40)))</f>
        <v>152.63</v>
      </c>
      <c r="CU41" s="17">
        <f>CT41*VLOOKUP('Données projet'!$B$13,Paramètres!$A$1:$I$89,3,0)*VLOOKUP('Données projet'!$B$13,Paramètres!$A$1:$I$89,5,0)</f>
        <v>164.290932</v>
      </c>
      <c r="CV41" s="13">
        <f t="shared" si="41"/>
        <v>41.808851344894258</v>
      </c>
      <c r="CW41" s="20">
        <f t="shared" si="13"/>
        <v>358.95712265902421</v>
      </c>
      <c r="CX41" s="59">
        <f t="shared" si="14"/>
        <v>652.29045599235747</v>
      </c>
      <c r="CY41" s="59">
        <f ca="1">AVERAGE(OFFSET($CX$3,0,0,'Données projet'!$E$13+1,1))-AVERAGE(OFFSET($H$3,0,0,'Données projet'!$E$13+1,1))</f>
        <v>502.65044103360322</v>
      </c>
      <c r="CZ41" s="59">
        <f t="shared" si="42"/>
        <v>321.65762891855167</v>
      </c>
      <c r="DA41" s="15">
        <f>IF(ISNA(VLOOKUP(A41,'Données projet'!$A$139:$I$159,3,0)),0,VLOOKUP(A41,'Données projet'!$A$139:$I$159,3,0))</f>
        <v>1</v>
      </c>
      <c r="DB41" s="15">
        <f>IF(ISNA(VLOOKUP(A41,'Données projet'!$A$139:$I$159,4,0)),0,VLOOKUP(A41,'Données projet'!$A$139:$I$159,4,0))</f>
        <v>71.569999999999993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0.34400000000000003</v>
      </c>
      <c r="DE41" s="16">
        <f>IF(ISNA(VLOOKUP(A41,'Données projet'!$A$139:$I$159,7,0)),0%,VLOOKUP(A41,'Données projet'!$A$139:$I$159,7,0))</f>
        <v>0.2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29.180780319338094</v>
      </c>
      <c r="DH41" s="21">
        <f>EXP(-LN(2)/2)*DH40+(1-EXP(-LN(2)/2))/(LN(2)/2)*DB41*DE41*VLOOKUP('Données projet'!$B$13,Paramètres!$A$1:$I$89,3,0)*0.475*44/12</f>
        <v>14.537475476794066</v>
      </c>
      <c r="DI41" s="22">
        <f t="shared" si="15"/>
        <v>43.718255796132162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-25.899999999999977</v>
      </c>
      <c r="DP41" s="17">
        <f>DO41*VLOOKUP('Données projet'!$B$14,Paramètres!$A$1:$I$89,3,0)*VLOOKUP('Données projet'!$B$14,Paramètres!$A$1:$I$89,5,0)</f>
        <v>-13.171703999999989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63.94726564348116</v>
      </c>
      <c r="DU41" s="59">
        <f t="shared" si="44"/>
        <v>280.8165028422905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43.545915665698203</v>
      </c>
      <c r="EB41" s="21">
        <f>EXP(-LN(2)/25)*EB40+(1-EXP(-LN(2)/25))/(LN(2)/25)*Calculateur!DW41*Calculateur!DY41*VLOOKUP('Données projet'!$B$14,Paramètres!$A$1:$I$89,3,0)*0.475*44/12</f>
        <v>5.2053326336267967</v>
      </c>
      <c r="EC41" s="21">
        <f>EXP(-LN(2)/2)*EC40+(1-EXP(-LN(2)/2))/(LN(2)/2)*DW41*DZ41*VLOOKUP('Données projet'!$B$14,Paramètres!$A$1:$I$89,3,0)*0.475*44/12</f>
        <v>6.0729756035982846E-3</v>
      </c>
      <c r="ED41" s="22">
        <f t="shared" si="18"/>
        <v>48.7573212749286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10.686250000000001</v>
      </c>
      <c r="N42" s="13">
        <f>IF('Données projet'!$A$36&gt;35,N41+M42-V41,IF(A42&lt;'Données projet'!$A$36,$K$205^A42,IF(A42='Données projet'!$A$36,'Données projet'!$B$36,N41+M42-V41)))</f>
        <v>187.46874999999991</v>
      </c>
      <c r="O42" s="13">
        <f>N42*VLOOKUP('Données projet'!$B$9,Paramètres!$A$1:$I$89,3,0)*VLOOKUP('Données projet'!$B$9,Paramètres!$A$1:$I$89,5,0)</f>
        <v>107.23212499999997</v>
      </c>
      <c r="P42" s="13">
        <f t="shared" si="33"/>
        <v>28.677887549370656</v>
      </c>
      <c r="Q42" s="20">
        <f t="shared" si="53"/>
        <v>236.70993852348718</v>
      </c>
      <c r="R42" s="59">
        <f t="shared" si="0"/>
        <v>530.04327185682052</v>
      </c>
      <c r="S42" s="59">
        <f ca="1">AVERAGE(OFFSET($R$3,0,0,'Données projet'!$E$9+1,1))-AVERAGE(OFFSET($H$3,0,0,'Données projet'!$E$9+1,1))</f>
        <v>294.9631697747962</v>
      </c>
      <c r="T42" s="59">
        <f t="shared" si="34"/>
        <v>202.04924881627716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8.6696571308384858</v>
      </c>
      <c r="AA42" s="21">
        <f>EXP(-LN(2)/25)*AA41+(1-EXP(-LN(2)/25))/(LN(2)/25)*Calculateur!V42*Calculateur!X42*VLOOKUP('Données projet'!$B$9,Paramètres!$A$1:$I$89,3,0)*0.475*44/12</f>
        <v>11.841019525833968</v>
      </c>
      <c r="AB42" s="21">
        <f>EXP(-LN(2)/2)*AB41+(1-EXP(-LN(2)/2))/(LN(2)/2)*V42*Y42*VLOOKUP('Données projet'!$B$9,Paramètres!$A$1:$I$89,3,0)*0.475*44/12</f>
        <v>3.9202015839616071</v>
      </c>
      <c r="AC42" s="22">
        <f t="shared" si="3"/>
        <v>24.430878240634058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16.693750000000001</v>
      </c>
      <c r="AI42" s="13">
        <f>IF('Données projet'!$A$62&gt;35,AI41+AH42-AQ41,IF(A42&lt;'Données projet'!$A$62,$AF$205^A42,IF(A42='Données projet'!$A$62,'Données projet'!$B$62,AI41+AH42-AQ41)))</f>
        <v>267.35250000000002</v>
      </c>
      <c r="AJ42" s="13">
        <f>AI42*VLOOKUP('Données projet'!$B$10,Paramètres!$A$1:$I$89,3,0)*VLOOKUP('Données projet'!$B$10,Paramètres!$A$1:$I$89,5,0)</f>
        <v>159.87679500000002</v>
      </c>
      <c r="AK42" s="13">
        <f t="shared" si="35"/>
        <v>40.814724929285397</v>
      </c>
      <c r="AL42" s="20">
        <f t="shared" si="4"/>
        <v>349.5377305435054</v>
      </c>
      <c r="AM42" s="59">
        <f t="shared" si="5"/>
        <v>642.87106387683866</v>
      </c>
      <c r="AN42" s="59">
        <f ca="1">AVERAGE(OFFSET($AM$3,0,0,'Données projet'!$E$10+1,1))-AVERAGE(OFFSET($H$3,0,0,'Données projet'!$E$10+1,1))</f>
        <v>349.71285006949597</v>
      </c>
      <c r="AO42" s="59">
        <f t="shared" si="36"/>
        <v>258.51550516456842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10.021441016453171</v>
      </c>
      <c r="AV42" s="21">
        <f>EXP(-LN(2)/25)*AV41+(1-EXP(-LN(2)/25))/(LN(2)/25)*Calculateur!AQ42*Calculateur!AS42*VLOOKUP('Données projet'!$B$10,Paramètres!$A$1:$I$89,3,0)*0.475*44/12</f>
        <v>13.520007792504716</v>
      </c>
      <c r="AW42" s="21">
        <f>EXP(-LN(2)/2)*AW41+(1-EXP(-LN(2)/2))/(LN(2)/2)*AQ42*AT42*VLOOKUP('Données projet'!$B$10,Paramètres!$A$1:$I$89,3,0)*0.475*44/12</f>
        <v>1.8127258549098955</v>
      </c>
      <c r="AX42" s="21">
        <f t="shared" si="6"/>
        <v>25.354174663867784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4.5856818181818184</v>
      </c>
      <c r="BD42" s="12">
        <f>IF('Données projet'!$A$88&gt;35,BD41+BC42-BL41,IF(A42&lt;'Données projet'!$A$88,$BA$205^A42,IF(A42='Données projet'!$A$88,'Données projet'!$B$88,BD41+BC42-BL41)))</f>
        <v>178.84159090909108</v>
      </c>
      <c r="BE42" s="13">
        <f>BD42*VLOOKUP('Données projet'!$B$11,Paramètres!$A$1:$I$89,3,0)*VLOOKUP('Données projet'!$B$11,Paramètres!$A$1:$I$89,5,0)</f>
        <v>161.8158714545456</v>
      </c>
      <c r="BF42" s="13">
        <f t="shared" si="37"/>
        <v>41.251820884010222</v>
      </c>
      <c r="BG42" s="20">
        <f t="shared" si="7"/>
        <v>353.67623082298468</v>
      </c>
      <c r="BH42" s="59">
        <f t="shared" si="8"/>
        <v>647.00956415631799</v>
      </c>
      <c r="BI42" s="59">
        <f ca="1">AVERAGE(OFFSET($BH$3,0,0,'Données projet'!$E$11+1,1))-AVERAGE(OFFSET($H$3,0,0,'Données projet'!$E$11+1,1))</f>
        <v>490.06222615476065</v>
      </c>
      <c r="BJ42" s="59">
        <f t="shared" si="38"/>
        <v>310.43914804089906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126.75446159999998</v>
      </c>
      <c r="CA42" s="13">
        <f t="shared" si="39"/>
        <v>33.245310762607936</v>
      </c>
      <c r="CB42" s="20">
        <f t="shared" si="10"/>
        <v>278.66627019820879</v>
      </c>
      <c r="CC42" s="59">
        <f t="shared" si="11"/>
        <v>571.99960353154211</v>
      </c>
      <c r="CD42" s="59">
        <f ca="1">AVERAGE(OFFSET($CC$3,0,0,'Données projet'!$E$12+1,1))-AVERAGE(OFFSET($H$3,0,0,'Données projet'!$E$12+1,1))</f>
        <v>510.71380643466227</v>
      </c>
      <c r="CE42" s="59">
        <f t="shared" si="40"/>
        <v>252.40654099948841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9.8128571428571423</v>
      </c>
      <c r="CT42" s="12">
        <f>IF('Données projet'!$A$140&gt;35,CT41+CS42-DB41,IF(A42&lt;'Données projet'!$A$140,$CQ$205^A42,IF(A42='Données projet'!$A$140,'Données projet'!$B$140,CT41+CS42-DB41)))</f>
        <v>90.872857142857157</v>
      </c>
      <c r="CU42" s="17">
        <f>CT42*VLOOKUP('Données projet'!$B$13,Paramètres!$A$1:$I$89,3,0)*VLOOKUP('Données projet'!$B$13,Paramètres!$A$1:$I$89,5,0)</f>
        <v>97.815543428571445</v>
      </c>
      <c r="CV42" s="13">
        <f t="shared" si="41"/>
        <v>26.44091381797092</v>
      </c>
      <c r="CW42" s="20">
        <f t="shared" si="13"/>
        <v>216.41332970439461</v>
      </c>
      <c r="CX42" s="59">
        <f t="shared" si="14"/>
        <v>509.7466630377279</v>
      </c>
      <c r="CY42" s="59">
        <f ca="1">AVERAGE(OFFSET($CX$3,0,0,'Données projet'!$E$13+1,1))-AVERAGE(OFFSET($H$3,0,0,'Données projet'!$E$13+1,1))</f>
        <v>502.65044103360322</v>
      </c>
      <c r="CZ42" s="59">
        <f t="shared" si="42"/>
        <v>321.65762891855167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28.382830346955249</v>
      </c>
      <c r="DH42" s="21">
        <f>EXP(-LN(2)/2)*DH41+(1-EXP(-LN(2)/2))/(LN(2)/2)*DB42*DE42*VLOOKUP('Données projet'!$B$13,Paramètres!$A$1:$I$89,3,0)*0.475*44/12</f>
        <v>10.279547490974224</v>
      </c>
      <c r="DI42" s="22">
        <f t="shared" si="15"/>
        <v>38.662377837929469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-25.899999999999977</v>
      </c>
      <c r="DP42" s="17">
        <f>DO42*VLOOKUP('Données projet'!$B$14,Paramètres!$A$1:$I$89,3,0)*VLOOKUP('Données projet'!$B$14,Paramètres!$A$1:$I$89,5,0)</f>
        <v>-13.171703999999989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63.94726564348116</v>
      </c>
      <c r="DU42" s="59">
        <f t="shared" si="44"/>
        <v>280.8165028422905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42.692006819879801</v>
      </c>
      <c r="EB42" s="21">
        <f>EXP(-LN(2)/25)*EB41+(1-EXP(-LN(2)/25))/(LN(2)/25)*Calculateur!DW42*Calculateur!DY42*VLOOKUP('Données projet'!$B$14,Paramètres!$A$1:$I$89,3,0)*0.475*44/12</f>
        <v>5.0629925390237256</v>
      </c>
      <c r="EC42" s="21">
        <f>EXP(-LN(2)/2)*EC41+(1-EXP(-LN(2)/2))/(LN(2)/2)*DW42*DZ42*VLOOKUP('Données projet'!$B$14,Paramètres!$A$1:$I$89,3,0)*0.475*44/12</f>
        <v>4.2942422312848135E-3</v>
      </c>
      <c r="ED42" s="22">
        <f t="shared" si="18"/>
        <v>47.759293601134807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10.686250000000001</v>
      </c>
      <c r="N43" s="13">
        <f>IF('Données projet'!$A$36&gt;35,N42+M43-V42,IF(A43&lt;'Données projet'!$A$36,$K$205^A43,IF(A43='Données projet'!$A$36,'Données projet'!$B$36,N42+M43-V42)))</f>
        <v>198.15499999999992</v>
      </c>
      <c r="O43" s="13">
        <f>N43*VLOOKUP('Données projet'!$B$9,Paramètres!$A$1:$I$89,3,0)*VLOOKUP('Données projet'!$B$9,Paramètres!$A$1:$I$89,5,0)</f>
        <v>113.34465999999996</v>
      </c>
      <c r="P43" s="13">
        <f t="shared" si="33"/>
        <v>30.11763356855916</v>
      </c>
      <c r="Q43" s="20">
        <f t="shared" si="53"/>
        <v>249.86349463190712</v>
      </c>
      <c r="R43" s="59">
        <f t="shared" si="0"/>
        <v>543.19682796524046</v>
      </c>
      <c r="S43" s="59">
        <f ca="1">AVERAGE(OFFSET($R$3,0,0,'Données projet'!$E$9+1,1))-AVERAGE(OFFSET($H$3,0,0,'Données projet'!$E$9+1,1))</f>
        <v>294.9631697747962</v>
      </c>
      <c r="T43" s="59">
        <f t="shared" si="34"/>
        <v>202.04924881627716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8.4996504424714487</v>
      </c>
      <c r="AA43" s="21">
        <f>EXP(-LN(2)/25)*AA42+(1-EXP(-LN(2)/25))/(LN(2)/25)*Calculateur!V43*Calculateur!X43*VLOOKUP('Données projet'!$B$9,Paramètres!$A$1:$I$89,3,0)*0.475*44/12</f>
        <v>11.517226224207883</v>
      </c>
      <c r="AB43" s="21">
        <f>EXP(-LN(2)/2)*AB42+(1-EXP(-LN(2)/2))/(LN(2)/2)*V43*Y43*VLOOKUP('Données projet'!$B$9,Paramètres!$A$1:$I$89,3,0)*0.475*44/12</f>
        <v>2.7720011236374975</v>
      </c>
      <c r="AC43" s="22">
        <f t="shared" si="3"/>
        <v>22.788877790316828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16.693750000000001</v>
      </c>
      <c r="AI43" s="13">
        <f>IF('Données projet'!$A$62&gt;35,AI42+AH43-AQ42,IF(A43&lt;'Données projet'!$A$62,$AF$205^A43,IF(A43='Données projet'!$A$62,'Données projet'!$B$62,AI42+AH43-AQ42)))</f>
        <v>284.04625000000004</v>
      </c>
      <c r="AJ43" s="13">
        <f>AI43*VLOOKUP('Données projet'!$B$10,Paramètres!$A$1:$I$89,3,0)*VLOOKUP('Données projet'!$B$10,Paramètres!$A$1:$I$89,5,0)</f>
        <v>169.85965750000003</v>
      </c>
      <c r="AK43" s="13">
        <f t="shared" si="35"/>
        <v>43.058590023226742</v>
      </c>
      <c r="AL43" s="20">
        <f t="shared" si="4"/>
        <v>370.83261443628663</v>
      </c>
      <c r="AM43" s="59">
        <f t="shared" si="5"/>
        <v>664.16594776961995</v>
      </c>
      <c r="AN43" s="59">
        <f ca="1">AVERAGE(OFFSET($AM$3,0,0,'Données projet'!$E$10+1,1))-AVERAGE(OFFSET($H$3,0,0,'Données projet'!$E$10+1,1))</f>
        <v>349.71285006949597</v>
      </c>
      <c r="AO43" s="59">
        <f t="shared" si="36"/>
        <v>258.51550516456842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9.8249266705959872</v>
      </c>
      <c r="AV43" s="21">
        <f>EXP(-LN(2)/25)*AV42+(1-EXP(-LN(2)/25))/(LN(2)/25)*Calculateur!AQ43*Calculateur!AS43*VLOOKUP('Données projet'!$B$10,Paramètres!$A$1:$I$89,3,0)*0.475*44/12</f>
        <v>13.150302468432365</v>
      </c>
      <c r="AW43" s="21">
        <f>EXP(-LN(2)/2)*AW42+(1-EXP(-LN(2)/2))/(LN(2)/2)*AQ43*AT43*VLOOKUP('Données projet'!$B$10,Paramètres!$A$1:$I$89,3,0)*0.475*44/12</f>
        <v>1.2817907444389689</v>
      </c>
      <c r="AX43" s="21">
        <f t="shared" si="6"/>
        <v>24.257019883467319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4.5856818181818184</v>
      </c>
      <c r="BD43" s="12">
        <f>IF('Données projet'!$A$88&gt;35,BD42+BC43-BL42,IF(A43&lt;'Données projet'!$A$88,$BA$205^A43,IF(A43='Données projet'!$A$88,'Données projet'!$B$88,BD42+BC43-BL42)))</f>
        <v>183.42727272727291</v>
      </c>
      <c r="BE43" s="13">
        <f>BD43*VLOOKUP('Données projet'!$B$11,Paramètres!$A$1:$I$89,3,0)*VLOOKUP('Données projet'!$B$11,Paramètres!$A$1:$I$89,5,0)</f>
        <v>165.96499636363652</v>
      </c>
      <c r="BF43" s="13">
        <f t="shared" si="37"/>
        <v>42.185057454593114</v>
      </c>
      <c r="BG43" s="20">
        <f t="shared" si="7"/>
        <v>362.52801040008325</v>
      </c>
      <c r="BH43" s="59">
        <f t="shared" si="8"/>
        <v>655.86134373341656</v>
      </c>
      <c r="BI43" s="59">
        <f ca="1">AVERAGE(OFFSET($BH$3,0,0,'Données projet'!$E$11+1,1))-AVERAGE(OFFSET($H$3,0,0,'Données projet'!$E$11+1,1))</f>
        <v>490.06222615476065</v>
      </c>
      <c r="BJ43" s="59">
        <f t="shared" si="38"/>
        <v>310.43914804089906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130.00457599999996</v>
      </c>
      <c r="CA43" s="13">
        <f t="shared" si="39"/>
        <v>33.997416709428933</v>
      </c>
      <c r="CB43" s="20">
        <f t="shared" si="10"/>
        <v>285.63680396892198</v>
      </c>
      <c r="CC43" s="59">
        <f t="shared" si="11"/>
        <v>578.97013730225535</v>
      </c>
      <c r="CD43" s="59">
        <f ca="1">AVERAGE(OFFSET($CC$3,0,0,'Données projet'!$E$12+1,1))-AVERAGE(OFFSET($H$3,0,0,'Données projet'!$E$12+1,1))</f>
        <v>510.71380643466227</v>
      </c>
      <c r="CE43" s="59">
        <f t="shared" si="40"/>
        <v>252.40654099948841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9.8128571428571423</v>
      </c>
      <c r="CT43" s="12">
        <f>IF('Données projet'!$A$140&gt;35,CT42+CS43-DB42,IF(A43&lt;'Données projet'!$A$140,$CQ$205^A43,IF(A43='Données projet'!$A$140,'Données projet'!$B$140,CT42+CS43-DB42)))</f>
        <v>100.6857142857143</v>
      </c>
      <c r="CU43" s="17">
        <f>CT43*VLOOKUP('Données projet'!$B$13,Paramètres!$A$1:$I$89,3,0)*VLOOKUP('Données projet'!$B$13,Paramètres!$A$1:$I$89,5,0)</f>
        <v>108.37810285714286</v>
      </c>
      <c r="CV43" s="13">
        <f t="shared" si="41"/>
        <v>28.948523222937034</v>
      </c>
      <c r="CW43" s="20">
        <f t="shared" si="13"/>
        <v>239.17720708947249</v>
      </c>
      <c r="CX43" s="59">
        <f t="shared" si="14"/>
        <v>532.51054042280578</v>
      </c>
      <c r="CY43" s="59">
        <f ca="1">AVERAGE(OFFSET($CX$3,0,0,'Données projet'!$E$13+1,1))-AVERAGE(OFFSET($H$3,0,0,'Données projet'!$E$13+1,1))</f>
        <v>502.65044103360322</v>
      </c>
      <c r="CZ43" s="59">
        <f t="shared" si="42"/>
        <v>321.65762891855167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27.606700358529579</v>
      </c>
      <c r="DH43" s="21">
        <f>EXP(-LN(2)/2)*DH42+(1-EXP(-LN(2)/2))/(LN(2)/2)*DB43*DE43*VLOOKUP('Données projet'!$B$13,Paramètres!$A$1:$I$89,3,0)*0.475*44/12</f>
        <v>7.2687377383970349</v>
      </c>
      <c r="DI43" s="22">
        <f t="shared" si="15"/>
        <v>34.875438096926615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-25.899999999999977</v>
      </c>
      <c r="DP43" s="17">
        <f>DO43*VLOOKUP('Données projet'!$B$14,Paramètres!$A$1:$I$89,3,0)*VLOOKUP('Données projet'!$B$14,Paramètres!$A$1:$I$89,5,0)</f>
        <v>-13.171703999999989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63.94726564348116</v>
      </c>
      <c r="DU43" s="59">
        <f t="shared" si="44"/>
        <v>280.8165028422905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41.854842605694927</v>
      </c>
      <c r="EB43" s="21">
        <f>EXP(-LN(2)/25)*EB42+(1-EXP(-LN(2)/25))/(LN(2)/25)*Calculateur!DW43*Calculateur!DY43*VLOOKUP('Données projet'!$B$14,Paramètres!$A$1:$I$89,3,0)*0.475*44/12</f>
        <v>4.924544741792916</v>
      </c>
      <c r="EC43" s="21">
        <f>EXP(-LN(2)/2)*EC42+(1-EXP(-LN(2)/2))/(LN(2)/2)*DW43*DZ43*VLOOKUP('Données projet'!$B$14,Paramètres!$A$1:$I$89,3,0)*0.475*44/12</f>
        <v>3.0364878017991423E-3</v>
      </c>
      <c r="ED43" s="22">
        <f t="shared" si="18"/>
        <v>46.782423835289642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10.686250000000001</v>
      </c>
      <c r="N44" s="13">
        <f>IF('Données projet'!$A$36&gt;35,N43+M44-V43,IF(A44&lt;'Données projet'!$A$36,$K$205^A44,IF(A44='Données projet'!$A$36,'Données projet'!$B$36,N43+M44-V43)))</f>
        <v>208.84124999999992</v>
      </c>
      <c r="O44" s="13">
        <f>N44*VLOOKUP('Données projet'!$B$9,Paramètres!$A$1:$I$89,3,0)*VLOOKUP('Données projet'!$B$9,Paramètres!$A$1:$I$89,5,0)</f>
        <v>119.45719499999996</v>
      </c>
      <c r="P44" s="13">
        <f t="shared" si="33"/>
        <v>31.548365556643425</v>
      </c>
      <c r="Q44" s="20">
        <f t="shared" si="53"/>
        <v>263.00135130282052</v>
      </c>
      <c r="R44" s="59">
        <f t="shared" si="0"/>
        <v>556.33468463615384</v>
      </c>
      <c r="S44" s="59">
        <f ca="1">AVERAGE(OFFSET($R$3,0,0,'Données projet'!$E$9+1,1))-AVERAGE(OFFSET($H$3,0,0,'Données projet'!$E$9+1,1))</f>
        <v>294.9631697747962</v>
      </c>
      <c r="T44" s="59">
        <f t="shared" si="34"/>
        <v>202.04924881627716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8.3329774815694488</v>
      </c>
      <c r="AA44" s="21">
        <f>EXP(-LN(2)/25)*AA43+(1-EXP(-LN(2)/25))/(LN(2)/25)*Calculateur!V44*Calculateur!X44*VLOOKUP('Données projet'!$B$9,Paramètres!$A$1:$I$89,3,0)*0.475*44/12</f>
        <v>11.202287067442315</v>
      </c>
      <c r="AB44" s="21">
        <f>EXP(-LN(2)/2)*AB43+(1-EXP(-LN(2)/2))/(LN(2)/2)*V44*Y44*VLOOKUP('Données projet'!$B$9,Paramètres!$A$1:$I$89,3,0)*0.475*44/12</f>
        <v>1.960100791980804</v>
      </c>
      <c r="AC44" s="22">
        <f t="shared" si="3"/>
        <v>21.495365340992567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300.74</v>
      </c>
      <c r="AG44" s="12">
        <f>VLOOKUP(A44,'Données projet'!$A$61:$I$81,9,0)</f>
        <v>16.693750000000001</v>
      </c>
      <c r="AH44" s="12">
        <f t="array" ref="AH44">INDEX(AG:AG,MIN(IF(ISNUMBER(AG44:AG240),ROW(AG44:AG240),"")))</f>
        <v>16.693750000000001</v>
      </c>
      <c r="AI44" s="13">
        <f>IF('Données projet'!$A$62&gt;35,AI43+AH44-AQ43,IF(A44&lt;'Données projet'!$A$62,$AF$205^A44,IF(A44='Données projet'!$A$62,'Données projet'!$B$62,AI43+AH44-AQ43)))</f>
        <v>300.74000000000007</v>
      </c>
      <c r="AJ44" s="13">
        <f>AI44*VLOOKUP('Données projet'!$B$10,Paramètres!$A$1:$I$89,3,0)*VLOOKUP('Données projet'!$B$10,Paramètres!$A$1:$I$89,5,0)</f>
        <v>179.84252000000006</v>
      </c>
      <c r="AK44" s="13">
        <f t="shared" si="35"/>
        <v>45.287147983377729</v>
      </c>
      <c r="AL44" s="20">
        <f t="shared" si="4"/>
        <v>392.10083840438301</v>
      </c>
      <c r="AM44" s="59">
        <f t="shared" si="5"/>
        <v>685.43417173771627</v>
      </c>
      <c r="AN44" s="59">
        <f ca="1">AVERAGE(OFFSET($AM$3,0,0,'Données projet'!$E$10+1,1))-AVERAGE(OFFSET($H$3,0,0,'Données projet'!$E$10+1,1))</f>
        <v>349.71285006949597</v>
      </c>
      <c r="AO44" s="59">
        <f t="shared" si="36"/>
        <v>258.51550516456842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72.16</v>
      </c>
      <c r="AR44" s="16">
        <f>IF(ISNA(VLOOKUP(A44,'Données projet'!$A$61:$I$81,5,0)),0%,VLOOKUP(A44,'Données projet'!$A$61:$I$81,5,0)*VLOOKUP('Données projet'!$B$10,Paramètres!$A$1:$I$89,7,0))</f>
        <v>0.27</v>
      </c>
      <c r="AS44" s="16">
        <f>IF(ISNA(VLOOKUP(A44,'Données projet'!$A$61:$I$81,6,0)),0%,VLOOKUP(A44,'Données projet'!$A$61:$I$81,6,0)*VLOOKUP('Données projet'!$B$10,Paramètres!$A$1:$I$89,7,0))</f>
        <v>9.0000000000000011E-2</v>
      </c>
      <c r="AT44" s="16">
        <f>IF(ISNA(VLOOKUP(A44,'Données projet'!$A$61:$I$81,7,0)),0%,VLOOKUP(A44,'Données projet'!$A$61:$I$81,7,0))</f>
        <v>0.2</v>
      </c>
      <c r="AU44" s="21">
        <f>EXP(-LN(2)/35)*AU43+(1-EXP(-LN(2)/35))/(LN(2)/35)*AQ44*AR44*VLOOKUP('Données projet'!$B$10,Paramètres!$A$1:$I$89,3,0)*0.475*44/12</f>
        <v>25.088006768934498</v>
      </c>
      <c r="AV44" s="21">
        <f>EXP(-LN(2)/25)*AV43+(1-EXP(-LN(2)/25))/(LN(2)/25)*Calculateur!AQ44*Calculateur!AS44*VLOOKUP('Données projet'!$B$10,Paramètres!$A$1:$I$89,3,0)*0.475*44/12</f>
        <v>17.922335348103143</v>
      </c>
      <c r="AW44" s="21">
        <f>EXP(-LN(2)/2)*AW43+(1-EXP(-LN(2)/2))/(LN(2)/2)*AQ44*AT44*VLOOKUP('Données projet'!$B$10,Paramètres!$A$1:$I$89,3,0)*0.475*44/12</f>
        <v>10.677908085160318</v>
      </c>
      <c r="AX44" s="21">
        <f t="shared" si="6"/>
        <v>53.688250202197956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4.5856818181818184</v>
      </c>
      <c r="BD44" s="12">
        <f>IF('Données projet'!$A$88&gt;35,BD43+BC44-BL43,IF(A44&lt;'Données projet'!$A$88,$BA$205^A44,IF(A44='Données projet'!$A$88,'Données projet'!$B$88,BD43+BC44-BL43)))</f>
        <v>188.01295454545473</v>
      </c>
      <c r="BE44" s="13">
        <f>BD44*VLOOKUP('Données projet'!$B$11,Paramètres!$A$1:$I$89,3,0)*VLOOKUP('Données projet'!$B$11,Paramètres!$A$1:$I$89,5,0)</f>
        <v>170.11412127272743</v>
      </c>
      <c r="BF44" s="13">
        <f t="shared" si="37"/>
        <v>43.115581955736218</v>
      </c>
      <c r="BG44" s="20">
        <f t="shared" si="7"/>
        <v>371.3750664562408</v>
      </c>
      <c r="BH44" s="59">
        <f t="shared" si="8"/>
        <v>664.70839978957406</v>
      </c>
      <c r="BI44" s="59">
        <f ca="1">AVERAGE(OFFSET($BH$3,0,0,'Données projet'!$E$11+1,1))-AVERAGE(OFFSET($H$3,0,0,'Données projet'!$E$11+1,1))</f>
        <v>490.06222615476065</v>
      </c>
      <c r="BJ44" s="59">
        <f t="shared" si="38"/>
        <v>310.43914804089906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133.25469039999996</v>
      </c>
      <c r="CA44" s="13">
        <f t="shared" si="39"/>
        <v>34.747336968699585</v>
      </c>
      <c r="CB44" s="20">
        <f t="shared" si="10"/>
        <v>292.60353100048502</v>
      </c>
      <c r="CC44" s="59">
        <f t="shared" si="11"/>
        <v>585.93686433381833</v>
      </c>
      <c r="CD44" s="59">
        <f ca="1">AVERAGE(OFFSET($CC$3,0,0,'Données projet'!$E$12+1,1))-AVERAGE(OFFSET($H$3,0,0,'Données projet'!$E$12+1,1))</f>
        <v>510.71380643466227</v>
      </c>
      <c r="CE44" s="59">
        <f t="shared" si="40"/>
        <v>252.40654099948841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9.8128571428571423</v>
      </c>
      <c r="CT44" s="12">
        <f>IF('Données projet'!$A$140&gt;35,CT43+CS44-DB43,IF(A44&lt;'Données projet'!$A$140,$CQ$205^A44,IF(A44='Données projet'!$A$140,'Données projet'!$B$140,CT43+CS44-DB43)))</f>
        <v>110.49857142857144</v>
      </c>
      <c r="CU44" s="17">
        <f>CT44*VLOOKUP('Données projet'!$B$13,Paramètres!$A$1:$I$89,3,0)*VLOOKUP('Données projet'!$B$13,Paramètres!$A$1:$I$89,5,0)</f>
        <v>118.9406622857143</v>
      </c>
      <c r="CV44" s="13">
        <f t="shared" si="41"/>
        <v>31.427798808658942</v>
      </c>
      <c r="CW44" s="20">
        <f t="shared" si="13"/>
        <v>261.89173640603332</v>
      </c>
      <c r="CX44" s="59">
        <f t="shared" si="14"/>
        <v>555.22506973936663</v>
      </c>
      <c r="CY44" s="59">
        <f ca="1">AVERAGE(OFFSET($CX$3,0,0,'Données projet'!$E$13+1,1))-AVERAGE(OFFSET($H$3,0,0,'Données projet'!$E$13+1,1))</f>
        <v>502.65044103360322</v>
      </c>
      <c r="CZ44" s="59">
        <f t="shared" si="42"/>
        <v>321.65762891855167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26.851793685452311</v>
      </c>
      <c r="DH44" s="21">
        <f>EXP(-LN(2)/2)*DH43+(1-EXP(-LN(2)/2))/(LN(2)/2)*DB44*DE44*VLOOKUP('Données projet'!$B$13,Paramètres!$A$1:$I$89,3,0)*0.475*44/12</f>
        <v>5.1397737454871129</v>
      </c>
      <c r="DI44" s="22">
        <f t="shared" si="15"/>
        <v>31.991567430939423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-25.899999999999977</v>
      </c>
      <c r="DP44" s="17">
        <f>DO44*VLOOKUP('Données projet'!$B$14,Paramètres!$A$1:$I$89,3,0)*VLOOKUP('Données projet'!$B$14,Paramètres!$A$1:$I$89,5,0)</f>
        <v>-13.171703999999989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63.94726564348116</v>
      </c>
      <c r="DU44" s="59">
        <f t="shared" si="44"/>
        <v>280.8165028422905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41.034094671130468</v>
      </c>
      <c r="EB44" s="21">
        <f>EXP(-LN(2)/25)*EB43+(1-EXP(-LN(2)/25))/(LN(2)/25)*Calculateur!DW44*Calculateur!DY44*VLOOKUP('Données projet'!$B$14,Paramètres!$A$1:$I$89,3,0)*0.475*44/12</f>
        <v>4.7898828068580359</v>
      </c>
      <c r="EC44" s="21">
        <f>EXP(-LN(2)/2)*EC43+(1-EXP(-LN(2)/2))/(LN(2)/2)*DW44*DZ44*VLOOKUP('Données projet'!$B$14,Paramètres!$A$1:$I$89,3,0)*0.475*44/12</f>
        <v>2.1471211156424068E-3</v>
      </c>
      <c r="ED44" s="22">
        <f t="shared" si="18"/>
        <v>45.826124599104148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10.686250000000001</v>
      </c>
      <c r="N45" s="13">
        <f>IF('Données projet'!$A$36&gt;35,N44+M45-V44,IF(A45&lt;'Données projet'!$A$36,$K$205^A45,IF(A45='Données projet'!$A$36,'Données projet'!$B$36,N44+M45-V44)))</f>
        <v>219.52749999999992</v>
      </c>
      <c r="O45" s="13">
        <f>N45*VLOOKUP('Données projet'!$B$9,Paramètres!$A$1:$I$89,3,0)*VLOOKUP('Données projet'!$B$9,Paramètres!$A$1:$I$89,5,0)</f>
        <v>125.56972999999995</v>
      </c>
      <c r="P45" s="13">
        <f t="shared" si="33"/>
        <v>32.970597372419029</v>
      </c>
      <c r="Q45" s="20">
        <f t="shared" si="53"/>
        <v>276.12440350696301</v>
      </c>
      <c r="R45" s="59">
        <f t="shared" si="0"/>
        <v>569.45773684029632</v>
      </c>
      <c r="S45" s="59">
        <f ca="1">AVERAGE(OFFSET($R$3,0,0,'Données projet'!$E$9+1,1))-AVERAGE(OFFSET($H$3,0,0,'Données projet'!$E$9+1,1))</f>
        <v>294.9631697747962</v>
      </c>
      <c r="T45" s="59">
        <f t="shared" si="34"/>
        <v>202.04924881627716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8.1695728757702692</v>
      </c>
      <c r="AA45" s="21">
        <f>EXP(-LN(2)/25)*AA44+(1-EXP(-LN(2)/25))/(LN(2)/25)*Calculateur!V45*Calculateur!X45*VLOOKUP('Données projet'!$B$9,Paramètres!$A$1:$I$89,3,0)*0.475*44/12</f>
        <v>10.895959938480431</v>
      </c>
      <c r="AB45" s="21">
        <f>EXP(-LN(2)/2)*AB44+(1-EXP(-LN(2)/2))/(LN(2)/2)*V45*Y45*VLOOKUP('Données projet'!$B$9,Paramètres!$A$1:$I$89,3,0)*0.475*44/12</f>
        <v>1.386000561818749</v>
      </c>
      <c r="AC45" s="22">
        <f t="shared" si="3"/>
        <v>20.451533376069449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15.714444444444442</v>
      </c>
      <c r="AI45" s="13">
        <f>IF('Données projet'!$A$62&gt;35,AI44+AH45-AQ44,IF(A45&lt;'Données projet'!$A$62,$AF$205^A45,IF(A45='Données projet'!$A$62,'Données projet'!$B$62,AI44+AH45-AQ44)))</f>
        <v>244.29444444444451</v>
      </c>
      <c r="AJ45" s="13">
        <f>AI45*VLOOKUP('Données projet'!$B$10,Paramètres!$A$1:$I$89,3,0)*VLOOKUP('Données projet'!$B$10,Paramètres!$A$1:$I$89,5,0)</f>
        <v>146.08807777777784</v>
      </c>
      <c r="AK45" s="13">
        <f t="shared" si="35"/>
        <v>37.688224634642516</v>
      </c>
      <c r="AL45" s="20">
        <f t="shared" si="4"/>
        <v>320.07706003496543</v>
      </c>
      <c r="AM45" s="59">
        <f t="shared" si="5"/>
        <v>613.41039336829874</v>
      </c>
      <c r="AN45" s="59">
        <f ca="1">AVERAGE(OFFSET($AM$3,0,0,'Données projet'!$E$10+1,1))-AVERAGE(OFFSET($H$3,0,0,'Données projet'!$E$10+1,1))</f>
        <v>349.71285006949597</v>
      </c>
      <c r="AO45" s="59">
        <f t="shared" si="36"/>
        <v>258.51550516456842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24.596046258368858</v>
      </c>
      <c r="AV45" s="21">
        <f>EXP(-LN(2)/25)*AV44+(1-EXP(-LN(2)/25))/(LN(2)/25)*Calculateur!AQ45*Calculateur!AS45*VLOOKUP('Données projet'!$B$10,Paramètres!$A$1:$I$89,3,0)*0.475*44/12</f>
        <v>17.43224814551461</v>
      </c>
      <c r="AW45" s="21">
        <f>EXP(-LN(2)/2)*AW44+(1-EXP(-LN(2)/2))/(LN(2)/2)*AQ45*AT45*VLOOKUP('Données projet'!$B$10,Paramètres!$A$1:$I$89,3,0)*0.475*44/12</f>
        <v>7.5504212159035244</v>
      </c>
      <c r="AX45" s="21">
        <f t="shared" si="6"/>
        <v>49.57871561978699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4.5856818181818184</v>
      </c>
      <c r="BD45" s="12">
        <f>IF('Données projet'!$A$88&gt;35,BD44+BC45-BL44,IF(A45&lt;'Données projet'!$A$88,$BA$205^A45,IF(A45='Données projet'!$A$88,'Données projet'!$B$88,BD44+BC45-BL44)))</f>
        <v>192.59863636363656</v>
      </c>
      <c r="BE45" s="13">
        <f>BD45*VLOOKUP('Données projet'!$B$11,Paramètres!$A$1:$I$89,3,0)*VLOOKUP('Données projet'!$B$11,Paramètres!$A$1:$I$89,5,0)</f>
        <v>174.26324618181837</v>
      </c>
      <c r="BF45" s="13">
        <f t="shared" si="37"/>
        <v>44.043468145167253</v>
      </c>
      <c r="BG45" s="20">
        <f t="shared" si="7"/>
        <v>380.21752745283328</v>
      </c>
      <c r="BH45" s="59">
        <f t="shared" si="8"/>
        <v>673.5508607861666</v>
      </c>
      <c r="BI45" s="59">
        <f ca="1">AVERAGE(OFFSET($BH$3,0,0,'Données projet'!$E$11+1,1))-AVERAGE(OFFSET($H$3,0,0,'Données projet'!$E$11+1,1))</f>
        <v>490.06222615476065</v>
      </c>
      <c r="BJ45" s="59">
        <f t="shared" si="38"/>
        <v>310.43914804089906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136.50480479999996</v>
      </c>
      <c r="CA45" s="13">
        <f t="shared" si="39"/>
        <v>35.49513098260995</v>
      </c>
      <c r="CB45" s="20">
        <f t="shared" si="10"/>
        <v>299.56655482137893</v>
      </c>
      <c r="CC45" s="59">
        <f t="shared" si="11"/>
        <v>592.89988815471224</v>
      </c>
      <c r="CD45" s="59">
        <f ca="1">AVERAGE(OFFSET($CC$3,0,0,'Données projet'!$E$12+1,1))-AVERAGE(OFFSET($H$3,0,0,'Données projet'!$E$12+1,1))</f>
        <v>510.71380643466227</v>
      </c>
      <c r="CE45" s="59">
        <f t="shared" si="40"/>
        <v>252.40654099948841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9.8128571428571423</v>
      </c>
      <c r="CT45" s="12">
        <f>IF('Données projet'!$A$140&gt;35,CT44+CS45-DB44,IF(A45&lt;'Données projet'!$A$140,$CQ$205^A45,IF(A45='Données projet'!$A$140,'Données projet'!$B$140,CT44+CS45-DB44)))</f>
        <v>120.31142857142858</v>
      </c>
      <c r="CU45" s="17">
        <f>CT45*VLOOKUP('Données projet'!$B$13,Paramètres!$A$1:$I$89,3,0)*VLOOKUP('Données projet'!$B$13,Paramètres!$A$1:$I$89,5,0)</f>
        <v>129.5032217142857</v>
      </c>
      <c r="CV45" s="13">
        <f t="shared" si="41"/>
        <v>33.881542889982931</v>
      </c>
      <c r="CW45" s="20">
        <f t="shared" si="13"/>
        <v>284.56179835243455</v>
      </c>
      <c r="CX45" s="59">
        <f t="shared" si="14"/>
        <v>577.89513168576786</v>
      </c>
      <c r="CY45" s="59">
        <f ca="1">AVERAGE(OFFSET($CX$3,0,0,'Données projet'!$E$13+1,1))-AVERAGE(OFFSET($H$3,0,0,'Données projet'!$E$13+1,1))</f>
        <v>502.65044103360322</v>
      </c>
      <c r="CZ45" s="59">
        <f t="shared" si="42"/>
        <v>321.65762891855167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26.117529975049159</v>
      </c>
      <c r="DH45" s="21">
        <f>EXP(-LN(2)/2)*DH44+(1-EXP(-LN(2)/2))/(LN(2)/2)*DB45*DE45*VLOOKUP('Données projet'!$B$13,Paramètres!$A$1:$I$89,3,0)*0.475*44/12</f>
        <v>3.6343688691985179</v>
      </c>
      <c r="DI45" s="22">
        <f t="shared" si="15"/>
        <v>29.751898844247677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-25.899999999999977</v>
      </c>
      <c r="DP45" s="17">
        <f>DO45*VLOOKUP('Données projet'!$B$14,Paramètres!$A$1:$I$89,3,0)*VLOOKUP('Données projet'!$B$14,Paramètres!$A$1:$I$89,5,0)</f>
        <v>-13.171703999999989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63.94726564348116</v>
      </c>
      <c r="DU45" s="59">
        <f t="shared" si="44"/>
        <v>280.8165028422905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40.22944110295601</v>
      </c>
      <c r="EB45" s="21">
        <f>EXP(-LN(2)/25)*EB44+(1-EXP(-LN(2)/25))/(LN(2)/25)*Calculateur!DW45*Calculateur!DY45*VLOOKUP('Données projet'!$B$14,Paramètres!$A$1:$I$89,3,0)*0.475*44/12</f>
        <v>4.6589032096155139</v>
      </c>
      <c r="EC45" s="21">
        <f>EXP(-LN(2)/2)*EC44+(1-EXP(-LN(2)/2))/(LN(2)/2)*DW45*DZ45*VLOOKUP('Données projet'!$B$14,Paramètres!$A$1:$I$89,3,0)*0.475*44/12</f>
        <v>1.5182439008995712E-3</v>
      </c>
      <c r="ED45" s="22">
        <f t="shared" si="18"/>
        <v>44.889862556472423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10.686250000000001</v>
      </c>
      <c r="N46" s="13">
        <f>IF('Données projet'!$A$36&gt;35,N45+M46-V45,IF(A46&lt;'Données projet'!$A$36,$K$205^A46,IF(A46='Données projet'!$A$36,'Données projet'!$B$36,N45+M46-V45)))</f>
        <v>230.21374999999992</v>
      </c>
      <c r="O46" s="13">
        <f>N46*VLOOKUP('Données projet'!$B$9,Paramètres!$A$1:$I$89,3,0)*VLOOKUP('Données projet'!$B$9,Paramètres!$A$1:$I$89,5,0)</f>
        <v>131.68226499999997</v>
      </c>
      <c r="P46" s="13">
        <f t="shared" si="33"/>
        <v>34.384790020578833</v>
      </c>
      <c r="Q46" s="20">
        <f t="shared" si="53"/>
        <v>289.2334541608414</v>
      </c>
      <c r="R46" s="59">
        <f t="shared" si="0"/>
        <v>582.56678749417472</v>
      </c>
      <c r="S46" s="59">
        <f ca="1">AVERAGE(OFFSET($R$3,0,0,'Données projet'!$E$9+1,1))-AVERAGE(OFFSET($H$3,0,0,'Données projet'!$E$9+1,1))</f>
        <v>294.9631697747962</v>
      </c>
      <c r="T46" s="59">
        <f t="shared" si="34"/>
        <v>202.04924881627716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8.0093725346238429</v>
      </c>
      <c r="AA46" s="21">
        <f>EXP(-LN(2)/25)*AA45+(1-EXP(-LN(2)/25))/(LN(2)/25)*Calculateur!V46*Calculateur!X46*VLOOKUP('Données projet'!$B$9,Paramètres!$A$1:$I$89,3,0)*0.475*44/12</f>
        <v>10.598009340969053</v>
      </c>
      <c r="AB46" s="21">
        <f>EXP(-LN(2)/2)*AB45+(1-EXP(-LN(2)/2))/(LN(2)/2)*V46*Y46*VLOOKUP('Données projet'!$B$9,Paramètres!$A$1:$I$89,3,0)*0.475*44/12</f>
        <v>0.98005039599040211</v>
      </c>
      <c r="AC46" s="22">
        <f t="shared" si="3"/>
        <v>19.5874322715833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15.714444444444442</v>
      </c>
      <c r="AI46" s="13">
        <f>IF('Données projet'!$A$62&gt;35,AI45+AH46-AQ45,IF(A46&lt;'Données projet'!$A$62,$AF$205^A46,IF(A46='Données projet'!$A$62,'Données projet'!$B$62,AI45+AH46-AQ45)))</f>
        <v>260.00888888888898</v>
      </c>
      <c r="AJ46" s="13">
        <f>AI46*VLOOKUP('Données projet'!$B$10,Paramètres!$A$1:$I$89,3,0)*VLOOKUP('Données projet'!$B$10,Paramètres!$A$1:$I$89,5,0)</f>
        <v>155.48531555555562</v>
      </c>
      <c r="AK46" s="13">
        <f t="shared" si="35"/>
        <v>39.822525633411466</v>
      </c>
      <c r="AL46" s="20">
        <f t="shared" si="4"/>
        <v>340.16115673745094</v>
      </c>
      <c r="AM46" s="59">
        <f t="shared" si="5"/>
        <v>633.4944900707842</v>
      </c>
      <c r="AN46" s="59">
        <f ca="1">AVERAGE(OFFSET($AM$3,0,0,'Données projet'!$E$10+1,1))-AVERAGE(OFFSET($H$3,0,0,'Données projet'!$E$10+1,1))</f>
        <v>349.71285006949597</v>
      </c>
      <c r="AO46" s="59">
        <f t="shared" si="36"/>
        <v>258.51550516456842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24.113732793349126</v>
      </c>
      <c r="AV46" s="21">
        <f>EXP(-LN(2)/25)*AV45+(1-EXP(-LN(2)/25))/(LN(2)/25)*Calculateur!AQ46*Calculateur!AS46*VLOOKUP('Données projet'!$B$10,Paramètres!$A$1:$I$89,3,0)*0.475*44/12</f>
        <v>16.955562403253424</v>
      </c>
      <c r="AW46" s="21">
        <f>EXP(-LN(2)/2)*AW45+(1-EXP(-LN(2)/2))/(LN(2)/2)*AQ46*AT46*VLOOKUP('Données projet'!$B$10,Paramètres!$A$1:$I$89,3,0)*0.475*44/12</f>
        <v>5.33895404258016</v>
      </c>
      <c r="AX46" s="21">
        <f t="shared" si="6"/>
        <v>46.408249239182716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4.5856818181818184</v>
      </c>
      <c r="BD46" s="12">
        <f>IF('Données projet'!$A$88&gt;35,BD45+BC46-BL45,IF(A46&lt;'Données projet'!$A$88,$BA$205^A46,IF(A46='Données projet'!$A$88,'Données projet'!$B$88,BD45+BC46-BL45)))</f>
        <v>197.18431818181838</v>
      </c>
      <c r="BE46" s="13">
        <f>BD46*VLOOKUP('Données projet'!$B$11,Paramètres!$A$1:$I$89,3,0)*VLOOKUP('Données projet'!$B$11,Paramètres!$A$1:$I$89,5,0)</f>
        <v>178.41237109090926</v>
      </c>
      <c r="BF46" s="13">
        <f t="shared" si="37"/>
        <v>44.968786068016108</v>
      </c>
      <c r="BG46" s="20">
        <f t="shared" si="7"/>
        <v>389.05551538512827</v>
      </c>
      <c r="BH46" s="59">
        <f t="shared" si="8"/>
        <v>682.38884871846153</v>
      </c>
      <c r="BI46" s="59">
        <f ca="1">AVERAGE(OFFSET($BH$3,0,0,'Données projet'!$E$11+1,1))-AVERAGE(OFFSET($H$3,0,0,'Données projet'!$E$11+1,1))</f>
        <v>490.06222615476065</v>
      </c>
      <c r="BJ46" s="59">
        <f t="shared" si="38"/>
        <v>310.43914804089906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139.75491919999996</v>
      </c>
      <c r="CA46" s="13">
        <f t="shared" si="39"/>
        <v>36.240855201325502</v>
      </c>
      <c r="CB46" s="20">
        <f t="shared" si="10"/>
        <v>306.52597374897516</v>
      </c>
      <c r="CC46" s="59">
        <f t="shared" si="11"/>
        <v>599.85930708230853</v>
      </c>
      <c r="CD46" s="59">
        <f ca="1">AVERAGE(OFFSET($CC$3,0,0,'Données projet'!$E$12+1,1))-AVERAGE(OFFSET($H$3,0,0,'Données projet'!$E$12+1,1))</f>
        <v>510.71380643466227</v>
      </c>
      <c r="CE46" s="59">
        <f t="shared" si="40"/>
        <v>252.40654099948841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9.8128571428571423</v>
      </c>
      <c r="CT46" s="12">
        <f>IF('Données projet'!$A$140&gt;35,CT45+CS46-DB45,IF(A46&lt;'Données projet'!$A$140,$CQ$205^A46,IF(A46='Données projet'!$A$140,'Données projet'!$B$140,CT45+CS46-DB45)))</f>
        <v>130.12428571428572</v>
      </c>
      <c r="CU46" s="17">
        <f>CT46*VLOOKUP('Données projet'!$B$13,Paramètres!$A$1:$I$89,3,0)*VLOOKUP('Données projet'!$B$13,Paramètres!$A$1:$I$89,5,0)</f>
        <v>140.06578114285713</v>
      </c>
      <c r="CV46" s="13">
        <f t="shared" si="41"/>
        <v>36.312074619085465</v>
      </c>
      <c r="CW46" s="20">
        <f t="shared" si="13"/>
        <v>307.1914321187167</v>
      </c>
      <c r="CX46" s="59">
        <f t="shared" si="14"/>
        <v>600.52476545205002</v>
      </c>
      <c r="CY46" s="59">
        <f ca="1">AVERAGE(OFFSET($CX$3,0,0,'Données projet'!$E$13+1,1))-AVERAGE(OFFSET($H$3,0,0,'Données projet'!$E$13+1,1))</f>
        <v>502.65044103360322</v>
      </c>
      <c r="CZ46" s="59">
        <f t="shared" si="42"/>
        <v>321.65762891855167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25.403344744420231</v>
      </c>
      <c r="DH46" s="21">
        <f>EXP(-LN(2)/2)*DH45+(1-EXP(-LN(2)/2))/(LN(2)/2)*DB46*DE46*VLOOKUP('Données projet'!$B$13,Paramètres!$A$1:$I$89,3,0)*0.475*44/12</f>
        <v>2.5698868727435569</v>
      </c>
      <c r="DI46" s="22">
        <f t="shared" si="15"/>
        <v>27.973231617163787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-25.899999999999977</v>
      </c>
      <c r="DP46" s="17">
        <f>DO46*VLOOKUP('Données projet'!$B$14,Paramètres!$A$1:$I$89,3,0)*VLOOKUP('Données projet'!$B$14,Paramètres!$A$1:$I$89,5,0)</f>
        <v>-13.171703999999989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63.94726564348116</v>
      </c>
      <c r="DU46" s="59">
        <f t="shared" si="44"/>
        <v>280.8165028422905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39.440566300463232</v>
      </c>
      <c r="EB46" s="21">
        <f>EXP(-LN(2)/25)*EB45+(1-EXP(-LN(2)/25))/(LN(2)/25)*Calculateur!DW46*Calculateur!DY46*VLOOKUP('Données projet'!$B$14,Paramètres!$A$1:$I$89,3,0)*0.475*44/12</f>
        <v>4.531505256347506</v>
      </c>
      <c r="EC46" s="21">
        <f>EXP(-LN(2)/2)*EC45+(1-EXP(-LN(2)/2))/(LN(2)/2)*DW46*DZ46*VLOOKUP('Données projet'!$B$14,Paramètres!$A$1:$I$89,3,0)*0.475*44/12</f>
        <v>1.0735605578212034E-3</v>
      </c>
      <c r="ED46" s="22">
        <f t="shared" si="18"/>
        <v>43.97314511736856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240.9</v>
      </c>
      <c r="L47" s="12">
        <f>VLOOKUP(A47,'Données projet'!$A$35:$I$55,9,0)</f>
        <v>10.686250000000001</v>
      </c>
      <c r="M47" s="12">
        <f t="array" ref="M47">INDEX(L:L,MIN(IF(ISNUMBER(L47:L243),ROW(L47:L243),"")))</f>
        <v>10.686250000000001</v>
      </c>
      <c r="N47" s="13">
        <f>IF('Données projet'!$A$36&gt;35,N46+M47-V46,IF(A47&lt;'Données projet'!$A$36,$K$205^A47,IF(A47='Données projet'!$A$36,'Données projet'!$B$36,N46+M47-V46)))</f>
        <v>240.89999999999992</v>
      </c>
      <c r="O47" s="13">
        <f>N47*VLOOKUP('Données projet'!$B$9,Paramètres!$A$1:$I$89,3,0)*VLOOKUP('Données projet'!$B$9,Paramètres!$A$1:$I$89,5,0)</f>
        <v>137.79479999999995</v>
      </c>
      <c r="P47" s="13">
        <f t="shared" si="33"/>
        <v>35.79135928840963</v>
      </c>
      <c r="Q47" s="20">
        <f t="shared" si="53"/>
        <v>302.32922742731336</v>
      </c>
      <c r="R47" s="59">
        <f t="shared" si="0"/>
        <v>595.66256076064667</v>
      </c>
      <c r="S47" s="59">
        <f ca="1">AVERAGE(OFFSET($R$3,0,0,'Données projet'!$E$9+1,1))-AVERAGE(OFFSET($H$3,0,0,'Données projet'!$E$9+1,1))</f>
        <v>294.9631697747962</v>
      </c>
      <c r="T47" s="59">
        <f t="shared" si="34"/>
        <v>202.04924881627716</v>
      </c>
      <c r="U47" s="15">
        <f>IF(ISNA(VLOOKUP(A47,'Données projet'!$A$35:$I$55,3,0)),0,VLOOKUP(A47,'Données projet'!$A$35:$I$55,3,0))</f>
        <v>4</v>
      </c>
      <c r="V47" s="15">
        <f>IF(ISNA(VLOOKUP(A47,'Données projet'!$A$35:$I$55,4,0)),0,VLOOKUP(A47,'Données projet'!$A$35:$I$55,4,0))</f>
        <v>42.830000000000013</v>
      </c>
      <c r="W47" s="16">
        <f>IF(ISNA(VLOOKUP(A47,'Données projet'!$A$35:$I$55,5,0)),0%,VLOOKUP(A47,'Données projet'!$A$35:$I$55,5,0)*VLOOKUP('Données projet'!$B$9,Paramètres!$A$1:$I$89,7,0))</f>
        <v>0.27</v>
      </c>
      <c r="X47" s="16">
        <f>IF(ISNA(VLOOKUP(A47,'Données projet'!$A$35:$I$55,6,0)),0%,VLOOKUP(A47,'Données projet'!$A$35:$I$55,6,0)*VLOOKUP('Données projet'!$B$9,Paramètres!$A$1:$I$89,7,0))</f>
        <v>9.0000000000000011E-2</v>
      </c>
      <c r="Y47" s="16">
        <f>IF(ISNA(VLOOKUP(A47,'Données projet'!$A$35:$I$55,7,0)),0%,VLOOKUP(A47,'Données projet'!$A$35:$I$55,7,0))</f>
        <v>0.2</v>
      </c>
      <c r="Z47" s="21">
        <f>EXP(-LN(2)/35)*Z46+(1-EXP(-LN(2)/35))/(LN(2)/35)*V47*W47*VLOOKUP('Données projet'!$B$9,Paramètres!$A$1:$I$89,3,0)*0.475*44/12</f>
        <v>16.627093363407621</v>
      </c>
      <c r="AA47" s="21">
        <f>EXP(-LN(2)/25)*AA46+(1-EXP(-LN(2)/25))/(LN(2)/25)*Calculateur!V47*Calculateur!X47*VLOOKUP('Données projet'!$B$9,Paramètres!$A$1:$I$89,3,0)*0.475*44/12</f>
        <v>13.221616247437639</v>
      </c>
      <c r="AB47" s="21">
        <f>EXP(-LN(2)/2)*AB46+(1-EXP(-LN(2)/2))/(LN(2)/2)*V47*Y47*VLOOKUP('Données projet'!$B$9,Paramètres!$A$1:$I$89,3,0)*0.475*44/12</f>
        <v>6.2406577451792735</v>
      </c>
      <c r="AC47" s="22">
        <f t="shared" si="3"/>
        <v>36.089367356024539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15.714444444444442</v>
      </c>
      <c r="AI47" s="13">
        <f>IF('Données projet'!$A$62&gt;35,AI46+AH47-AQ46,IF(A47&lt;'Données projet'!$A$62,$AF$205^A47,IF(A47='Données projet'!$A$62,'Données projet'!$B$62,AI46+AH47-AQ46)))</f>
        <v>275.72333333333341</v>
      </c>
      <c r="AJ47" s="13">
        <f>AI47*VLOOKUP('Données projet'!$B$10,Paramètres!$A$1:$I$89,3,0)*VLOOKUP('Données projet'!$B$10,Paramètres!$A$1:$I$89,5,0)</f>
        <v>164.88255333333339</v>
      </c>
      <c r="AK47" s="13">
        <f t="shared" si="35"/>
        <v>41.941854905576896</v>
      </c>
      <c r="AL47" s="20">
        <f t="shared" si="4"/>
        <v>360.2191776827687</v>
      </c>
      <c r="AM47" s="59">
        <f t="shared" si="5"/>
        <v>653.55251101610202</v>
      </c>
      <c r="AN47" s="59">
        <f ca="1">AVERAGE(OFFSET($AM$3,0,0,'Données projet'!$E$10+1,1))-AVERAGE(OFFSET($H$3,0,0,'Données projet'!$E$10+1,1))</f>
        <v>349.71285006949597</v>
      </c>
      <c r="AO47" s="59">
        <f t="shared" si="36"/>
        <v>258.51550516456842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23.640877201196265</v>
      </c>
      <c r="AV47" s="21">
        <f>EXP(-LN(2)/25)*AV46+(1-EXP(-LN(2)/25))/(LN(2)/25)*Calculateur!AQ47*Calculateur!AS47*VLOOKUP('Données projet'!$B$10,Paramètres!$A$1:$I$89,3,0)*0.475*44/12</f>
        <v>16.491911657682184</v>
      </c>
      <c r="AW47" s="21">
        <f>EXP(-LN(2)/2)*AW46+(1-EXP(-LN(2)/2))/(LN(2)/2)*AQ47*AT47*VLOOKUP('Données projet'!$B$10,Paramètres!$A$1:$I$89,3,0)*0.475*44/12</f>
        <v>3.7752106079517627</v>
      </c>
      <c r="AX47" s="21">
        <f t="shared" si="6"/>
        <v>43.907999466830212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4.5856818181818184</v>
      </c>
      <c r="BC47" s="12">
        <f t="array" ref="BC47">INDEX(BB:BB,MIN(IF(ISNUMBER(BB47:BB243),ROW(BB47:BB243),"")))</f>
        <v>4.5856818181818184</v>
      </c>
      <c r="BD47" s="12">
        <f>IF('Données projet'!$A$88&gt;35,BD46+BC47-BL46,IF(A47&lt;'Données projet'!$A$88,$BA$205^A47,IF(A47='Données projet'!$A$88,'Données projet'!$B$88,BD46+BC47-BL46)))</f>
        <v>201.77000000000021</v>
      </c>
      <c r="BE47" s="13">
        <f>BD47*VLOOKUP('Données projet'!$B$11,Paramètres!$A$1:$I$89,3,0)*VLOOKUP('Données projet'!$B$11,Paramètres!$A$1:$I$89,5,0)</f>
        <v>182.56149600000018</v>
      </c>
      <c r="BF47" s="13">
        <f t="shared" si="37"/>
        <v>45.891602325617114</v>
      </c>
      <c r="BG47" s="20">
        <f t="shared" si="7"/>
        <v>397.8891462504501</v>
      </c>
      <c r="BH47" s="59">
        <f t="shared" si="8"/>
        <v>691.22247958378341</v>
      </c>
      <c r="BI47" s="59">
        <f ca="1">AVERAGE(OFFSET($BH$3,0,0,'Données projet'!$E$11+1,1))-AVERAGE(OFFSET($H$3,0,0,'Données projet'!$E$11+1,1))</f>
        <v>490.06222615476065</v>
      </c>
      <c r="BJ47" s="59">
        <f t="shared" si="38"/>
        <v>310.43914804089906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76.680000000000007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0.34400000000000003</v>
      </c>
      <c r="BO47" s="16">
        <f>IF(ISNA(VLOOKUP(A47,'Données projet'!$A$87:$I$107,7,0)),0%,VLOOKUP(A47,'Données projet'!$A$87:$I$107,7,0))</f>
        <v>0.2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26.280092586651165</v>
      </c>
      <c r="BR47" s="21">
        <f>EXP(-LN(2)/2)*BR46+(1-EXP(-LN(2)/2))/(LN(2)/2)*BL47*BO47*VLOOKUP('Données projet'!$B$11,Paramètres!$A$1:$I$89,3,0)*0.475*44/12</f>
        <v>13.092391544208875</v>
      </c>
      <c r="BS47" s="22">
        <f t="shared" si="9"/>
        <v>39.372484130860038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143.00503359999996</v>
      </c>
      <c r="CA47" s="13">
        <f t="shared" si="39"/>
        <v>36.984563299617569</v>
      </c>
      <c r="CB47" s="20">
        <f t="shared" si="10"/>
        <v>313.48188126683385</v>
      </c>
      <c r="CC47" s="59">
        <f t="shared" si="11"/>
        <v>606.81521460016711</v>
      </c>
      <c r="CD47" s="59">
        <f ca="1">AVERAGE(OFFSET($CC$3,0,0,'Données projet'!$E$12+1,1))-AVERAGE(OFFSET($H$3,0,0,'Données projet'!$E$12+1,1))</f>
        <v>510.71380643466227</v>
      </c>
      <c r="CE47" s="59">
        <f t="shared" si="40"/>
        <v>252.40654099948841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9.8128571428571423</v>
      </c>
      <c r="CT47" s="12">
        <f>IF('Données projet'!$A$140&gt;35,CT46+CS47-DB46,IF(A47&lt;'Données projet'!$A$140,$CQ$205^A47,IF(A47='Données projet'!$A$140,'Données projet'!$B$140,CT46+CS47-DB46)))</f>
        <v>139.93714285714287</v>
      </c>
      <c r="CU47" s="17">
        <f>CT47*VLOOKUP('Données projet'!$B$13,Paramètres!$A$1:$I$89,3,0)*VLOOKUP('Données projet'!$B$13,Paramètres!$A$1:$I$89,5,0)</f>
        <v>150.62834057142859</v>
      </c>
      <c r="CV47" s="13">
        <f t="shared" si="41"/>
        <v>38.721343512275389</v>
      </c>
      <c r="CW47" s="20">
        <f t="shared" si="13"/>
        <v>329.78403311245108</v>
      </c>
      <c r="CX47" s="59">
        <f t="shared" si="14"/>
        <v>623.11736644578446</v>
      </c>
      <c r="CY47" s="59">
        <f ca="1">AVERAGE(OFFSET($CX$3,0,0,'Données projet'!$E$13+1,1))-AVERAGE(OFFSET($H$3,0,0,'Données projet'!$E$13+1,1))</f>
        <v>502.65044103360322</v>
      </c>
      <c r="CZ47" s="59">
        <f t="shared" si="42"/>
        <v>321.65762891855167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24.708688946480219</v>
      </c>
      <c r="DH47" s="21">
        <f>EXP(-LN(2)/2)*DH46+(1-EXP(-LN(2)/2))/(LN(2)/2)*DB47*DE47*VLOOKUP('Données projet'!$B$13,Paramètres!$A$1:$I$89,3,0)*0.475*44/12</f>
        <v>1.8171844345992594</v>
      </c>
      <c r="DI47" s="22">
        <f t="shared" si="15"/>
        <v>26.525873381079478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-25.899999999999977</v>
      </c>
      <c r="DP47" s="17">
        <f>DO47*VLOOKUP('Données projet'!$B$14,Paramètres!$A$1:$I$89,3,0)*VLOOKUP('Données projet'!$B$14,Paramètres!$A$1:$I$89,5,0)</f>
        <v>-13.171703999999989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63.94726564348116</v>
      </c>
      <c r="DU47" s="59">
        <f t="shared" si="44"/>
        <v>280.8165028422905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38.667160851681224</v>
      </c>
      <c r="EB47" s="21">
        <f>EXP(-LN(2)/25)*EB46+(1-EXP(-LN(2)/25))/(LN(2)/25)*Calculateur!DW47*Calculateur!DY47*VLOOKUP('Données projet'!$B$14,Paramètres!$A$1:$I$89,3,0)*0.475*44/12</f>
        <v>4.4075910068111792</v>
      </c>
      <c r="EC47" s="21">
        <f>EXP(-LN(2)/2)*EC46+(1-EXP(-LN(2)/2))/(LN(2)/2)*DW47*DZ47*VLOOKUP('Données projet'!$B$14,Paramètres!$A$1:$I$89,3,0)*0.475*44/12</f>
        <v>7.5912195044978558E-4</v>
      </c>
      <c r="ED47" s="22">
        <f t="shared" si="18"/>
        <v>43.075510980442857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9.7650000000000006</v>
      </c>
      <c r="N48" s="13">
        <f>IF('Données projet'!$A$36&gt;35,N47+M48-V47,IF(A48&lt;'Données projet'!$A$36,$K$205^A48,IF(A48='Données projet'!$A$36,'Données projet'!$B$36,N47+M48-V47)))</f>
        <v>207.83499999999989</v>
      </c>
      <c r="O48" s="13">
        <f>N48*VLOOKUP('Données projet'!$B$9,Paramètres!$A$1:$I$89,3,0)*VLOOKUP('Données projet'!$B$9,Paramètres!$A$1:$I$89,5,0)</f>
        <v>118.88161999999996</v>
      </c>
      <c r="P48" s="13">
        <f t="shared" si="33"/>
        <v>31.414013546480771</v>
      </c>
      <c r="Q48" s="20">
        <f t="shared" si="53"/>
        <v>261.76489509345396</v>
      </c>
      <c r="R48" s="59">
        <f t="shared" si="0"/>
        <v>555.09822842678727</v>
      </c>
      <c r="S48" s="59">
        <f ca="1">AVERAGE(OFFSET($R$3,0,0,'Données projet'!$E$9+1,1))-AVERAGE(OFFSET($H$3,0,0,'Données projet'!$E$9+1,1))</f>
        <v>294.9631697747962</v>
      </c>
      <c r="T48" s="59">
        <f t="shared" si="34"/>
        <v>202.04924881627716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16.301046204076755</v>
      </c>
      <c r="AA48" s="21">
        <f>EXP(-LN(2)/25)*AA47+(1-EXP(-LN(2)/25))/(LN(2)/25)*Calculateur!V48*Calculateur!X48*VLOOKUP('Données projet'!$B$9,Paramètres!$A$1:$I$89,3,0)*0.475*44/12</f>
        <v>12.860070455856876</v>
      </c>
      <c r="AB48" s="21">
        <f>EXP(-LN(2)/2)*AB47+(1-EXP(-LN(2)/2))/(LN(2)/2)*V48*Y48*VLOOKUP('Données projet'!$B$9,Paramètres!$A$1:$I$89,3,0)*0.475*44/12</f>
        <v>4.4128114106806136</v>
      </c>
      <c r="AC48" s="22">
        <f t="shared" si="3"/>
        <v>33.573928070614244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15.714444444444442</v>
      </c>
      <c r="AI48" s="13">
        <f>IF('Données projet'!$A$62&gt;35,AI47+AH48-AQ47,IF(A48&lt;'Données projet'!$A$62,$AF$205^A48,IF(A48='Données projet'!$A$62,'Données projet'!$B$62,AI47+AH48-AQ47)))</f>
        <v>291.43777777777785</v>
      </c>
      <c r="AJ48" s="13">
        <f>AI48*VLOOKUP('Données projet'!$B$10,Paramètres!$A$1:$I$89,3,0)*VLOOKUP('Données projet'!$B$10,Paramètres!$A$1:$I$89,5,0)</f>
        <v>174.27979111111117</v>
      </c>
      <c r="AK48" s="13">
        <f t="shared" si="35"/>
        <v>44.047162970671543</v>
      </c>
      <c r="AL48" s="20">
        <f t="shared" si="4"/>
        <v>380.25277835910487</v>
      </c>
      <c r="AM48" s="59">
        <f t="shared" si="5"/>
        <v>673.58611169243818</v>
      </c>
      <c r="AN48" s="59">
        <f ca="1">AVERAGE(OFFSET($AM$3,0,0,'Données projet'!$E$10+1,1))-AVERAGE(OFFSET($H$3,0,0,'Données projet'!$E$10+1,1))</f>
        <v>349.71285006949597</v>
      </c>
      <c r="AO48" s="59">
        <f t="shared" si="36"/>
        <v>258.51550516456842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23.17729401879209</v>
      </c>
      <c r="AV48" s="21">
        <f>EXP(-LN(2)/25)*AV47+(1-EXP(-LN(2)/25))/(LN(2)/25)*Calculateur!AQ48*Calculateur!AS48*VLOOKUP('Données projet'!$B$10,Paramètres!$A$1:$I$89,3,0)*0.475*44/12</f>
        <v>16.040939466130922</v>
      </c>
      <c r="AW48" s="21">
        <f>EXP(-LN(2)/2)*AW47+(1-EXP(-LN(2)/2))/(LN(2)/2)*AQ48*AT48*VLOOKUP('Données projet'!$B$10,Paramètres!$A$1:$I$89,3,0)*0.475*44/12</f>
        <v>2.6694770212900805</v>
      </c>
      <c r="AX48" s="21">
        <f t="shared" si="6"/>
        <v>41.887710506213089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9.6799999999999979</v>
      </c>
      <c r="BD48" s="12">
        <f>IF('Données projet'!$A$88&gt;35,BD47+BC48-BL47,IF(A48&lt;'Données projet'!$A$88,$BA$205^A48,IF(A48='Données projet'!$A$88,'Données projet'!$B$88,BD47+BC48-BL47)))</f>
        <v>134.77000000000021</v>
      </c>
      <c r="BE48" s="13">
        <f>BD48*VLOOKUP('Données projet'!$B$11,Paramètres!$A$1:$I$89,3,0)*VLOOKUP('Données projet'!$B$11,Paramètres!$A$1:$I$89,5,0)</f>
        <v>121.93989600000019</v>
      </c>
      <c r="BF48" s="13">
        <f t="shared" si="37"/>
        <v>32.127025032251971</v>
      </c>
      <c r="BG48" s="20">
        <f t="shared" si="7"/>
        <v>268.3332207978392</v>
      </c>
      <c r="BH48" s="59">
        <f t="shared" si="8"/>
        <v>561.66655413117246</v>
      </c>
      <c r="BI48" s="59">
        <f ca="1">AVERAGE(OFFSET($BH$3,0,0,'Données projet'!$E$11+1,1))-AVERAGE(OFFSET($H$3,0,0,'Données projet'!$E$11+1,1))</f>
        <v>490.06222615476065</v>
      </c>
      <c r="BJ48" s="59">
        <f t="shared" si="38"/>
        <v>310.43914804089906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25.561462072859182</v>
      </c>
      <c r="BR48" s="21">
        <f>EXP(-LN(2)/2)*BR47+(1-EXP(-LN(2)/2))/(LN(2)/2)*BL48*BO48*VLOOKUP('Données projet'!$B$11,Paramètres!$A$1:$I$89,3,0)*0.475*44/12</f>
        <v>9.2577188428595107</v>
      </c>
      <c r="BS48" s="22">
        <f t="shared" si="9"/>
        <v>34.81918091571869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146.25514799999996</v>
      </c>
      <c r="CA48" s="13">
        <f t="shared" si="39"/>
        <v>37.726306373245144</v>
      </c>
      <c r="CB48" s="20">
        <f t="shared" si="10"/>
        <v>320.43436636673522</v>
      </c>
      <c r="CC48" s="59">
        <f t="shared" si="11"/>
        <v>613.76769970006853</v>
      </c>
      <c r="CD48" s="59">
        <f ca="1">AVERAGE(OFFSET($CC$3,0,0,'Données projet'!$E$12+1,1))-AVERAGE(OFFSET($H$3,0,0,'Données projet'!$E$12+1,1))</f>
        <v>510.71380643466227</v>
      </c>
      <c r="CE48" s="59">
        <f t="shared" si="40"/>
        <v>252.40654099948841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149.75</v>
      </c>
      <c r="CR48" s="12">
        <f>VLOOKUP(A48,'Données projet'!$A$139:$I$159,9,0)</f>
        <v>9.8128571428571423</v>
      </c>
      <c r="CS48" s="12">
        <f t="array" ref="CS48">INDEX(CR:CR,MIN(IF(ISNUMBER(CR48:CR244),ROW(CR48:CR244),"")))</f>
        <v>9.8128571428571423</v>
      </c>
      <c r="CT48" s="12">
        <f>IF('Données projet'!$A$140&gt;35,CT47+CS48-DB47,IF(A48&lt;'Données projet'!$A$140,$CQ$205^A48,IF(A48='Données projet'!$A$140,'Données projet'!$B$140,CT47+CS48-DB47)))</f>
        <v>149.75000000000003</v>
      </c>
      <c r="CU48" s="17">
        <f>CT48*VLOOKUP('Données projet'!$B$13,Paramètres!$A$1:$I$89,3,0)*VLOOKUP('Données projet'!$B$13,Paramètres!$A$1:$I$89,5,0)</f>
        <v>161.19090000000003</v>
      </c>
      <c r="CV48" s="13">
        <f t="shared" si="41"/>
        <v>41.111010187440861</v>
      </c>
      <c r="CW48" s="20">
        <f t="shared" si="13"/>
        <v>352.3424935764595</v>
      </c>
      <c r="CX48" s="59">
        <f t="shared" si="14"/>
        <v>645.67582690979282</v>
      </c>
      <c r="CY48" s="59">
        <f ca="1">AVERAGE(OFFSET($CX$3,0,0,'Données projet'!$E$13+1,1))-AVERAGE(OFFSET($H$3,0,0,'Données projet'!$E$13+1,1))</f>
        <v>502.65044103360322</v>
      </c>
      <c r="CZ48" s="59">
        <f t="shared" si="42"/>
        <v>321.65762891855167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41.69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0.34400000000000003</v>
      </c>
      <c r="DE48" s="16">
        <f>IF(ISNA(VLOOKUP(A48,'Données projet'!$A$139:$I$159,7,0)),0%,VLOOKUP(A48,'Données projet'!$A$139:$I$159,7,0))</f>
        <v>0.2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41.031026752604731</v>
      </c>
      <c r="DH48" s="21">
        <f>EXP(-LN(2)/2)*DH47+(1-EXP(-LN(2)/2))/(LN(2)/2)*DB48*DE48*VLOOKUP('Données projet'!$B$13,Paramètres!$A$1:$I$89,3,0)*0.475*44/12</f>
        <v>9.7531193847795556</v>
      </c>
      <c r="DI48" s="22">
        <f t="shared" si="15"/>
        <v>50.784146137384283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-25.899999999999977</v>
      </c>
      <c r="DP48" s="17">
        <f>DO48*VLOOKUP('Données projet'!$B$14,Paramètres!$A$1:$I$89,3,0)*VLOOKUP('Données projet'!$B$14,Paramètres!$A$1:$I$89,5,0)</f>
        <v>-13.171703999999989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63.94726564348116</v>
      </c>
      <c r="DU48" s="59">
        <f t="shared" si="44"/>
        <v>280.8165028422905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37.908921412019083</v>
      </c>
      <c r="EB48" s="21">
        <f>EXP(-LN(2)/25)*EB47+(1-EXP(-LN(2)/25))/(LN(2)/25)*Calculateur!DW48*Calculateur!DY48*VLOOKUP('Données projet'!$B$14,Paramètres!$A$1:$I$89,3,0)*0.475*44/12</f>
        <v>4.2870651989447905</v>
      </c>
      <c r="EC48" s="21">
        <f>EXP(-LN(2)/2)*EC47+(1-EXP(-LN(2)/2))/(LN(2)/2)*DW48*DZ48*VLOOKUP('Données projet'!$B$14,Paramètres!$A$1:$I$89,3,0)*0.475*44/12</f>
        <v>5.3678027891060169E-4</v>
      </c>
      <c r="ED48" s="22">
        <f t="shared" si="18"/>
        <v>42.196523391242785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9.7650000000000006</v>
      </c>
      <c r="N49" s="13">
        <f>IF('Données projet'!$A$36&gt;35,N48+M49-V48,IF(A49&lt;'Données projet'!$A$36,$K$205^A49,IF(A49='Données projet'!$A$36,'Données projet'!$B$36,N48+M49-V48)))</f>
        <v>217.59999999999991</v>
      </c>
      <c r="O49" s="13">
        <f>N49*VLOOKUP('Données projet'!$B$9,Paramètres!$A$1:$I$89,3,0)*VLOOKUP('Données projet'!$B$9,Paramètres!$A$1:$I$89,5,0)</f>
        <v>124.46719999999995</v>
      </c>
      <c r="P49" s="13">
        <f t="shared" si="33"/>
        <v>32.714673629943292</v>
      </c>
      <c r="Q49" s="20">
        <f t="shared" si="53"/>
        <v>273.75842990548449</v>
      </c>
      <c r="R49" s="59">
        <f t="shared" si="0"/>
        <v>567.09176323881775</v>
      </c>
      <c r="S49" s="59">
        <f ca="1">AVERAGE(OFFSET($R$3,0,0,'Données projet'!$E$9+1,1))-AVERAGE(OFFSET($H$3,0,0,'Données projet'!$E$9+1,1))</f>
        <v>294.9631697747962</v>
      </c>
      <c r="T49" s="59">
        <f t="shared" si="34"/>
        <v>202.04924881627716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15.981392630671239</v>
      </c>
      <c r="AA49" s="21">
        <f>EXP(-LN(2)/25)*AA48+(1-EXP(-LN(2)/25))/(LN(2)/25)*Calculateur!V49*Calculateur!X49*VLOOKUP('Données projet'!$B$9,Paramètres!$A$1:$I$89,3,0)*0.475*44/12</f>
        <v>12.508411152959757</v>
      </c>
      <c r="AB49" s="21">
        <f>EXP(-LN(2)/2)*AB48+(1-EXP(-LN(2)/2))/(LN(2)/2)*V49*Y49*VLOOKUP('Données projet'!$B$9,Paramètres!$A$1:$I$89,3,0)*0.475*44/12</f>
        <v>3.1203288725896368</v>
      </c>
      <c r="AC49" s="22">
        <f t="shared" si="3"/>
        <v>31.610132656220635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15.714444444444442</v>
      </c>
      <c r="AI49" s="13">
        <f>IF('Données projet'!$A$62&gt;35,AI48+AH49-AQ48,IF(A49&lt;'Données projet'!$A$62,$AF$205^A49,IF(A49='Données projet'!$A$62,'Données projet'!$B$62,AI48+AH49-AQ48)))</f>
        <v>307.15222222222229</v>
      </c>
      <c r="AJ49" s="13">
        <f>AI49*VLOOKUP('Données projet'!$B$10,Paramètres!$A$1:$I$89,3,0)*VLOOKUP('Données projet'!$B$10,Paramètres!$A$1:$I$89,5,0)</f>
        <v>183.67702888888894</v>
      </c>
      <c r="AK49" s="13">
        <f t="shared" si="35"/>
        <v>46.139292054148385</v>
      </c>
      <c r="AL49" s="20">
        <f t="shared" si="4"/>
        <v>400.2634256424567</v>
      </c>
      <c r="AM49" s="59">
        <f t="shared" si="5"/>
        <v>693.59675897578995</v>
      </c>
      <c r="AN49" s="59">
        <f ca="1">AVERAGE(OFFSET($AM$3,0,0,'Données projet'!$E$10+1,1))-AVERAGE(OFFSET($H$3,0,0,'Données projet'!$E$10+1,1))</f>
        <v>349.71285006949597</v>
      </c>
      <c r="AO49" s="59">
        <f t="shared" si="36"/>
        <v>258.51550516456842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22.72280141983704</v>
      </c>
      <c r="AV49" s="21">
        <f>EXP(-LN(2)/25)*AV48+(1-EXP(-LN(2)/25))/(LN(2)/25)*Calculateur!AQ49*Calculateur!AS49*VLOOKUP('Données projet'!$B$10,Paramètres!$A$1:$I$89,3,0)*0.475*44/12</f>
        <v>15.602299132873227</v>
      </c>
      <c r="AW49" s="21">
        <f>EXP(-LN(2)/2)*AW48+(1-EXP(-LN(2)/2))/(LN(2)/2)*AQ49*AT49*VLOOKUP('Données projet'!$B$10,Paramètres!$A$1:$I$89,3,0)*0.475*44/12</f>
        <v>1.8876053039758818</v>
      </c>
      <c r="AX49" s="21">
        <f t="shared" si="6"/>
        <v>40.212705856686149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9.6799999999999979</v>
      </c>
      <c r="BD49" s="12">
        <f>IF('Données projet'!$A$88&gt;35,BD48+BC49-BL48,IF(A49&lt;'Données projet'!$A$88,$BA$205^A49,IF(A49='Données projet'!$A$88,'Données projet'!$B$88,BD48+BC49-BL48)))</f>
        <v>144.45000000000022</v>
      </c>
      <c r="BE49" s="13">
        <f>BD49*VLOOKUP('Données projet'!$B$11,Paramètres!$A$1:$I$89,3,0)*VLOOKUP('Données projet'!$B$11,Paramètres!$A$1:$I$89,5,0)</f>
        <v>130.69836000000018</v>
      </c>
      <c r="BF49" s="13">
        <f t="shared" si="37"/>
        <v>34.157679472020803</v>
      </c>
      <c r="BG49" s="20">
        <f t="shared" si="7"/>
        <v>287.12426874710326</v>
      </c>
      <c r="BH49" s="59">
        <f t="shared" si="8"/>
        <v>580.45760208043657</v>
      </c>
      <c r="BI49" s="59">
        <f ca="1">AVERAGE(OFFSET($BH$3,0,0,'Données projet'!$E$11+1,1))-AVERAGE(OFFSET($H$3,0,0,'Données projet'!$E$11+1,1))</f>
        <v>490.06222615476065</v>
      </c>
      <c r="BJ49" s="59">
        <f t="shared" si="38"/>
        <v>310.43914804089906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24.862482548257979</v>
      </c>
      <c r="BR49" s="21">
        <f>EXP(-LN(2)/2)*BR48+(1-EXP(-LN(2)/2))/(LN(2)/2)*BL49*BO49*VLOOKUP('Données projet'!$B$11,Paramètres!$A$1:$I$89,3,0)*0.475*44/12</f>
        <v>6.5461957721044381</v>
      </c>
      <c r="BS49" s="22">
        <f t="shared" si="9"/>
        <v>31.408678320362419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149.50526239999994</v>
      </c>
      <c r="CA49" s="13">
        <f t="shared" si="39"/>
        <v>38.466133117388303</v>
      </c>
      <c r="CB49" s="20">
        <f t="shared" si="10"/>
        <v>327.38351385945117</v>
      </c>
      <c r="CC49" s="59">
        <f t="shared" si="11"/>
        <v>620.71684719278448</v>
      </c>
      <c r="CD49" s="59">
        <f ca="1">AVERAGE(OFFSET($CC$3,0,0,'Données projet'!$E$12+1,1))-AVERAGE(OFFSET($H$3,0,0,'Données projet'!$E$12+1,1))</f>
        <v>510.71380643466227</v>
      </c>
      <c r="CE49" s="59">
        <f t="shared" si="40"/>
        <v>252.40654099948841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10.001428571428571</v>
      </c>
      <c r="CT49" s="12">
        <f>IF('Données projet'!$A$140&gt;35,CT48+CS49-DB48,IF(A49&lt;'Données projet'!$A$140,$CQ$205^A49,IF(A49='Données projet'!$A$140,'Données projet'!$B$140,CT48+CS49-DB48)))</f>
        <v>118.06142857142859</v>
      </c>
      <c r="CU49" s="17">
        <f>CT49*VLOOKUP('Données projet'!$B$13,Paramètres!$A$1:$I$89,3,0)*VLOOKUP('Données projet'!$B$13,Paramètres!$A$1:$I$89,5,0)</f>
        <v>127.08132171428572</v>
      </c>
      <c r="CV49" s="13">
        <f t="shared" si="41"/>
        <v>33.321049778221109</v>
      </c>
      <c r="CW49" s="20">
        <f t="shared" si="13"/>
        <v>279.36746368278273</v>
      </c>
      <c r="CX49" s="59">
        <f t="shared" si="14"/>
        <v>572.70079701611598</v>
      </c>
      <c r="CY49" s="59">
        <f ca="1">AVERAGE(OFFSET($CX$3,0,0,'Données projet'!$E$13+1,1))-AVERAGE(OFFSET($H$3,0,0,'Données projet'!$E$13+1,1))</f>
        <v>502.65044103360322</v>
      </c>
      <c r="CZ49" s="59">
        <f t="shared" si="42"/>
        <v>321.65762891855167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39.909031168326834</v>
      </c>
      <c r="DH49" s="21">
        <f>EXP(-LN(2)/2)*DH48+(1-EXP(-LN(2)/2))/(LN(2)/2)*DB49*DE49*VLOOKUP('Données projet'!$B$13,Paramètres!$A$1:$I$89,3,0)*0.475*44/12</f>
        <v>6.8964968546995928</v>
      </c>
      <c r="DI49" s="22">
        <f t="shared" si="15"/>
        <v>46.805528023026426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-25.899999999999977</v>
      </c>
      <c r="DP49" s="17">
        <f>DO49*VLOOKUP('Données projet'!$B$14,Paramètres!$A$1:$I$89,3,0)*VLOOKUP('Données projet'!$B$14,Paramètres!$A$1:$I$89,5,0)</f>
        <v>-13.171703999999989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63.94726564348116</v>
      </c>
      <c r="DU49" s="59">
        <f t="shared" si="44"/>
        <v>280.8165028422905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37.165550585288329</v>
      </c>
      <c r="EB49" s="21">
        <f>EXP(-LN(2)/25)*EB48+(1-EXP(-LN(2)/25))/(LN(2)/25)*Calculateur!DW49*Calculateur!DY49*VLOOKUP('Données projet'!$B$14,Paramètres!$A$1:$I$89,3,0)*0.475*44/12</f>
        <v>4.1698351756326844</v>
      </c>
      <c r="EC49" s="21">
        <f>EXP(-LN(2)/2)*EC48+(1-EXP(-LN(2)/2))/(LN(2)/2)*DW49*DZ49*VLOOKUP('Données projet'!$B$14,Paramètres!$A$1:$I$89,3,0)*0.475*44/12</f>
        <v>3.7956097522489279E-4</v>
      </c>
      <c r="ED49" s="22">
        <f t="shared" si="18"/>
        <v>41.33576532189624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9.7650000000000006</v>
      </c>
      <c r="N50" s="13">
        <f>IF('Données projet'!$A$36&gt;35,N49+M50-V49,IF(A50&lt;'Données projet'!$A$36,$K$205^A50,IF(A50='Données projet'!$A$36,'Données projet'!$B$36,N49+M50-V49)))</f>
        <v>227.3649999999999</v>
      </c>
      <c r="O50" s="13">
        <f>N50*VLOOKUP('Données projet'!$B$9,Paramètres!$A$1:$I$89,3,0)*VLOOKUP('Données projet'!$B$9,Paramètres!$A$1:$I$89,5,0)</f>
        <v>130.05277999999996</v>
      </c>
      <c r="P50" s="13">
        <f t="shared" si="33"/>
        <v>34.008554952554775</v>
      </c>
      <c r="Q50" s="20">
        <f t="shared" si="53"/>
        <v>285.74015837569948</v>
      </c>
      <c r="R50" s="59">
        <f t="shared" si="0"/>
        <v>579.07349170903285</v>
      </c>
      <c r="S50" s="59">
        <f ca="1">AVERAGE(OFFSET($R$3,0,0,'Données projet'!$E$9+1,1))-AVERAGE(OFFSET($H$3,0,0,'Données projet'!$E$9+1,1))</f>
        <v>294.9631697747962</v>
      </c>
      <c r="T50" s="59">
        <f t="shared" si="34"/>
        <v>202.04924881627716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15.668007268870777</v>
      </c>
      <c r="AA50" s="21">
        <f>EXP(-LN(2)/25)*AA49+(1-EXP(-LN(2)/25))/(LN(2)/25)*Calculateur!V50*Calculateur!X50*VLOOKUP('Données projet'!$B$9,Paramètres!$A$1:$I$89,3,0)*0.475*44/12</f>
        <v>12.166367992193319</v>
      </c>
      <c r="AB50" s="21">
        <f>EXP(-LN(2)/2)*AB49+(1-EXP(-LN(2)/2))/(LN(2)/2)*V50*Y50*VLOOKUP('Données projet'!$B$9,Paramètres!$A$1:$I$89,3,0)*0.475*44/12</f>
        <v>2.2064057053403068</v>
      </c>
      <c r="AC50" s="22">
        <f t="shared" si="3"/>
        <v>30.040780966404402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15.714444444444442</v>
      </c>
      <c r="AI50" s="13">
        <f>IF('Données projet'!$A$62&gt;35,AI49+AH50-AQ49,IF(A50&lt;'Données projet'!$A$62,$AF$205^A50,IF(A50='Données projet'!$A$62,'Données projet'!$B$62,AI49+AH50-AQ49)))</f>
        <v>322.86666666666673</v>
      </c>
      <c r="AJ50" s="13">
        <f>AI50*VLOOKUP('Données projet'!$B$10,Paramètres!$A$1:$I$89,3,0)*VLOOKUP('Données projet'!$B$10,Paramètres!$A$1:$I$89,5,0)</f>
        <v>193.07426666666672</v>
      </c>
      <c r="AK50" s="13">
        <f t="shared" si="35"/>
        <v>48.218993334236252</v>
      </c>
      <c r="AL50" s="20">
        <f t="shared" si="4"/>
        <v>420.25242783490597</v>
      </c>
      <c r="AM50" s="59">
        <f t="shared" si="5"/>
        <v>713.58576116823929</v>
      </c>
      <c r="AN50" s="59">
        <f ca="1">AVERAGE(OFFSET($AM$3,0,0,'Données projet'!$E$10+1,1))-AVERAGE(OFFSET($H$3,0,0,'Données projet'!$E$10+1,1))</f>
        <v>349.71285006949597</v>
      </c>
      <c r="AO50" s="59">
        <f t="shared" si="36"/>
        <v>258.51550516456842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22.277221143534387</v>
      </c>
      <c r="AV50" s="21">
        <f>EXP(-LN(2)/25)*AV49+(1-EXP(-LN(2)/25))/(LN(2)/25)*Calculateur!AQ50*Calculateur!AS50*VLOOKUP('Données projet'!$B$10,Paramètres!$A$1:$I$89,3,0)*0.475*44/12</f>
        <v>15.175653442595557</v>
      </c>
      <c r="AW50" s="21">
        <f>EXP(-LN(2)/2)*AW49+(1-EXP(-LN(2)/2))/(LN(2)/2)*AQ50*AT50*VLOOKUP('Données projet'!$B$10,Paramètres!$A$1:$I$89,3,0)*0.475*44/12</f>
        <v>1.3347385106450405</v>
      </c>
      <c r="AX50" s="21">
        <f t="shared" si="6"/>
        <v>38.787613096774983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9.6799999999999979</v>
      </c>
      <c r="BD50" s="12">
        <f>IF('Données projet'!$A$88&gt;35,BD49+BC50-BL49,IF(A50&lt;'Données projet'!$A$88,$BA$205^A50,IF(A50='Données projet'!$A$88,'Données projet'!$B$88,BD49+BC50-BL49)))</f>
        <v>154.13000000000022</v>
      </c>
      <c r="BE50" s="13">
        <f>BD50*VLOOKUP('Données projet'!$B$11,Paramètres!$A$1:$I$89,3,0)*VLOOKUP('Données projet'!$B$11,Paramètres!$A$1:$I$89,5,0)</f>
        <v>139.45682400000021</v>
      </c>
      <c r="BF50" s="13">
        <f t="shared" si="37"/>
        <v>36.172543362339141</v>
      </c>
      <c r="BG50" s="20">
        <f t="shared" si="7"/>
        <v>305.88781482274101</v>
      </c>
      <c r="BH50" s="59">
        <f t="shared" si="8"/>
        <v>599.22114815607438</v>
      </c>
      <c r="BI50" s="59">
        <f ca="1">AVERAGE(OFFSET($BH$3,0,0,'Données projet'!$E$11+1,1))-AVERAGE(OFFSET($H$3,0,0,'Données projet'!$E$11+1,1))</f>
        <v>490.06222615476065</v>
      </c>
      <c r="BJ50" s="59">
        <f t="shared" si="38"/>
        <v>310.43914804089906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24.182616655514732</v>
      </c>
      <c r="BR50" s="21">
        <f>EXP(-LN(2)/2)*BR49+(1-EXP(-LN(2)/2))/(LN(2)/2)*BL50*BO50*VLOOKUP('Données projet'!$B$11,Paramètres!$A$1:$I$89,3,0)*0.475*44/12</f>
        <v>4.6288594214297554</v>
      </c>
      <c r="BS50" s="22">
        <f t="shared" si="9"/>
        <v>28.811476076944487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152.75537679999994</v>
      </c>
      <c r="CA50" s="13">
        <f t="shared" si="39"/>
        <v>39.204089989127873</v>
      </c>
      <c r="CB50" s="20">
        <f t="shared" si="10"/>
        <v>334.32940465773095</v>
      </c>
      <c r="CC50" s="59">
        <f t="shared" si="11"/>
        <v>627.6627379910642</v>
      </c>
      <c r="CD50" s="59">
        <f ca="1">AVERAGE(OFFSET($CC$3,0,0,'Données projet'!$E$12+1,1))-AVERAGE(OFFSET($H$3,0,0,'Données projet'!$E$12+1,1))</f>
        <v>510.71380643466227</v>
      </c>
      <c r="CE50" s="59">
        <f t="shared" si="40"/>
        <v>252.40654099948841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10.001428571428571</v>
      </c>
      <c r="CT50" s="12">
        <f>IF('Données projet'!$A$140&gt;35,CT49+CS50-DB49,IF(A50&lt;'Données projet'!$A$140,$CQ$205^A50,IF(A50='Données projet'!$A$140,'Données projet'!$B$140,CT49+CS50-DB49)))</f>
        <v>128.06285714285715</v>
      </c>
      <c r="CU50" s="17">
        <f>CT50*VLOOKUP('Données projet'!$B$13,Paramètres!$A$1:$I$89,3,0)*VLOOKUP('Données projet'!$B$13,Paramètres!$A$1:$I$89,5,0)</f>
        <v>137.84685942857143</v>
      </c>
      <c r="CV50" s="13">
        <f t="shared" si="41"/>
        <v>35.803307170263928</v>
      </c>
      <c r="CW50" s="20">
        <f t="shared" si="13"/>
        <v>302.4407068263049</v>
      </c>
      <c r="CX50" s="59">
        <f t="shared" si="14"/>
        <v>595.77404015963816</v>
      </c>
      <c r="CY50" s="59">
        <f ca="1">AVERAGE(OFFSET($CX$3,0,0,'Données projet'!$E$13+1,1))-AVERAGE(OFFSET($H$3,0,0,'Données projet'!$E$13+1,1))</f>
        <v>502.65044103360322</v>
      </c>
      <c r="CZ50" s="59">
        <f t="shared" si="42"/>
        <v>321.65762891855167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38.817716612304203</v>
      </c>
      <c r="DH50" s="21">
        <f>EXP(-LN(2)/2)*DH49+(1-EXP(-LN(2)/2))/(LN(2)/2)*DB50*DE50*VLOOKUP('Données projet'!$B$13,Paramètres!$A$1:$I$89,3,0)*0.475*44/12</f>
        <v>4.8765596923897787</v>
      </c>
      <c r="DI50" s="22">
        <f t="shared" si="15"/>
        <v>43.694276304693979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-25.899999999999977</v>
      </c>
      <c r="DP50" s="17">
        <f>DO50*VLOOKUP('Données projet'!$B$14,Paramètres!$A$1:$I$89,3,0)*VLOOKUP('Données projet'!$B$14,Paramètres!$A$1:$I$89,5,0)</f>
        <v>-13.171703999999989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63.94726564348116</v>
      </c>
      <c r="DU50" s="59">
        <f t="shared" si="44"/>
        <v>280.8165028422905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36.43675680705833</v>
      </c>
      <c r="EB50" s="21">
        <f>EXP(-LN(2)/25)*EB49+(1-EXP(-LN(2)/25))/(LN(2)/25)*Calculateur!DW50*Calculateur!DY50*VLOOKUP('Données projet'!$B$14,Paramètres!$A$1:$I$89,3,0)*0.475*44/12</f>
        <v>4.055810813472907</v>
      </c>
      <c r="EC50" s="21">
        <f>EXP(-LN(2)/2)*EC49+(1-EXP(-LN(2)/2))/(LN(2)/2)*DW50*DZ50*VLOOKUP('Données projet'!$B$14,Paramètres!$A$1:$I$89,3,0)*0.475*44/12</f>
        <v>2.6839013945530085E-4</v>
      </c>
      <c r="ED50" s="22">
        <f t="shared" si="18"/>
        <v>40.492836010670693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9.7650000000000006</v>
      </c>
      <c r="N51" s="13">
        <f>IF('Données projet'!$A$36&gt;35,N50+M51-V50,IF(A51&lt;'Données projet'!$A$36,$K$205^A51,IF(A51='Données projet'!$A$36,'Données projet'!$B$36,N50+M51-V50)))</f>
        <v>237.12999999999988</v>
      </c>
      <c r="O51" s="13">
        <f>N51*VLOOKUP('Données projet'!$B$9,Paramètres!$A$1:$I$89,3,0)*VLOOKUP('Données projet'!$B$9,Paramètres!$A$1:$I$89,5,0)</f>
        <v>135.63835999999995</v>
      </c>
      <c r="P51" s="13">
        <f t="shared" si="33"/>
        <v>35.295981933280629</v>
      </c>
      <c r="Q51" s="20">
        <f t="shared" si="53"/>
        <v>297.71064553379699</v>
      </c>
      <c r="R51" s="59">
        <f t="shared" si="0"/>
        <v>591.04397886713036</v>
      </c>
      <c r="S51" s="59">
        <f ca="1">AVERAGE(OFFSET($R$3,0,0,'Données projet'!$E$9+1,1))-AVERAGE(OFFSET($H$3,0,0,'Données projet'!$E$9+1,1))</f>
        <v>294.9631697747962</v>
      </c>
      <c r="T51" s="59">
        <f t="shared" si="34"/>
        <v>202.04924881627716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15.360767202869026</v>
      </c>
      <c r="AA51" s="21">
        <f>EXP(-LN(2)/25)*AA50+(1-EXP(-LN(2)/25))/(LN(2)/25)*Calculateur!V51*Calculateur!X51*VLOOKUP('Données projet'!$B$9,Paramètres!$A$1:$I$89,3,0)*0.475*44/12</f>
        <v>11.833678019645307</v>
      </c>
      <c r="AB51" s="21">
        <f>EXP(-LN(2)/2)*AB50+(1-EXP(-LN(2)/2))/(LN(2)/2)*V51*Y51*VLOOKUP('Données projet'!$B$9,Paramètres!$A$1:$I$89,3,0)*0.475*44/12</f>
        <v>1.5601644362948184</v>
      </c>
      <c r="AC51" s="22">
        <f t="shared" si="3"/>
        <v>28.754609658809152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15.714444444444442</v>
      </c>
      <c r="AI51" s="13">
        <f>IF('Données projet'!$A$62&gt;35,AI50+AH51-AQ50,IF(A51&lt;'Données projet'!$A$62,$AF$205^A51,IF(A51='Données projet'!$A$62,'Données projet'!$B$62,AI50+AH51-AQ50)))</f>
        <v>338.58111111111117</v>
      </c>
      <c r="AJ51" s="13">
        <f>AI51*VLOOKUP('Données projet'!$B$10,Paramètres!$A$1:$I$89,3,0)*VLOOKUP('Données projet'!$B$10,Paramètres!$A$1:$I$89,5,0)</f>
        <v>202.47150444444449</v>
      </c>
      <c r="AK51" s="13">
        <f t="shared" si="35"/>
        <v>50.28694073581002</v>
      </c>
      <c r="AL51" s="20">
        <f t="shared" si="4"/>
        <v>440.22095868894326</v>
      </c>
      <c r="AM51" s="59">
        <f t="shared" si="5"/>
        <v>733.55429202227651</v>
      </c>
      <c r="AN51" s="59">
        <f ca="1">AVERAGE(OFFSET($AM$3,0,0,'Données projet'!$E$10+1,1))-AVERAGE(OFFSET($H$3,0,0,'Données projet'!$E$10+1,1))</f>
        <v>349.71285006949597</v>
      </c>
      <c r="AO51" s="59">
        <f t="shared" si="36"/>
        <v>258.51550516456842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21.840378424672895</v>
      </c>
      <c r="AV51" s="21">
        <f>EXP(-LN(2)/25)*AV50+(1-EXP(-LN(2)/25))/(LN(2)/25)*Calculateur!AQ51*Calculateur!AS51*VLOOKUP('Données projet'!$B$10,Paramètres!$A$1:$I$89,3,0)*0.475*44/12</f>
        <v>14.760674401154851</v>
      </c>
      <c r="AW51" s="21">
        <f>EXP(-LN(2)/2)*AW50+(1-EXP(-LN(2)/2))/(LN(2)/2)*AQ51*AT51*VLOOKUP('Données projet'!$B$10,Paramètres!$A$1:$I$89,3,0)*0.475*44/12</f>
        <v>0.943802651987941</v>
      </c>
      <c r="AX51" s="21">
        <f t="shared" si="6"/>
        <v>37.544855477815695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9.6799999999999979</v>
      </c>
      <c r="BD51" s="12">
        <f>IF('Données projet'!$A$88&gt;35,BD50+BC51-BL50,IF(A51&lt;'Données projet'!$A$88,$BA$205^A51,IF(A51='Données projet'!$A$88,'Données projet'!$B$88,BD50+BC51-BL50)))</f>
        <v>163.81000000000023</v>
      </c>
      <c r="BE51" s="13">
        <f>BD51*VLOOKUP('Données projet'!$B$11,Paramètres!$A$1:$I$89,3,0)*VLOOKUP('Données projet'!$B$11,Paramètres!$A$1:$I$89,5,0)</f>
        <v>148.21528800000021</v>
      </c>
      <c r="BF51" s="13">
        <f t="shared" si="37"/>
        <v>38.172721310443634</v>
      </c>
      <c r="BG51" s="20">
        <f t="shared" si="7"/>
        <v>324.62578288235642</v>
      </c>
      <c r="BH51" s="59">
        <f t="shared" si="8"/>
        <v>617.95911621568973</v>
      </c>
      <c r="BI51" s="59">
        <f ca="1">AVERAGE(OFFSET($BH$3,0,0,'Données projet'!$E$11+1,1))-AVERAGE(OFFSET($H$3,0,0,'Données projet'!$E$11+1,1))</f>
        <v>490.06222615476065</v>
      </c>
      <c r="BJ51" s="59">
        <f t="shared" si="38"/>
        <v>310.43914804089906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23.52134173136114</v>
      </c>
      <c r="BR51" s="21">
        <f>EXP(-LN(2)/2)*BR50+(1-EXP(-LN(2)/2))/(LN(2)/2)*BL51*BO51*VLOOKUP('Données projet'!$B$11,Paramètres!$A$1:$I$89,3,0)*0.475*44/12</f>
        <v>3.2730978860522191</v>
      </c>
      <c r="BS51" s="22">
        <f t="shared" si="9"/>
        <v>26.79443961741336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156.00549119999997</v>
      </c>
      <c r="CA51" s="13">
        <f t="shared" si="39"/>
        <v>39.940221355707003</v>
      </c>
      <c r="CB51" s="20">
        <f t="shared" si="10"/>
        <v>341.27211603452292</v>
      </c>
      <c r="CC51" s="59">
        <f t="shared" si="11"/>
        <v>634.60544936785618</v>
      </c>
      <c r="CD51" s="59">
        <f ca="1">AVERAGE(OFFSET($CC$3,0,0,'Données projet'!$E$12+1,1))-AVERAGE(OFFSET($H$3,0,0,'Données projet'!$E$12+1,1))</f>
        <v>510.71380643466227</v>
      </c>
      <c r="CE51" s="59">
        <f t="shared" si="40"/>
        <v>252.40654099948841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10.001428571428571</v>
      </c>
      <c r="CT51" s="12">
        <f>IF('Données projet'!$A$140&gt;35,CT50+CS51-DB50,IF(A51&lt;'Données projet'!$A$140,$CQ$205^A51,IF(A51='Données projet'!$A$140,'Données projet'!$B$140,CT50+CS51-DB50)))</f>
        <v>138.06428571428572</v>
      </c>
      <c r="CU51" s="17">
        <f>CT51*VLOOKUP('Données projet'!$B$13,Paramètres!$A$1:$I$89,3,0)*VLOOKUP('Données projet'!$B$13,Paramètres!$A$1:$I$89,5,0)</f>
        <v>148.61239714285713</v>
      </c>
      <c r="CV51" s="13">
        <f t="shared" si="41"/>
        <v>38.263077530368669</v>
      </c>
      <c r="CW51" s="20">
        <f t="shared" si="13"/>
        <v>325.47478505586827</v>
      </c>
      <c r="CX51" s="59">
        <f t="shared" si="14"/>
        <v>618.80811838920158</v>
      </c>
      <c r="CY51" s="59">
        <f ca="1">AVERAGE(OFFSET($CX$3,0,0,'Données projet'!$E$13+1,1))-AVERAGE(OFFSET($H$3,0,0,'Données projet'!$E$13+1,1))</f>
        <v>502.65044103360322</v>
      </c>
      <c r="CZ51" s="59">
        <f t="shared" si="42"/>
        <v>321.65762891855167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37.756244110205749</v>
      </c>
      <c r="DH51" s="21">
        <f>EXP(-LN(2)/2)*DH50+(1-EXP(-LN(2)/2))/(LN(2)/2)*DB51*DE51*VLOOKUP('Données projet'!$B$13,Paramètres!$A$1:$I$89,3,0)*0.475*44/12</f>
        <v>3.4482484273497969</v>
      </c>
      <c r="DI51" s="22">
        <f t="shared" si="15"/>
        <v>41.204492537555545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-25.899999999999977</v>
      </c>
      <c r="DP51" s="17">
        <f>DO51*VLOOKUP('Données projet'!$B$14,Paramètres!$A$1:$I$89,3,0)*VLOOKUP('Données projet'!$B$14,Paramètres!$A$1:$I$89,5,0)</f>
        <v>-13.171703999999989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63.94726564348116</v>
      </c>
      <c r="DU51" s="59">
        <f t="shared" si="44"/>
        <v>280.8165028422905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35.722254230299107</v>
      </c>
      <c r="EB51" s="21">
        <f>EXP(-LN(2)/25)*EB50+(1-EXP(-LN(2)/25))/(LN(2)/25)*Calculateur!DW51*Calculateur!DY51*VLOOKUP('Données projet'!$B$14,Paramètres!$A$1:$I$89,3,0)*0.475*44/12</f>
        <v>3.9449044534926694</v>
      </c>
      <c r="EC51" s="21">
        <f>EXP(-LN(2)/2)*EC50+(1-EXP(-LN(2)/2))/(LN(2)/2)*DW51*DZ51*VLOOKUP('Données projet'!$B$14,Paramètres!$A$1:$I$89,3,0)*0.475*44/12</f>
        <v>1.8978048761244639E-4</v>
      </c>
      <c r="ED51" s="22">
        <f t="shared" si="18"/>
        <v>39.667348464279385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9.7650000000000006</v>
      </c>
      <c r="N52" s="13">
        <f>IF('Données projet'!$A$36&gt;35,N51+M52-V51,IF(A52&lt;'Données projet'!$A$36,$K$205^A52,IF(A52='Données projet'!$A$36,'Données projet'!$B$36,N51+M52-V51)))</f>
        <v>246.89499999999987</v>
      </c>
      <c r="O52" s="13">
        <f>N52*VLOOKUP('Données projet'!$B$9,Paramètres!$A$1:$I$89,3,0)*VLOOKUP('Données projet'!$B$9,Paramètres!$A$1:$I$89,5,0)</f>
        <v>141.22393999999991</v>
      </c>
      <c r="P52" s="13">
        <f t="shared" si="33"/>
        <v>36.577250760114602</v>
      </c>
      <c r="Q52" s="20">
        <f t="shared" si="53"/>
        <v>309.67040724053271</v>
      </c>
      <c r="R52" s="59">
        <f t="shared" si="0"/>
        <v>603.00374057386603</v>
      </c>
      <c r="S52" s="59">
        <f ca="1">AVERAGE(OFFSET($R$3,0,0,'Données projet'!$E$9+1,1))-AVERAGE(OFFSET($H$3,0,0,'Données projet'!$E$9+1,1))</f>
        <v>294.9631697747962</v>
      </c>
      <c r="T52" s="59">
        <f t="shared" si="34"/>
        <v>202.04924881627716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15.059551927163632</v>
      </c>
      <c r="AA52" s="21">
        <f>EXP(-LN(2)/25)*AA51+(1-EXP(-LN(2)/25))/(LN(2)/25)*Calculateur!V52*Calculateur!X52*VLOOKUP('Données projet'!$B$9,Paramètres!$A$1:$I$89,3,0)*0.475*44/12</f>
        <v>11.510085471892024</v>
      </c>
      <c r="AB52" s="21">
        <f>EXP(-LN(2)/2)*AB51+(1-EXP(-LN(2)/2))/(LN(2)/2)*V52*Y52*VLOOKUP('Données projet'!$B$9,Paramètres!$A$1:$I$89,3,0)*0.475*44/12</f>
        <v>1.1032028526701534</v>
      </c>
      <c r="AC52" s="22">
        <f t="shared" si="3"/>
        <v>27.672840251725813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15.714444444444442</v>
      </c>
      <c r="AI52" s="13">
        <f>IF('Données projet'!$A$62&gt;35,AI51+AH52-AQ51,IF(A52&lt;'Données projet'!$A$62,$AF$205^A52,IF(A52='Données projet'!$A$62,'Données projet'!$B$62,AI51+AH52-AQ51)))</f>
        <v>354.29555555555561</v>
      </c>
      <c r="AJ52" s="13">
        <f>AI52*VLOOKUP('Données projet'!$B$10,Paramètres!$A$1:$I$89,3,0)*VLOOKUP('Données projet'!$B$10,Paramètres!$A$1:$I$89,5,0)</f>
        <v>211.86874222222229</v>
      </c>
      <c r="AK52" s="13">
        <f t="shared" si="35"/>
        <v>52.343742090960504</v>
      </c>
      <c r="AL52" s="20">
        <f t="shared" si="4"/>
        <v>460.17007684546002</v>
      </c>
      <c r="AM52" s="59">
        <f t="shared" si="5"/>
        <v>753.50341017879327</v>
      </c>
      <c r="AN52" s="59">
        <f ca="1">AVERAGE(OFFSET($AM$3,0,0,'Données projet'!$E$10+1,1))-AVERAGE(OFFSET($H$3,0,0,'Données projet'!$E$10+1,1))</f>
        <v>349.71285006949597</v>
      </c>
      <c r="AO52" s="59">
        <f t="shared" si="36"/>
        <v>258.51550516456842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21.412101925080528</v>
      </c>
      <c r="AV52" s="21">
        <f>EXP(-LN(2)/25)*AV51+(1-EXP(-LN(2)/25))/(LN(2)/25)*Calculateur!AQ52*Calculateur!AS52*VLOOKUP('Données projet'!$B$10,Paramètres!$A$1:$I$89,3,0)*0.475*44/12</f>
        <v>14.357042983425142</v>
      </c>
      <c r="AW52" s="21">
        <f>EXP(-LN(2)/2)*AW51+(1-EXP(-LN(2)/2))/(LN(2)/2)*AQ52*AT52*VLOOKUP('Données projet'!$B$10,Paramètres!$A$1:$I$89,3,0)*0.475*44/12</f>
        <v>0.66736925532252034</v>
      </c>
      <c r="AX52" s="21">
        <f t="shared" si="6"/>
        <v>36.436514163828186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9.6799999999999979</v>
      </c>
      <c r="BD52" s="12">
        <f>IF('Données projet'!$A$88&gt;35,BD51+BC52-BL51,IF(A52&lt;'Données projet'!$A$88,$BA$205^A52,IF(A52='Données projet'!$A$88,'Données projet'!$B$88,BD51+BC52-BL51)))</f>
        <v>173.49000000000024</v>
      </c>
      <c r="BE52" s="13">
        <f>BD52*VLOOKUP('Données projet'!$B$11,Paramètres!$A$1:$I$89,3,0)*VLOOKUP('Données projet'!$B$11,Paramètres!$A$1:$I$89,5,0)</f>
        <v>156.97375200000022</v>
      </c>
      <c r="BF52" s="13">
        <f t="shared" si="37"/>
        <v>40.159179999786943</v>
      </c>
      <c r="BG52" s="20">
        <f t="shared" si="7"/>
        <v>343.33985656629596</v>
      </c>
      <c r="BH52" s="59">
        <f t="shared" si="8"/>
        <v>636.67318989962928</v>
      </c>
      <c r="BI52" s="59">
        <f ca="1">AVERAGE(OFFSET($BH$3,0,0,'Données projet'!$E$11+1,1))-AVERAGE(OFFSET($H$3,0,0,'Données projet'!$E$11+1,1))</f>
        <v>490.06222615476065</v>
      </c>
      <c r="BJ52" s="59">
        <f t="shared" si="38"/>
        <v>310.43914804089906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22.878149404783468</v>
      </c>
      <c r="BR52" s="21">
        <f>EXP(-LN(2)/2)*BR51+(1-EXP(-LN(2)/2))/(LN(2)/2)*BL52*BO52*VLOOKUP('Données projet'!$B$11,Paramètres!$A$1:$I$89,3,0)*0.475*44/12</f>
        <v>2.3144297107148777</v>
      </c>
      <c r="BS52" s="22">
        <f t="shared" si="9"/>
        <v>25.192579115498347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159.25560559999994</v>
      </c>
      <c r="CA52" s="13">
        <f t="shared" si="39"/>
        <v>40.674569630088818</v>
      </c>
      <c r="CB52" s="20">
        <f t="shared" si="10"/>
        <v>348.21172185907125</v>
      </c>
      <c r="CC52" s="59">
        <f t="shared" si="11"/>
        <v>641.54505519240456</v>
      </c>
      <c r="CD52" s="59">
        <f ca="1">AVERAGE(OFFSET($CC$3,0,0,'Données projet'!$E$12+1,1))-AVERAGE(OFFSET($H$3,0,0,'Données projet'!$E$12+1,1))</f>
        <v>510.71380643466227</v>
      </c>
      <c r="CE52" s="59">
        <f t="shared" si="40"/>
        <v>252.40654099948841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10.001428571428571</v>
      </c>
      <c r="CT52" s="12">
        <f>IF('Données projet'!$A$140&gt;35,CT51+CS52-DB51,IF(A52&lt;'Données projet'!$A$140,$CQ$205^A52,IF(A52='Données projet'!$A$140,'Données projet'!$B$140,CT51+CS52-DB51)))</f>
        <v>148.06571428571428</v>
      </c>
      <c r="CU52" s="17">
        <f>CT52*VLOOKUP('Données projet'!$B$13,Paramètres!$A$1:$I$89,3,0)*VLOOKUP('Données projet'!$B$13,Paramètres!$A$1:$I$89,5,0)</f>
        <v>159.37793485714283</v>
      </c>
      <c r="CV52" s="13">
        <f t="shared" si="41"/>
        <v>40.702175082823857</v>
      </c>
      <c r="CW52" s="20">
        <f t="shared" si="13"/>
        <v>348.47285814544199</v>
      </c>
      <c r="CX52" s="59">
        <f t="shared" si="14"/>
        <v>641.8061914787753</v>
      </c>
      <c r="CY52" s="59">
        <f ca="1">AVERAGE(OFFSET($CX$3,0,0,'Données projet'!$E$13+1,1))-AVERAGE(OFFSET($H$3,0,0,'Données projet'!$E$13+1,1))</f>
        <v>502.65044103360322</v>
      </c>
      <c r="CZ52" s="59">
        <f t="shared" si="42"/>
        <v>321.65762891855167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36.723797629497589</v>
      </c>
      <c r="DH52" s="21">
        <f>EXP(-LN(2)/2)*DH51+(1-EXP(-LN(2)/2))/(LN(2)/2)*DB52*DE52*VLOOKUP('Données projet'!$B$13,Paramètres!$A$1:$I$89,3,0)*0.475*44/12</f>
        <v>2.4382798461948898</v>
      </c>
      <c r="DI52" s="22">
        <f t="shared" si="15"/>
        <v>39.162077475692477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-25.899999999999977</v>
      </c>
      <c r="DP52" s="17">
        <f>DO52*VLOOKUP('Données projet'!$B$14,Paramètres!$A$1:$I$89,3,0)*VLOOKUP('Données projet'!$B$14,Paramètres!$A$1:$I$89,5,0)</f>
        <v>-13.171703999999989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63.94726564348116</v>
      </c>
      <c r="DU52" s="59">
        <f t="shared" si="44"/>
        <v>280.8165028422905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35.021762613266596</v>
      </c>
      <c r="EB52" s="21">
        <f>EXP(-LN(2)/25)*EB51+(1-EXP(-LN(2)/25))/(LN(2)/25)*Calculateur!DW52*Calculateur!DY52*VLOOKUP('Données projet'!$B$14,Paramètres!$A$1:$I$89,3,0)*0.475*44/12</f>
        <v>3.8370308337584031</v>
      </c>
      <c r="EC52" s="21">
        <f>EXP(-LN(2)/2)*EC51+(1-EXP(-LN(2)/2))/(LN(2)/2)*DW52*DZ52*VLOOKUP('Données projet'!$B$14,Paramètres!$A$1:$I$89,3,0)*0.475*44/12</f>
        <v>1.3419506972765042E-4</v>
      </c>
      <c r="ED52" s="22">
        <f t="shared" si="18"/>
        <v>38.858927642094727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9.7650000000000006</v>
      </c>
      <c r="N53" s="13">
        <f>IF('Données projet'!$A$36&gt;35,N52+M53-V52,IF(A53&lt;'Données projet'!$A$36,$K$205^A53,IF(A53='Données projet'!$A$36,'Données projet'!$B$36,N52+M53-V52)))</f>
        <v>256.65999999999985</v>
      </c>
      <c r="O53" s="13">
        <f>N53*VLOOKUP('Données projet'!$B$9,Paramètres!$A$1:$I$89,3,0)*VLOOKUP('Données projet'!$B$9,Paramètres!$A$1:$I$89,5,0)</f>
        <v>146.80951999999991</v>
      </c>
      <c r="P53" s="13">
        <f t="shared" si="33"/>
        <v>37.852632865501526</v>
      </c>
      <c r="Q53" s="20">
        <f t="shared" si="53"/>
        <v>321.61991624074835</v>
      </c>
      <c r="R53" s="59">
        <f t="shared" si="0"/>
        <v>614.95324957408161</v>
      </c>
      <c r="S53" s="59">
        <f ca="1">AVERAGE(OFFSET($R$3,0,0,'Données projet'!$E$9+1,1))-AVERAGE(OFFSET($H$3,0,0,'Données projet'!$E$9+1,1))</f>
        <v>294.9631697747962</v>
      </c>
      <c r="T53" s="59">
        <f t="shared" si="34"/>
        <v>202.04924881627716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14.764243299291644</v>
      </c>
      <c r="AA53" s="21">
        <f>EXP(-LN(2)/25)*AA52+(1-EXP(-LN(2)/25))/(LN(2)/25)*Calculateur!V53*Calculateur!X53*VLOOKUP('Données projet'!$B$9,Paramètres!$A$1:$I$89,3,0)*0.475*44/12</f>
        <v>11.195341579374048</v>
      </c>
      <c r="AB53" s="21">
        <f>EXP(-LN(2)/2)*AB52+(1-EXP(-LN(2)/2))/(LN(2)/2)*V53*Y53*VLOOKUP('Données projet'!$B$9,Paramètres!$A$1:$I$89,3,0)*0.475*44/12</f>
        <v>0.78008221814740919</v>
      </c>
      <c r="AC53" s="22">
        <f t="shared" si="3"/>
        <v>26.739667096813104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370.01</v>
      </c>
      <c r="AG53" s="12">
        <f>VLOOKUP(A53,'Données projet'!$A$61:$I$81,9,0)</f>
        <v>15.714444444444442</v>
      </c>
      <c r="AH53" s="12">
        <f t="array" ref="AH53">INDEX(AG:AG,MIN(IF(ISNUMBER(AG53:AG249),ROW(AG53:AG249),"")))</f>
        <v>15.714444444444442</v>
      </c>
      <c r="AI53" s="13">
        <f>IF('Données projet'!$A$62&gt;35,AI52+AH53-AQ52,IF(A53&lt;'Données projet'!$A$62,$AF$205^A53,IF(A53='Données projet'!$A$62,'Données projet'!$B$62,AI52+AH53-AQ52)))</f>
        <v>370.01000000000005</v>
      </c>
      <c r="AJ53" s="13">
        <f>AI53*VLOOKUP('Données projet'!$B$10,Paramètres!$A$1:$I$89,3,0)*VLOOKUP('Données projet'!$B$10,Paramètres!$A$1:$I$89,5,0)</f>
        <v>221.26598000000004</v>
      </c>
      <c r="AK53" s="13">
        <f t="shared" si="35"/>
        <v>54.389948263584252</v>
      </c>
      <c r="AL53" s="20">
        <f t="shared" si="4"/>
        <v>480.10074172574264</v>
      </c>
      <c r="AM53" s="59">
        <f t="shared" si="5"/>
        <v>773.43407505907589</v>
      </c>
      <c r="AN53" s="59">
        <f ca="1">AVERAGE(OFFSET($AM$3,0,0,'Données projet'!$E$10+1,1))-AVERAGE(OFFSET($H$3,0,0,'Données projet'!$E$10+1,1))</f>
        <v>349.71285006949597</v>
      </c>
      <c r="AO53" s="59">
        <f t="shared" si="36"/>
        <v>258.51550516456842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70.20999999999998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9.0000000000000011E-2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36.030299745055871</v>
      </c>
      <c r="AV53" s="21">
        <f>EXP(-LN(2)/25)*AV52+(1-EXP(-LN(2)/25))/(LN(2)/25)*Calculateur!AQ53*Calculateur!AS53*VLOOKUP('Données projet'!$B$10,Paramètres!$A$1:$I$89,3,0)*0.475*44/12</f>
        <v>18.9574040357579</v>
      </c>
      <c r="AW53" s="21">
        <f>EXP(-LN(2)/2)*AW52+(1-EXP(-LN(2)/2))/(LN(2)/2)*AQ53*AT53*VLOOKUP('Données projet'!$B$10,Paramètres!$A$1:$I$89,3,0)*0.475*44/12</f>
        <v>9.9793872672702157</v>
      </c>
      <c r="AX53" s="21">
        <f t="shared" si="6"/>
        <v>64.967091048083986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9.6799999999999979</v>
      </c>
      <c r="BD53" s="12">
        <f>IF('Données projet'!$A$88&gt;35,BD52+BC53-BL52,IF(A53&lt;'Données projet'!$A$88,$BA$205^A53,IF(A53='Données projet'!$A$88,'Données projet'!$B$88,BD52+BC53-BL52)))</f>
        <v>183.17000000000024</v>
      </c>
      <c r="BE53" s="13">
        <f>BD53*VLOOKUP('Données projet'!$B$11,Paramètres!$A$1:$I$89,3,0)*VLOOKUP('Données projet'!$B$11,Paramètres!$A$1:$I$89,5,0)</f>
        <v>165.73221600000022</v>
      </c>
      <c r="BF53" s="13">
        <f t="shared" si="37"/>
        <v>42.132772147585847</v>
      </c>
      <c r="BG53" s="20">
        <f t="shared" si="7"/>
        <v>362.0315210237124</v>
      </c>
      <c r="BH53" s="59">
        <f t="shared" si="8"/>
        <v>655.36485435704572</v>
      </c>
      <c r="BI53" s="59">
        <f ca="1">AVERAGE(OFFSET($BH$3,0,0,'Données projet'!$E$11+1,1))-AVERAGE(OFFSET($H$3,0,0,'Données projet'!$E$11+1,1))</f>
        <v>490.06222615476065</v>
      </c>
      <c r="BJ53" s="59">
        <f t="shared" si="38"/>
        <v>310.43914804089906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22.252545206200075</v>
      </c>
      <c r="BR53" s="21">
        <f>EXP(-LN(2)/2)*BR52+(1-EXP(-LN(2)/2))/(LN(2)/2)*BL53*BO53*VLOOKUP('Données projet'!$B$11,Paramètres!$A$1:$I$89,3,0)*0.475*44/12</f>
        <v>1.6365489430261095</v>
      </c>
      <c r="BS53" s="22">
        <f t="shared" si="9"/>
        <v>23.889094149226185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162.50571999999994</v>
      </c>
      <c r="CA53" s="13">
        <f t="shared" si="39"/>
        <v>41.407175395135489</v>
      </c>
      <c r="CB53" s="20">
        <f t="shared" si="10"/>
        <v>355.14829281319425</v>
      </c>
      <c r="CC53" s="59">
        <f t="shared" si="11"/>
        <v>648.48162614652756</v>
      </c>
      <c r="CD53" s="59">
        <f ca="1">AVERAGE(OFFSET($CC$3,0,0,'Données projet'!$E$12+1,1))-AVERAGE(OFFSET($H$3,0,0,'Données projet'!$E$12+1,1))</f>
        <v>510.71380643466227</v>
      </c>
      <c r="CE53" s="59">
        <f t="shared" si="40"/>
        <v>252.40654099948841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10.001428571428571</v>
      </c>
      <c r="CT53" s="12">
        <f>IF('Données projet'!$A$140&gt;35,CT52+CS53-DB52,IF(A53&lt;'Données projet'!$A$140,$CQ$205^A53,IF(A53='Données projet'!$A$140,'Données projet'!$B$140,CT52+CS53-DB52)))</f>
        <v>158.06714285714284</v>
      </c>
      <c r="CU53" s="17">
        <f>CT53*VLOOKUP('Données projet'!$B$13,Paramètres!$A$1:$I$89,3,0)*VLOOKUP('Données projet'!$B$13,Paramètres!$A$1:$I$89,5,0)</f>
        <v>170.14347257142856</v>
      </c>
      <c r="CV53" s="13">
        <f t="shared" si="41"/>
        <v>43.122155090778605</v>
      </c>
      <c r="CW53" s="20">
        <f t="shared" si="13"/>
        <v>371.43763484501079</v>
      </c>
      <c r="CX53" s="59">
        <f t="shared" si="14"/>
        <v>664.77096817834411</v>
      </c>
      <c r="CY53" s="59">
        <f ca="1">AVERAGE(OFFSET($CX$3,0,0,'Données projet'!$E$13+1,1))-AVERAGE(OFFSET($H$3,0,0,'Données projet'!$E$13+1,1))</f>
        <v>502.65044103360322</v>
      </c>
      <c r="CZ53" s="59">
        <f t="shared" si="42"/>
        <v>321.65762891855167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35.719583452098391</v>
      </c>
      <c r="DH53" s="21">
        <f>EXP(-LN(2)/2)*DH52+(1-EXP(-LN(2)/2))/(LN(2)/2)*DB53*DE53*VLOOKUP('Données projet'!$B$13,Paramètres!$A$1:$I$89,3,0)*0.475*44/12</f>
        <v>1.7241242136748989</v>
      </c>
      <c r="DI53" s="22">
        <f t="shared" si="15"/>
        <v>37.443707665773289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-25.899999999999977</v>
      </c>
      <c r="DP53" s="17">
        <f>DO53*VLOOKUP('Données projet'!$B$14,Paramètres!$A$1:$I$89,3,0)*VLOOKUP('Données projet'!$B$14,Paramètres!$A$1:$I$89,5,0)</f>
        <v>-13.171703999999989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63.94726564348116</v>
      </c>
      <c r="DU53" s="59">
        <f t="shared" si="44"/>
        <v>280.8165028422905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34.335007209586394</v>
      </c>
      <c r="EB53" s="21">
        <f>EXP(-LN(2)/25)*EB52+(1-EXP(-LN(2)/25))/(LN(2)/25)*Calculateur!DW53*Calculateur!DY53*VLOOKUP('Données projet'!$B$14,Paramètres!$A$1:$I$89,3,0)*0.475*44/12</f>
        <v>3.7321070238285978</v>
      </c>
      <c r="EC53" s="21">
        <f>EXP(-LN(2)/2)*EC52+(1-EXP(-LN(2)/2))/(LN(2)/2)*DW53*DZ53*VLOOKUP('Données projet'!$B$14,Paramètres!$A$1:$I$89,3,0)*0.475*44/12</f>
        <v>9.4890243806223197E-5</v>
      </c>
      <c r="ED53" s="22">
        <f t="shared" si="18"/>
        <v>38.067209123658799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9.7650000000000006</v>
      </c>
      <c r="N54" s="13">
        <f>IF('Données projet'!$A$36&gt;35,N53+M54-V53,IF(A54&lt;'Données projet'!$A$36,$K$205^A54,IF(A54='Données projet'!$A$36,'Données projet'!$B$36,N53+M54-V53)))</f>
        <v>266.42499999999984</v>
      </c>
      <c r="O54" s="13">
        <f>N54*VLOOKUP('Données projet'!$B$9,Paramètres!$A$1:$I$89,3,0)*VLOOKUP('Données projet'!$B$9,Paramètres!$A$1:$I$89,5,0)</f>
        <v>152.39509999999993</v>
      </c>
      <c r="P54" s="13">
        <f t="shared" si="33"/>
        <v>39.122377857975188</v>
      </c>
      <c r="Q54" s="20">
        <f t="shared" si="53"/>
        <v>333.55960726930664</v>
      </c>
      <c r="R54" s="59">
        <f t="shared" si="0"/>
        <v>626.89294060264001</v>
      </c>
      <c r="S54" s="59">
        <f ca="1">AVERAGE(OFFSET($R$3,0,0,'Données projet'!$E$9+1,1))-AVERAGE(OFFSET($H$3,0,0,'Données projet'!$E$9+1,1))</f>
        <v>294.9631697747962</v>
      </c>
      <c r="T54" s="59">
        <f t="shared" si="34"/>
        <v>202.04924881627716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14.474725493491748</v>
      </c>
      <c r="AA54" s="21">
        <f>EXP(-LN(2)/25)*AA53+(1-EXP(-LN(2)/25))/(LN(2)/25)*Calculateur!V54*Calculateur!X54*VLOOKUP('Données projet'!$B$9,Paramètres!$A$1:$I$89,3,0)*0.475*44/12</f>
        <v>10.889204375148639</v>
      </c>
      <c r="AB54" s="21">
        <f>EXP(-LN(2)/2)*AB53+(1-EXP(-LN(2)/2))/(LN(2)/2)*V54*Y54*VLOOKUP('Données projet'!$B$9,Paramètres!$A$1:$I$89,3,0)*0.475*44/12</f>
        <v>0.55160142633507669</v>
      </c>
      <c r="AC54" s="22">
        <f t="shared" si="3"/>
        <v>25.915531294975462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14.113999999999999</v>
      </c>
      <c r="AI54" s="13">
        <f>IF('Données projet'!$A$62&gt;35,AI53+AH54-AQ53,IF(A54&lt;'Données projet'!$A$62,$AF$205^A54,IF(A54='Données projet'!$A$62,'Données projet'!$B$62,AI53+AH54-AQ53)))</f>
        <v>313.91400000000004</v>
      </c>
      <c r="AJ54" s="13">
        <f>AI54*VLOOKUP('Données projet'!$B$10,Paramètres!$A$1:$I$89,3,0)*VLOOKUP('Données projet'!$B$10,Paramètres!$A$1:$I$89,5,0)</f>
        <v>187.72057200000006</v>
      </c>
      <c r="AK54" s="13">
        <f t="shared" si="35"/>
        <v>47.035650233472225</v>
      </c>
      <c r="AL54" s="20">
        <f t="shared" si="4"/>
        <v>408.86708705663085</v>
      </c>
      <c r="AM54" s="59">
        <f t="shared" si="5"/>
        <v>702.20042038996417</v>
      </c>
      <c r="AN54" s="59">
        <f ca="1">AVERAGE(OFFSET($AM$3,0,0,'Données projet'!$E$10+1,1))-AVERAGE(OFFSET($H$3,0,0,'Données projet'!$E$10+1,1))</f>
        <v>349.71285006949597</v>
      </c>
      <c r="AO54" s="59">
        <f t="shared" si="36"/>
        <v>258.51550516456842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35.323767543368191</v>
      </c>
      <c r="AV54" s="21">
        <f>EXP(-LN(2)/25)*AV53+(1-EXP(-LN(2)/25))/(LN(2)/25)*Calculateur!AQ54*Calculateur!AS54*VLOOKUP('Données projet'!$B$10,Paramètres!$A$1:$I$89,3,0)*0.475*44/12</f>
        <v>18.439012825473551</v>
      </c>
      <c r="AW54" s="21">
        <f>EXP(-LN(2)/2)*AW53+(1-EXP(-LN(2)/2))/(LN(2)/2)*AQ54*AT54*VLOOKUP('Données projet'!$B$10,Paramètres!$A$1:$I$89,3,0)*0.475*44/12</f>
        <v>7.0564924087734591</v>
      </c>
      <c r="AX54" s="21">
        <f t="shared" si="6"/>
        <v>60.819272777615204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9.6799999999999979</v>
      </c>
      <c r="BC54" s="12">
        <f t="array" ref="BC54">INDEX(BB:BB,MIN(IF(ISNUMBER(BB54:BB250),ROW(BB54:BB250),"")))</f>
        <v>9.6799999999999979</v>
      </c>
      <c r="BD54" s="12">
        <f>IF('Données projet'!$A$88&gt;35,BD53+BC54-BL53,IF(A54&lt;'Données projet'!$A$88,$BA$205^A54,IF(A54='Données projet'!$A$88,'Données projet'!$B$88,BD53+BC54-BL53)))</f>
        <v>192.85000000000025</v>
      </c>
      <c r="BE54" s="13">
        <f>BD54*VLOOKUP('Données projet'!$B$11,Paramètres!$A$1:$I$89,3,0)*VLOOKUP('Données projet'!$B$11,Paramètres!$A$1:$I$89,5,0)</f>
        <v>174.49068000000022</v>
      </c>
      <c r="BF54" s="13">
        <f t="shared" si="37"/>
        <v>44.094255253499121</v>
      </c>
      <c r="BG54" s="20">
        <f t="shared" si="7"/>
        <v>380.70209556651133</v>
      </c>
      <c r="BH54" s="59">
        <f t="shared" si="8"/>
        <v>674.03542889984465</v>
      </c>
      <c r="BI54" s="59">
        <f ca="1">AVERAGE(OFFSET($BH$3,0,0,'Données projet'!$E$11+1,1))-AVERAGE(OFFSET($H$3,0,0,'Données projet'!$E$11+1,1))</f>
        <v>490.06222615476065</v>
      </c>
      <c r="BJ54" s="59">
        <f t="shared" si="38"/>
        <v>310.43914804089906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48.769999999999982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0.34400000000000003</v>
      </c>
      <c r="BO54" s="16">
        <f>IF(ISNA(VLOOKUP(A54,'Données projet'!$A$87:$I$107,7,0)),0%,VLOOKUP(A54,'Données projet'!$A$87:$I$107,7,0))</f>
        <v>0.2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38.358708013238626</v>
      </c>
      <c r="BR54" s="21">
        <f>EXP(-LN(2)/2)*BR53+(1-EXP(-LN(2)/2))/(LN(2)/2)*BL54*BO54*VLOOKUP('Données projet'!$B$11,Paramètres!$A$1:$I$89,3,0)*0.475*44/12</f>
        <v>9.4842354032325886</v>
      </c>
      <c r="BS54" s="22">
        <f t="shared" si="9"/>
        <v>47.842943416471215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165.75583439999994</v>
      </c>
      <c r="CA54" s="13">
        <f t="shared" si="39"/>
        <v>42.13807751757264</v>
      </c>
      <c r="CB54" s="20">
        <f t="shared" si="10"/>
        <v>362.08189658977221</v>
      </c>
      <c r="CC54" s="59">
        <f t="shared" si="11"/>
        <v>655.41522992310547</v>
      </c>
      <c r="CD54" s="59">
        <f ca="1">AVERAGE(OFFSET($CC$3,0,0,'Données projet'!$E$12+1,1))-AVERAGE(OFFSET($H$3,0,0,'Données projet'!$E$12+1,1))</f>
        <v>510.71380643466227</v>
      </c>
      <c r="CE54" s="59">
        <f t="shared" si="40"/>
        <v>252.40654099948841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10.001428571428571</v>
      </c>
      <c r="CT54" s="12">
        <f>IF('Données projet'!$A$140&gt;35,CT53+CS54-DB53,IF(A54&lt;'Données projet'!$A$140,$CQ$205^A54,IF(A54='Données projet'!$A$140,'Données projet'!$B$140,CT53+CS54-DB53)))</f>
        <v>168.0685714285714</v>
      </c>
      <c r="CU54" s="17">
        <f>CT54*VLOOKUP('Données projet'!$B$13,Paramètres!$A$1:$I$89,3,0)*VLOOKUP('Données projet'!$B$13,Paramètres!$A$1:$I$89,5,0)</f>
        <v>180.90901028571423</v>
      </c>
      <c r="CV54" s="13">
        <f t="shared" si="41"/>
        <v>45.524364878568001</v>
      </c>
      <c r="CW54" s="20">
        <f t="shared" si="13"/>
        <v>394.3714617444582</v>
      </c>
      <c r="CX54" s="59">
        <f t="shared" si="14"/>
        <v>687.70479507779146</v>
      </c>
      <c r="CY54" s="59">
        <f ca="1">AVERAGE(OFFSET($CX$3,0,0,'Données projet'!$E$13+1,1))-AVERAGE(OFFSET($H$3,0,0,'Données projet'!$E$13+1,1))</f>
        <v>502.65044103360322</v>
      </c>
      <c r="CZ54" s="59">
        <f t="shared" si="42"/>
        <v>321.65762891855167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34.742829564189506</v>
      </c>
      <c r="DH54" s="21">
        <f>EXP(-LN(2)/2)*DH53+(1-EXP(-LN(2)/2))/(LN(2)/2)*DB54*DE54*VLOOKUP('Données projet'!$B$13,Paramètres!$A$1:$I$89,3,0)*0.475*44/12</f>
        <v>1.2191399230974451</v>
      </c>
      <c r="DI54" s="22">
        <f t="shared" si="15"/>
        <v>35.96196948728695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-25.899999999999977</v>
      </c>
      <c r="DP54" s="17">
        <f>DO54*VLOOKUP('Données projet'!$B$14,Paramètres!$A$1:$I$89,3,0)*VLOOKUP('Données projet'!$B$14,Paramètres!$A$1:$I$89,5,0)</f>
        <v>-13.171703999999989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63.94726564348116</v>
      </c>
      <c r="DU54" s="59">
        <f t="shared" si="44"/>
        <v>280.8165028422905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33.661718660492923</v>
      </c>
      <c r="EB54" s="21">
        <f>EXP(-LN(2)/25)*EB53+(1-EXP(-LN(2)/25))/(LN(2)/25)*Calculateur!DW54*Calculateur!DY54*VLOOKUP('Données projet'!$B$14,Paramètres!$A$1:$I$89,3,0)*0.475*44/12</f>
        <v>3.6300523609990263</v>
      </c>
      <c r="EC54" s="21">
        <f>EXP(-LN(2)/2)*EC53+(1-EXP(-LN(2)/2))/(LN(2)/2)*DW54*DZ54*VLOOKUP('Données projet'!$B$14,Paramètres!$A$1:$I$89,3,0)*0.475*44/12</f>
        <v>6.7097534863825212E-5</v>
      </c>
      <c r="ED54" s="22">
        <f t="shared" si="18"/>
        <v>37.291838119026814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276.19</v>
      </c>
      <c r="L55" s="12">
        <f>VLOOKUP(A55,'Données projet'!$A$35:$I$55,9,0)</f>
        <v>9.7650000000000006</v>
      </c>
      <c r="M55" s="12">
        <f t="array" ref="M55">INDEX(L:L,MIN(IF(ISNUMBER(L55:L251),ROW(L55:L251),"")))</f>
        <v>9.7650000000000006</v>
      </c>
      <c r="N55" s="13">
        <f>IF('Données projet'!$A$36&gt;35,N54+M55-V54,IF(A55&lt;'Données projet'!$A$36,$K$205^A55,IF(A55='Données projet'!$A$36,'Données projet'!$B$36,N54+M55-V54)))</f>
        <v>276.18999999999983</v>
      </c>
      <c r="O55" s="13">
        <f>N55*VLOOKUP('Données projet'!$B$9,Paramètres!$A$1:$I$89,3,0)*VLOOKUP('Données projet'!$B$9,Paramètres!$A$1:$I$89,5,0)</f>
        <v>157.98067999999992</v>
      </c>
      <c r="P55" s="13">
        <f t="shared" si="33"/>
        <v>40.386716011915055</v>
      </c>
      <c r="Q55" s="20">
        <f t="shared" si="53"/>
        <v>345.48988138741856</v>
      </c>
      <c r="R55" s="59">
        <f t="shared" si="0"/>
        <v>638.82321472075182</v>
      </c>
      <c r="S55" s="59">
        <f ca="1">AVERAGE(OFFSET($R$3,0,0,'Données projet'!$E$9+1,1))-AVERAGE(OFFSET($H$3,0,0,'Données projet'!$E$9+1,1))</f>
        <v>294.9631697747962</v>
      </c>
      <c r="T55" s="59">
        <f t="shared" si="34"/>
        <v>202.04924881627716</v>
      </c>
      <c r="U55" s="15">
        <f>IF(ISNA(VLOOKUP(A55,'Données projet'!$A$35:$I$55,3,0)),0,VLOOKUP(A55,'Données projet'!$A$35:$I$55,3,0))</f>
        <v>5</v>
      </c>
      <c r="V55" s="15">
        <f>IF(ISNA(VLOOKUP(A55,'Données projet'!$A$35:$I$55,4,0)),0,VLOOKUP(A55,'Données projet'!$A$35:$I$55,4,0))</f>
        <v>46.650000000000006</v>
      </c>
      <c r="W55" s="16">
        <f>IF(ISNA(VLOOKUP(A55,'Données projet'!$A$35:$I$55,5,0)),0%,VLOOKUP(A55,'Données projet'!$A$35:$I$55,5,0)*VLOOKUP('Données projet'!$B$9,Paramètres!$A$1:$I$89,7,0))</f>
        <v>0.27</v>
      </c>
      <c r="X55" s="16">
        <f>IF(ISNA(VLOOKUP(A55,'Données projet'!$A$35:$I$55,6,0)),0%,VLOOKUP(A55,'Données projet'!$A$35:$I$55,6,0)*VLOOKUP('Données projet'!$B$9,Paramètres!$A$1:$I$89,7,0))</f>
        <v>9.0000000000000011E-2</v>
      </c>
      <c r="Y55" s="16">
        <f>IF(ISNA(VLOOKUP(A55,'Données projet'!$A$35:$I$55,7,0)),0%,VLOOKUP(A55,'Données projet'!$A$35:$I$55,7,0))</f>
        <v>0.2</v>
      </c>
      <c r="Z55" s="21">
        <f>EXP(-LN(2)/35)*Z54+(1-EXP(-LN(2)/35))/(LN(2)/35)*V55*W55*VLOOKUP('Données projet'!$B$9,Paramètres!$A$1:$I$89,3,0)*0.475*44/12</f>
        <v>23.748285721610717</v>
      </c>
      <c r="AA55" s="21">
        <f>EXP(-LN(2)/25)*AA54+(1-EXP(-LN(2)/25))/(LN(2)/25)*Calculateur!V55*Calculateur!X55*VLOOKUP('Données projet'!$B$9,Paramètres!$A$1:$I$89,3,0)*0.475*44/12</f>
        <v>13.764695054826261</v>
      </c>
      <c r="AB55" s="21">
        <f>EXP(-LN(2)/2)*AB54+(1-EXP(-LN(2)/2))/(LN(2)/2)*V55*Y55*VLOOKUP('Données projet'!$B$9,Paramètres!$A$1:$I$89,3,0)*0.475*44/12</f>
        <v>6.4324931452210468</v>
      </c>
      <c r="AC55" s="22">
        <f t="shared" si="3"/>
        <v>43.945473921658021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14.113999999999999</v>
      </c>
      <c r="AI55" s="13">
        <f>IF('Données projet'!$A$62&gt;35,AI54+AH55-AQ54,IF(A55&lt;'Données projet'!$A$62,$AF$205^A55,IF(A55='Données projet'!$A$62,'Données projet'!$B$62,AI54+AH55-AQ54)))</f>
        <v>328.02800000000002</v>
      </c>
      <c r="AJ55" s="13">
        <f>AI55*VLOOKUP('Données projet'!$B$10,Paramètres!$A$1:$I$89,3,0)*VLOOKUP('Données projet'!$B$10,Paramètres!$A$1:$I$89,5,0)</f>
        <v>196.16074400000002</v>
      </c>
      <c r="AK55" s="13">
        <f t="shared" si="35"/>
        <v>48.899465996260361</v>
      </c>
      <c r="AL55" s="20">
        <f t="shared" si="4"/>
        <v>426.81319907682013</v>
      </c>
      <c r="AM55" s="59">
        <f t="shared" si="5"/>
        <v>720.14653241015344</v>
      </c>
      <c r="AN55" s="59">
        <f ca="1">AVERAGE(OFFSET($AM$3,0,0,'Données projet'!$E$10+1,1))-AVERAGE(OFFSET($H$3,0,0,'Données projet'!$E$10+1,1))</f>
        <v>349.71285006949597</v>
      </c>
      <c r="AO55" s="59">
        <f t="shared" si="36"/>
        <v>258.51550516456842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34.631090007213515</v>
      </c>
      <c r="AV55" s="21">
        <f>EXP(-LN(2)/25)*AV54+(1-EXP(-LN(2)/25))/(LN(2)/25)*Calculateur!AQ55*Calculateur!AS55*VLOOKUP('Données projet'!$B$10,Paramètres!$A$1:$I$89,3,0)*0.475*44/12</f>
        <v>17.934797050095433</v>
      </c>
      <c r="AW55" s="21">
        <f>EXP(-LN(2)/2)*AW54+(1-EXP(-LN(2)/2))/(LN(2)/2)*AQ55*AT55*VLOOKUP('Données projet'!$B$10,Paramètres!$A$1:$I$89,3,0)*0.475*44/12</f>
        <v>4.9896936336351088</v>
      </c>
      <c r="AX55" s="21">
        <f t="shared" si="6"/>
        <v>57.555580690944055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9.1524999999999999</v>
      </c>
      <c r="BD55" s="12">
        <f>IF('Données projet'!$A$88&gt;35,BD54+BC55-BL54,IF(A55&lt;'Données projet'!$A$88,$BA$205^A55,IF(A55='Données projet'!$A$88,'Données projet'!$B$88,BD54+BC55-BL54)))</f>
        <v>153.23250000000027</v>
      </c>
      <c r="BE55" s="13">
        <f>BD55*VLOOKUP('Données projet'!$B$11,Paramètres!$A$1:$I$89,3,0)*VLOOKUP('Données projet'!$B$11,Paramètres!$A$1:$I$89,5,0)</f>
        <v>138.64476600000023</v>
      </c>
      <c r="BF55" s="13">
        <f t="shared" si="37"/>
        <v>35.986364870124042</v>
      </c>
      <c r="BG55" s="20">
        <f t="shared" si="7"/>
        <v>304.14921959879979</v>
      </c>
      <c r="BH55" s="59">
        <f t="shared" si="8"/>
        <v>597.4825529321331</v>
      </c>
      <c r="BI55" s="59">
        <f ca="1">AVERAGE(OFFSET($BH$3,0,0,'Données projet'!$E$11+1,1))-AVERAGE(OFFSET($H$3,0,0,'Données projet'!$E$11+1,1))</f>
        <v>490.06222615476065</v>
      </c>
      <c r="BJ55" s="59">
        <f t="shared" si="38"/>
        <v>310.43914804089906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37.309787125419831</v>
      </c>
      <c r="BR55" s="21">
        <f>EXP(-LN(2)/2)*BR54+(1-EXP(-LN(2)/2))/(LN(2)/2)*BL55*BO55*VLOOKUP('Données projet'!$B$11,Paramètres!$A$1:$I$89,3,0)*0.475*44/12</f>
        <v>6.7063671679952934</v>
      </c>
      <c r="BS55" s="22">
        <f t="shared" si="9"/>
        <v>44.016154293415127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169.00594879999991</v>
      </c>
      <c r="CA55" s="13">
        <f t="shared" si="39"/>
        <v>42.867313252762536</v>
      </c>
      <c r="CB55" s="20">
        <f t="shared" si="10"/>
        <v>369.01259807522791</v>
      </c>
      <c r="CC55" s="59">
        <f t="shared" si="11"/>
        <v>662.34593140856123</v>
      </c>
      <c r="CD55" s="59">
        <f ca="1">AVERAGE(OFFSET($CC$3,0,0,'Données projet'!$E$12+1,1))-AVERAGE(OFFSET($H$3,0,0,'Données projet'!$E$12+1,1))</f>
        <v>510.71380643466227</v>
      </c>
      <c r="CE55" s="59">
        <f t="shared" si="40"/>
        <v>252.40654099948841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178.07</v>
      </c>
      <c r="CR55" s="12">
        <f>VLOOKUP(A55,'Données projet'!$A$139:$I$159,9,0)</f>
        <v>10.001428571428571</v>
      </c>
      <c r="CS55" s="12">
        <f t="array" ref="CS55">INDEX(CR:CR,MIN(IF(ISNUMBER(CR55:CR251),ROW(CR55:CR251),"")))</f>
        <v>10.001428571428571</v>
      </c>
      <c r="CT55" s="12">
        <f>IF('Données projet'!$A$140&gt;35,CT54+CS55-DB54,IF(A55&lt;'Données projet'!$A$140,$CQ$205^A55,IF(A55='Données projet'!$A$140,'Données projet'!$B$140,CT54+CS55-DB54)))</f>
        <v>178.06999999999996</v>
      </c>
      <c r="CU55" s="17">
        <f>CT55*VLOOKUP('Données projet'!$B$13,Paramètres!$A$1:$I$89,3,0)*VLOOKUP('Données projet'!$B$13,Paramètres!$A$1:$I$89,5,0)</f>
        <v>191.67454799999996</v>
      </c>
      <c r="CV55" s="13">
        <f t="shared" si="41"/>
        <v>47.909982358169465</v>
      </c>
      <c r="CW55" s="20">
        <f t="shared" si="13"/>
        <v>417.27639037381169</v>
      </c>
      <c r="CX55" s="59">
        <f t="shared" si="14"/>
        <v>710.60972370714501</v>
      </c>
      <c r="CY55" s="59">
        <f ca="1">AVERAGE(OFFSET($CX$3,0,0,'Données projet'!$E$13+1,1))-AVERAGE(OFFSET($H$3,0,0,'Données projet'!$E$13+1,1))</f>
        <v>502.65044103360322</v>
      </c>
      <c r="CZ55" s="59">
        <f t="shared" si="42"/>
        <v>321.65762891855167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44.400000000000006</v>
      </c>
      <c r="DC55" s="16">
        <f>IF(ISNA(VLOOKUP(A55,'Données projet'!$A$139:$I$159,5,0)),0%,VLOOKUP(A55,'Données projet'!$A$139:$I$159,5,0)*VLOOKUP('Données projet'!$B$13,Paramètres!$A$1:$I$89,7,0))</f>
        <v>0.15049999999999999</v>
      </c>
      <c r="DD55" s="16">
        <f>IF(ISNA(VLOOKUP(A55,'Données projet'!$A$139:$I$159,6,0)),0%,VLOOKUP(A55,'Données projet'!$A$139:$I$159,6,0)*VLOOKUP('Données projet'!$B$13,Paramètres!$A$1:$I$89,7,0))</f>
        <v>8.6000000000000007E-2</v>
      </c>
      <c r="DE55" s="16">
        <f>IF(ISNA(VLOOKUP(A55,'Données projet'!$A$139:$I$159,7,0)),0%,VLOOKUP(A55,'Données projet'!$A$139:$I$159,7,0))</f>
        <v>0.1</v>
      </c>
      <c r="DF55" s="21">
        <f>EXP(-LN(2)/35)*DF54+(1-EXP(-LN(2)/35))/(LN(2)/35)*DB55*DC55*VLOOKUP('Données projet'!$B$13,Paramètres!$A$1:$I$89,3,0)*0.475*44/12</f>
        <v>7.9513389967118711</v>
      </c>
      <c r="DG55" s="21">
        <f>EXP(-LN(2)/25)*DG54+(1-EXP(-LN(2)/25))/(LN(2)/25)*Calculateur!DB55*Calculateur!DD55*VLOOKUP('Données projet'!$B$13,Paramètres!$A$1:$I$89,3,0)*0.475*44/12</f>
        <v>38.318517374358819</v>
      </c>
      <c r="DH55" s="21">
        <f>EXP(-LN(2)/2)*DH54+(1-EXP(-LN(2)/2))/(LN(2)/2)*DB55*DE55*VLOOKUP('Données projet'!$B$13,Paramètres!$A$1:$I$89,3,0)*0.475*44/12</f>
        <v>5.3713810335501559</v>
      </c>
      <c r="DI55" s="22">
        <f t="shared" si="15"/>
        <v>51.641237404620846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-25.899999999999977</v>
      </c>
      <c r="DP55" s="17">
        <f>DO55*VLOOKUP('Données projet'!$B$14,Paramètres!$A$1:$I$89,3,0)*VLOOKUP('Données projet'!$B$14,Paramètres!$A$1:$I$89,5,0)</f>
        <v>-13.171703999999989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63.94726564348116</v>
      </c>
      <c r="DU55" s="59">
        <f t="shared" si="44"/>
        <v>280.8165028422905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33.001632889181714</v>
      </c>
      <c r="EB55" s="21">
        <f>EXP(-LN(2)/25)*EB54+(1-EXP(-LN(2)/25))/(LN(2)/25)*Calculateur!DW55*Calculateur!DY55*VLOOKUP('Données projet'!$B$14,Paramètres!$A$1:$I$89,3,0)*0.475*44/12</f>
        <v>3.5307883882913509</v>
      </c>
      <c r="EC55" s="21">
        <f>EXP(-LN(2)/2)*EC54+(1-EXP(-LN(2)/2))/(LN(2)/2)*DW55*DZ55*VLOOKUP('Données projet'!$B$14,Paramètres!$A$1:$I$89,3,0)*0.475*44/12</f>
        <v>4.7445121903111599E-5</v>
      </c>
      <c r="ED55" s="22">
        <f t="shared" si="18"/>
        <v>36.532468722594963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8.6975000000000016</v>
      </c>
      <c r="N56" s="13">
        <f>IF('Données projet'!$A$36&gt;35,N55+M56-V55,IF(A56&lt;'Données projet'!$A$36,$K$205^A56,IF(A56='Données projet'!$A$36,'Données projet'!$B$36,N55+M56-V55)))</f>
        <v>238.23749999999981</v>
      </c>
      <c r="O56" s="13">
        <f>N56*VLOOKUP('Données projet'!$B$9,Paramètres!$A$1:$I$89,3,0)*VLOOKUP('Données projet'!$B$9,Paramètres!$A$1:$I$89,5,0)</f>
        <v>136.27184999999989</v>
      </c>
      <c r="P56" s="13">
        <f t="shared" si="33"/>
        <v>35.441601705815643</v>
      </c>
      <c r="Q56" s="20">
        <f t="shared" si="53"/>
        <v>299.0675950542954</v>
      </c>
      <c r="R56" s="59">
        <f t="shared" si="0"/>
        <v>592.40092838762871</v>
      </c>
      <c r="S56" s="59">
        <f ca="1">AVERAGE(OFFSET($R$3,0,0,'Données projet'!$E$9+1,1))-AVERAGE(OFFSET($H$3,0,0,'Données projet'!$E$9+1,1))</f>
        <v>294.9631697747962</v>
      </c>
      <c r="T56" s="59">
        <f t="shared" si="34"/>
        <v>202.04924881627716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23.282596323633943</v>
      </c>
      <c r="AA56" s="21">
        <f>EXP(-LN(2)/25)*AA55+(1-EXP(-LN(2)/25))/(LN(2)/25)*Calculateur!V56*Calculateur!X56*VLOOKUP('Données projet'!$B$9,Paramètres!$A$1:$I$89,3,0)*0.475*44/12</f>
        <v>13.388298744698183</v>
      </c>
      <c r="AB56" s="21">
        <f>EXP(-LN(2)/2)*AB55+(1-EXP(-LN(2)/2))/(LN(2)/2)*V56*Y56*VLOOKUP('Données projet'!$B$9,Paramètres!$A$1:$I$89,3,0)*0.475*44/12</f>
        <v>4.5484595229217861</v>
      </c>
      <c r="AC56" s="22">
        <f t="shared" si="3"/>
        <v>41.219354591253918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14.113999999999999</v>
      </c>
      <c r="AI56" s="13">
        <f>IF('Données projet'!$A$62&gt;35,AI55+AH56-AQ55,IF(A56&lt;'Données projet'!$A$62,$AF$205^A56,IF(A56='Données projet'!$A$62,'Données projet'!$B$62,AI55+AH56-AQ55)))</f>
        <v>342.142</v>
      </c>
      <c r="AJ56" s="13">
        <f>AI56*VLOOKUP('Données projet'!$B$10,Paramètres!$A$1:$I$89,3,0)*VLOOKUP('Données projet'!$B$10,Paramètres!$A$1:$I$89,5,0)</f>
        <v>204.60091600000001</v>
      </c>
      <c r="AK56" s="13">
        <f t="shared" si="35"/>
        <v>50.753967472357871</v>
      </c>
      <c r="AL56" s="20">
        <f t="shared" si="4"/>
        <v>444.74308871435665</v>
      </c>
      <c r="AM56" s="59">
        <f t="shared" si="5"/>
        <v>738.0764220476899</v>
      </c>
      <c r="AN56" s="59">
        <f ca="1">AVERAGE(OFFSET($AM$3,0,0,'Données projet'!$E$10+1,1))-AVERAGE(OFFSET($H$3,0,0,'Données projet'!$E$10+1,1))</f>
        <v>349.71285006949597</v>
      </c>
      <c r="AO56" s="59">
        <f t="shared" si="36"/>
        <v>258.51550516456842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33.951995455051254</v>
      </c>
      <c r="AV56" s="21">
        <f>EXP(-LN(2)/25)*AV55+(1-EXP(-LN(2)/25))/(LN(2)/25)*Calculateur!AQ56*Calculateur!AS56*VLOOKUP('Données projet'!$B$10,Paramètres!$A$1:$I$89,3,0)*0.475*44/12</f>
        <v>17.444369081610589</v>
      </c>
      <c r="AW56" s="21">
        <f>EXP(-LN(2)/2)*AW55+(1-EXP(-LN(2)/2))/(LN(2)/2)*AQ56*AT56*VLOOKUP('Données projet'!$B$10,Paramètres!$A$1:$I$89,3,0)*0.475*44/12</f>
        <v>3.5282462043867304</v>
      </c>
      <c r="AX56" s="21">
        <f t="shared" si="6"/>
        <v>54.924610741048575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9.1524999999999999</v>
      </c>
      <c r="BD56" s="12">
        <f>IF('Données projet'!$A$88&gt;35,BD55+BC56-BL55,IF(A56&lt;'Données projet'!$A$88,$BA$205^A56,IF(A56='Données projet'!$A$88,'Données projet'!$B$88,BD55+BC56-BL55)))</f>
        <v>162.38500000000028</v>
      </c>
      <c r="BE56" s="13">
        <f>BD56*VLOOKUP('Données projet'!$B$11,Paramètres!$A$1:$I$89,3,0)*VLOOKUP('Données projet'!$B$11,Paramètres!$A$1:$I$89,5,0)</f>
        <v>146.92594800000026</v>
      </c>
      <c r="BF56" s="13">
        <f t="shared" si="37"/>
        <v>37.879156618717644</v>
      </c>
      <c r="BG56" s="20">
        <f t="shared" si="7"/>
        <v>321.868890544267</v>
      </c>
      <c r="BH56" s="59">
        <f t="shared" si="8"/>
        <v>615.20222387760032</v>
      </c>
      <c r="BI56" s="59">
        <f ca="1">AVERAGE(OFFSET($BH$3,0,0,'Données projet'!$E$11+1,1))-AVERAGE(OFFSET($H$3,0,0,'Données projet'!$E$11+1,1))</f>
        <v>490.06222615476065</v>
      </c>
      <c r="BJ56" s="59">
        <f t="shared" si="38"/>
        <v>310.43914804089906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36.289549034438792</v>
      </c>
      <c r="BR56" s="21">
        <f>EXP(-LN(2)/2)*BR55+(1-EXP(-LN(2)/2))/(LN(2)/2)*BL56*BO56*VLOOKUP('Données projet'!$B$11,Paramètres!$A$1:$I$89,3,0)*0.475*44/12</f>
        <v>4.7421177016162943</v>
      </c>
      <c r="BS56" s="22">
        <f t="shared" si="9"/>
        <v>41.031666736055087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172.25606319999994</v>
      </c>
      <c r="CA56" s="13">
        <f t="shared" si="39"/>
        <v>43.594918341190329</v>
      </c>
      <c r="CB56" s="20">
        <f t="shared" si="10"/>
        <v>375.94045951757306</v>
      </c>
      <c r="CC56" s="59">
        <f t="shared" si="11"/>
        <v>669.27379285090637</v>
      </c>
      <c r="CD56" s="59">
        <f ca="1">AVERAGE(OFFSET($CC$3,0,0,'Données projet'!$E$12+1,1))-AVERAGE(OFFSET($H$3,0,0,'Données projet'!$E$12+1,1))</f>
        <v>510.71380643466227</v>
      </c>
      <c r="CE56" s="59">
        <f t="shared" si="40"/>
        <v>252.40654099948841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9.8828571428571443</v>
      </c>
      <c r="CT56" s="12">
        <f>IF('Données projet'!$A$140&gt;35,CT55+CS56-DB55,IF(A56&lt;'Données projet'!$A$140,$CQ$205^A56,IF(A56='Données projet'!$A$140,'Données projet'!$B$140,CT55+CS56-DB55)))</f>
        <v>143.55285714285711</v>
      </c>
      <c r="CU56" s="17">
        <f>CT56*VLOOKUP('Données projet'!$B$13,Paramètres!$A$1:$I$89,3,0)*VLOOKUP('Données projet'!$B$13,Paramètres!$A$1:$I$89,5,0)</f>
        <v>154.52029542857136</v>
      </c>
      <c r="CV56" s="13">
        <f t="shared" si="41"/>
        <v>39.604057192238628</v>
      </c>
      <c r="CW56" s="20">
        <f t="shared" si="13"/>
        <v>338.09991414791068</v>
      </c>
      <c r="CX56" s="59">
        <f t="shared" si="14"/>
        <v>631.43324748124405</v>
      </c>
      <c r="CY56" s="59">
        <f ca="1">AVERAGE(OFFSET($CX$3,0,0,'Données projet'!$E$13+1,1))-AVERAGE(OFFSET($H$3,0,0,'Données projet'!$E$13+1,1))</f>
        <v>502.65044103360322</v>
      </c>
      <c r="CZ56" s="59">
        <f t="shared" si="42"/>
        <v>321.65762891855167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7.7954180888242579</v>
      </c>
      <c r="DG56" s="21">
        <f>EXP(-LN(2)/25)*DG55+(1-EXP(-LN(2)/25))/(LN(2)/25)*Calculateur!DB56*Calculateur!DD56*VLOOKUP('Données projet'!$B$13,Paramètres!$A$1:$I$89,3,0)*0.475*44/12</f>
        <v>37.270695501673728</v>
      </c>
      <c r="DH56" s="21">
        <f>EXP(-LN(2)/2)*DH55+(1-EXP(-LN(2)/2))/(LN(2)/2)*DB56*DE56*VLOOKUP('Données projet'!$B$13,Paramètres!$A$1:$I$89,3,0)*0.475*44/12</f>
        <v>3.7981399531601219</v>
      </c>
      <c r="DI56" s="22">
        <f t="shared" si="15"/>
        <v>48.864253543658108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-25.899999999999977</v>
      </c>
      <c r="DP56" s="17">
        <f>DO56*VLOOKUP('Données projet'!$B$14,Paramètres!$A$1:$I$89,3,0)*VLOOKUP('Données projet'!$B$14,Paramètres!$A$1:$I$89,5,0)</f>
        <v>-13.171703999999989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63.94726564348116</v>
      </c>
      <c r="DU56" s="59">
        <f t="shared" si="44"/>
        <v>280.8165028422905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32.354490997233349</v>
      </c>
      <c r="EB56" s="21">
        <f>EXP(-LN(2)/25)*EB55+(1-EXP(-LN(2)/25))/(LN(2)/25)*Calculateur!DW56*Calculateur!DY56*VLOOKUP('Données projet'!$B$14,Paramètres!$A$1:$I$89,3,0)*0.475*44/12</f>
        <v>3.4342387941374324</v>
      </c>
      <c r="EC56" s="21">
        <f>EXP(-LN(2)/2)*EC55+(1-EXP(-LN(2)/2))/(LN(2)/2)*DW56*DZ56*VLOOKUP('Données projet'!$B$14,Paramètres!$A$1:$I$89,3,0)*0.475*44/12</f>
        <v>3.3548767431912606E-5</v>
      </c>
      <c r="ED56" s="22">
        <f t="shared" si="18"/>
        <v>35.788763340138217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8.6975000000000016</v>
      </c>
      <c r="N57" s="13">
        <f>IF('Données projet'!$A$36&gt;35,N56+M57-V56,IF(A57&lt;'Données projet'!$A$36,$K$205^A57,IF(A57='Données projet'!$A$36,'Données projet'!$B$36,N56+M57-V56)))</f>
        <v>246.9349999999998</v>
      </c>
      <c r="O57" s="13">
        <f>N57*VLOOKUP('Données projet'!$B$9,Paramètres!$A$1:$I$89,3,0)*VLOOKUP('Données projet'!$B$9,Paramètres!$A$1:$I$89,5,0)</f>
        <v>141.2468199999999</v>
      </c>
      <c r="P57" s="13">
        <f t="shared" si="33"/>
        <v>36.582486889488536</v>
      </c>
      <c r="Q57" s="20">
        <f t="shared" si="53"/>
        <v>309.71937616585905</v>
      </c>
      <c r="R57" s="59">
        <f t="shared" si="0"/>
        <v>603.05270949919236</v>
      </c>
      <c r="S57" s="59">
        <f ca="1">AVERAGE(OFFSET($R$3,0,0,'Données projet'!$E$9+1,1))-AVERAGE(OFFSET($H$3,0,0,'Données projet'!$E$9+1,1))</f>
        <v>294.9631697747962</v>
      </c>
      <c r="T57" s="59">
        <f t="shared" si="34"/>
        <v>202.04924881627716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22.826038810709008</v>
      </c>
      <c r="AA57" s="21">
        <f>EXP(-LN(2)/25)*AA56+(1-EXP(-LN(2)/25))/(LN(2)/25)*Calculateur!V57*Calculateur!X57*VLOOKUP('Données projet'!$B$9,Paramètres!$A$1:$I$89,3,0)*0.475*44/12</f>
        <v>13.02219501146438</v>
      </c>
      <c r="AB57" s="21">
        <f>EXP(-LN(2)/2)*AB56+(1-EXP(-LN(2)/2))/(LN(2)/2)*V57*Y57*VLOOKUP('Données projet'!$B$9,Paramètres!$A$1:$I$89,3,0)*0.475*44/12</f>
        <v>3.2162465726105238</v>
      </c>
      <c r="AC57" s="22">
        <f t="shared" si="3"/>
        <v>39.064480394783907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14.113999999999999</v>
      </c>
      <c r="AI57" s="13">
        <f>IF('Données projet'!$A$62&gt;35,AI56+AH57-AQ56,IF(A57&lt;'Données projet'!$A$62,$AF$205^A57,IF(A57='Données projet'!$A$62,'Données projet'!$B$62,AI56+AH57-AQ56)))</f>
        <v>356.25599999999997</v>
      </c>
      <c r="AJ57" s="13">
        <f>AI57*VLOOKUP('Données projet'!$B$10,Paramètres!$A$1:$I$89,3,0)*VLOOKUP('Données projet'!$B$10,Paramètres!$A$1:$I$89,5,0)</f>
        <v>213.041088</v>
      </c>
      <c r="AK57" s="13">
        <f t="shared" si="35"/>
        <v>52.599582837576946</v>
      </c>
      <c r="AL57" s="20">
        <f t="shared" si="4"/>
        <v>462.65750170877988</v>
      </c>
      <c r="AM57" s="59">
        <f t="shared" si="5"/>
        <v>755.99083504211319</v>
      </c>
      <c r="AN57" s="59">
        <f ca="1">AVERAGE(OFFSET($AM$3,0,0,'Données projet'!$E$10+1,1))-AVERAGE(OFFSET($H$3,0,0,'Données projet'!$E$10+1,1))</f>
        <v>349.71285006949597</v>
      </c>
      <c r="AO57" s="59">
        <f t="shared" si="36"/>
        <v>258.51550516456842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33.286217532850117</v>
      </c>
      <c r="AV57" s="21">
        <f>EXP(-LN(2)/25)*AV56+(1-EXP(-LN(2)/25))/(LN(2)/25)*Calculateur!AQ57*Calculateur!AS57*VLOOKUP('Données projet'!$B$10,Paramètres!$A$1:$I$89,3,0)*0.475*44/12</f>
        <v>16.967351891714447</v>
      </c>
      <c r="AW57" s="21">
        <f>EXP(-LN(2)/2)*AW56+(1-EXP(-LN(2)/2))/(LN(2)/2)*AQ57*AT57*VLOOKUP('Données projet'!$B$10,Paramètres!$A$1:$I$89,3,0)*0.475*44/12</f>
        <v>2.4948468168175548</v>
      </c>
      <c r="AX57" s="21">
        <f t="shared" si="6"/>
        <v>52.748416241382117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9.1524999999999999</v>
      </c>
      <c r="BD57" s="12">
        <f>IF('Données projet'!$A$88&gt;35,BD56+BC57-BL56,IF(A57&lt;'Données projet'!$A$88,$BA$205^A57,IF(A57='Données projet'!$A$88,'Données projet'!$B$88,BD56+BC57-BL56)))</f>
        <v>171.53750000000028</v>
      </c>
      <c r="BE57" s="13">
        <f>BD57*VLOOKUP('Données projet'!$B$11,Paramètres!$A$1:$I$89,3,0)*VLOOKUP('Données projet'!$B$11,Paramètres!$A$1:$I$89,5,0)</f>
        <v>155.20713000000023</v>
      </c>
      <c r="BF57" s="13">
        <f t="shared" si="37"/>
        <v>39.759564149610455</v>
      </c>
      <c r="BG57" s="20">
        <f t="shared" si="7"/>
        <v>339.56699231057195</v>
      </c>
      <c r="BH57" s="59">
        <f t="shared" si="8"/>
        <v>632.90032564390526</v>
      </c>
      <c r="BI57" s="59">
        <f ca="1">AVERAGE(OFFSET($BH$3,0,0,'Données projet'!$E$11+1,1))-AVERAGE(OFFSET($H$3,0,0,'Données projet'!$E$11+1,1))</f>
        <v>490.06222615476065</v>
      </c>
      <c r="BJ57" s="59">
        <f t="shared" si="38"/>
        <v>310.43914804089906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35.297209407707619</v>
      </c>
      <c r="BR57" s="21">
        <f>EXP(-LN(2)/2)*BR56+(1-EXP(-LN(2)/2))/(LN(2)/2)*BL57*BO57*VLOOKUP('Données projet'!$B$11,Paramètres!$A$1:$I$89,3,0)*0.475*44/12</f>
        <v>3.3531835839976467</v>
      </c>
      <c r="BS57" s="22">
        <f t="shared" si="9"/>
        <v>38.650392991705267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175.50617759999992</v>
      </c>
      <c r="CA57" s="13">
        <f t="shared" si="39"/>
        <v>44.320927097461883</v>
      </c>
      <c r="CB57" s="20">
        <f t="shared" si="10"/>
        <v>382.8655406814126</v>
      </c>
      <c r="CC57" s="59">
        <f t="shared" si="11"/>
        <v>676.19887401474591</v>
      </c>
      <c r="CD57" s="59">
        <f ca="1">AVERAGE(OFFSET($CC$3,0,0,'Données projet'!$E$12+1,1))-AVERAGE(OFFSET($H$3,0,0,'Données projet'!$E$12+1,1))</f>
        <v>510.71380643466227</v>
      </c>
      <c r="CE57" s="59">
        <f t="shared" si="40"/>
        <v>252.40654099948841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9.8828571428571443</v>
      </c>
      <c r="CT57" s="12">
        <f>IF('Données projet'!$A$140&gt;35,CT56+CS57-DB56,IF(A57&lt;'Données projet'!$A$140,$CQ$205^A57,IF(A57='Données projet'!$A$140,'Données projet'!$B$140,CT56+CS57-DB56)))</f>
        <v>153.43571428571425</v>
      </c>
      <c r="CU57" s="17">
        <f>CT57*VLOOKUP('Données projet'!$B$13,Paramètres!$A$1:$I$89,3,0)*VLOOKUP('Données projet'!$B$13,Paramètres!$A$1:$I$89,5,0)</f>
        <v>165.15820285714281</v>
      </c>
      <c r="CV57" s="13">
        <f t="shared" si="41"/>
        <v>42.003805239427415</v>
      </c>
      <c r="CW57" s="20">
        <f t="shared" si="13"/>
        <v>360.80716410152644</v>
      </c>
      <c r="CX57" s="59">
        <f t="shared" si="14"/>
        <v>654.14049743485975</v>
      </c>
      <c r="CY57" s="59">
        <f ca="1">AVERAGE(OFFSET($CX$3,0,0,'Données projet'!$E$13+1,1))-AVERAGE(OFFSET($H$3,0,0,'Données projet'!$E$13+1,1))</f>
        <v>502.65044103360322</v>
      </c>
      <c r="CZ57" s="59">
        <f t="shared" si="42"/>
        <v>321.65762891855167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7.6425546948379575</v>
      </c>
      <c r="DG57" s="21">
        <f>EXP(-LN(2)/25)*DG56+(1-EXP(-LN(2)/25))/(LN(2)/25)*Calculateur!DB57*Calculateur!DD57*VLOOKUP('Données projet'!$B$13,Paramètres!$A$1:$I$89,3,0)*0.475*44/12</f>
        <v>36.251526373199766</v>
      </c>
      <c r="DH57" s="21">
        <f>EXP(-LN(2)/2)*DH56+(1-EXP(-LN(2)/2))/(LN(2)/2)*DB57*DE57*VLOOKUP('Données projet'!$B$13,Paramètres!$A$1:$I$89,3,0)*0.475*44/12</f>
        <v>2.6856905167750784</v>
      </c>
      <c r="DI57" s="22">
        <f t="shared" si="15"/>
        <v>46.579771584812796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-25.899999999999977</v>
      </c>
      <c r="DP57" s="17">
        <f>DO57*VLOOKUP('Données projet'!$B$14,Paramètres!$A$1:$I$89,3,0)*VLOOKUP('Données projet'!$B$14,Paramètres!$A$1:$I$89,5,0)</f>
        <v>-13.171703999999989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63.94726564348116</v>
      </c>
      <c r="DU57" s="59">
        <f t="shared" si="44"/>
        <v>280.8165028422905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31.720039163068513</v>
      </c>
      <c r="EB57" s="21">
        <f>EXP(-LN(2)/25)*EB56+(1-EXP(-LN(2)/25))/(LN(2)/25)*Calculateur!DW57*Calculateur!DY57*VLOOKUP('Données projet'!$B$14,Paramètres!$A$1:$I$89,3,0)*0.475*44/12</f>
        <v>3.340329353712975</v>
      </c>
      <c r="EC57" s="21">
        <f>EXP(-LN(2)/2)*EC56+(1-EXP(-LN(2)/2))/(LN(2)/2)*DW57*DZ57*VLOOKUP('Données projet'!$B$14,Paramètres!$A$1:$I$89,3,0)*0.475*44/12</f>
        <v>2.3722560951555799E-5</v>
      </c>
      <c r="ED57" s="22">
        <f t="shared" si="18"/>
        <v>35.060392239342441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8.6975000000000016</v>
      </c>
      <c r="N58" s="13">
        <f>IF('Données projet'!$A$36&gt;35,N57+M58-V57,IF(A58&lt;'Données projet'!$A$36,$K$205^A58,IF(A58='Données projet'!$A$36,'Données projet'!$B$36,N57+M58-V57)))</f>
        <v>255.63249999999979</v>
      </c>
      <c r="O58" s="13">
        <f>N58*VLOOKUP('Données projet'!$B$9,Paramètres!$A$1:$I$89,3,0)*VLOOKUP('Données projet'!$B$9,Paramètres!$A$1:$I$89,5,0)</f>
        <v>146.22178999999988</v>
      </c>
      <c r="P58" s="13">
        <f t="shared" si="33"/>
        <v>37.718703204968179</v>
      </c>
      <c r="Q58" s="20">
        <f t="shared" si="53"/>
        <v>320.3630256653193</v>
      </c>
      <c r="R58" s="59">
        <f t="shared" si="0"/>
        <v>613.69635899865261</v>
      </c>
      <c r="S58" s="59">
        <f ca="1">AVERAGE(OFFSET($R$3,0,0,'Données projet'!$E$9+1,1))-AVERAGE(OFFSET($H$3,0,0,'Données projet'!$E$9+1,1))</f>
        <v>294.9631697747962</v>
      </c>
      <c r="T58" s="59">
        <f t="shared" si="34"/>
        <v>202.04924881627716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22.378434112139946</v>
      </c>
      <c r="AA58" s="21">
        <f>EXP(-LN(2)/25)*AA57+(1-EXP(-LN(2)/25))/(LN(2)/25)*Calculateur!V58*Calculateur!X58*VLOOKUP('Données projet'!$B$9,Paramètres!$A$1:$I$89,3,0)*0.475*44/12</f>
        <v>12.666102404068413</v>
      </c>
      <c r="AB58" s="21">
        <f>EXP(-LN(2)/2)*AB57+(1-EXP(-LN(2)/2))/(LN(2)/2)*V58*Y58*VLOOKUP('Données projet'!$B$9,Paramètres!$A$1:$I$89,3,0)*0.475*44/12</f>
        <v>2.2742297614608931</v>
      </c>
      <c r="AC58" s="22">
        <f t="shared" si="3"/>
        <v>37.318766277669255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14.113999999999999</v>
      </c>
      <c r="AI58" s="13">
        <f>IF('Données projet'!$A$62&gt;35,AI57+AH58-AQ57,IF(A58&lt;'Données projet'!$A$62,$AF$205^A58,IF(A58='Données projet'!$A$62,'Données projet'!$B$62,AI57+AH58-AQ57)))</f>
        <v>370.36999999999995</v>
      </c>
      <c r="AJ58" s="13">
        <f>AI58*VLOOKUP('Données projet'!$B$10,Paramètres!$A$1:$I$89,3,0)*VLOOKUP('Données projet'!$B$10,Paramètres!$A$1:$I$89,5,0)</f>
        <v>221.48125999999999</v>
      </c>
      <c r="AK58" s="13">
        <f t="shared" si="35"/>
        <v>54.436704420571644</v>
      </c>
      <c r="AL58" s="20">
        <f t="shared" si="4"/>
        <v>480.55712136582889</v>
      </c>
      <c r="AM58" s="59">
        <f t="shared" si="5"/>
        <v>773.89045469916221</v>
      </c>
      <c r="AN58" s="59">
        <f ca="1">AVERAGE(OFFSET($AM$3,0,0,'Données projet'!$E$10+1,1))-AVERAGE(OFFSET($H$3,0,0,'Données projet'!$E$10+1,1))</f>
        <v>349.71285006949597</v>
      </c>
      <c r="AO58" s="59">
        <f t="shared" si="36"/>
        <v>258.51550516456842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32.633495109618906</v>
      </c>
      <c r="AV58" s="21">
        <f>EXP(-LN(2)/25)*AV57+(1-EXP(-LN(2)/25))/(LN(2)/25)*Calculateur!AQ58*Calculateur!AS58*VLOOKUP('Données projet'!$B$10,Paramètres!$A$1:$I$89,3,0)*0.475*44/12</f>
        <v>16.503378761961258</v>
      </c>
      <c r="AW58" s="21">
        <f>EXP(-LN(2)/2)*AW57+(1-EXP(-LN(2)/2))/(LN(2)/2)*AQ58*AT58*VLOOKUP('Données projet'!$B$10,Paramètres!$A$1:$I$89,3,0)*0.475*44/12</f>
        <v>1.7641231021933654</v>
      </c>
      <c r="AX58" s="21">
        <f t="shared" si="6"/>
        <v>50.90099697377353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9.1524999999999999</v>
      </c>
      <c r="BD58" s="12">
        <f>IF('Données projet'!$A$88&gt;35,BD57+BC58-BL57,IF(A58&lt;'Données projet'!$A$88,$BA$205^A58,IF(A58='Données projet'!$A$88,'Données projet'!$B$88,BD57+BC58-BL57)))</f>
        <v>180.69000000000028</v>
      </c>
      <c r="BE58" s="13">
        <f>BD58*VLOOKUP('Données projet'!$B$11,Paramètres!$A$1:$I$89,3,0)*VLOOKUP('Données projet'!$B$11,Paramètres!$A$1:$I$89,5,0)</f>
        <v>163.48831200000026</v>
      </c>
      <c r="BF58" s="13">
        <f t="shared" si="37"/>
        <v>41.62832357521188</v>
      </c>
      <c r="BG58" s="20">
        <f t="shared" si="7"/>
        <v>357.24480696016116</v>
      </c>
      <c r="BH58" s="59">
        <f t="shared" si="8"/>
        <v>650.57814029349447</v>
      </c>
      <c r="BI58" s="59">
        <f ca="1">AVERAGE(OFFSET($BH$3,0,0,'Données projet'!$E$11+1,1))-AVERAGE(OFFSET($H$3,0,0,'Données projet'!$E$11+1,1))</f>
        <v>490.06222615476065</v>
      </c>
      <c r="BJ58" s="59">
        <f t="shared" si="38"/>
        <v>310.43914804089906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34.332005360254286</v>
      </c>
      <c r="BR58" s="21">
        <f>EXP(-LN(2)/2)*BR57+(1-EXP(-LN(2)/2))/(LN(2)/2)*BL58*BO58*VLOOKUP('Données projet'!$B$11,Paramètres!$A$1:$I$89,3,0)*0.475*44/12</f>
        <v>2.3710588508081472</v>
      </c>
      <c r="BS58" s="22">
        <f t="shared" si="9"/>
        <v>36.703064211062433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178.75629199999992</v>
      </c>
      <c r="CA58" s="13">
        <f t="shared" si="39"/>
        <v>45.045372492523107</v>
      </c>
      <c r="CB58" s="20">
        <f t="shared" si="10"/>
        <v>389.78789899114423</v>
      </c>
      <c r="CC58" s="59">
        <f t="shared" si="11"/>
        <v>683.12123232447755</v>
      </c>
      <c r="CD58" s="59">
        <f ca="1">AVERAGE(OFFSET($CC$3,0,0,'Données projet'!$E$12+1,1))-AVERAGE(OFFSET($H$3,0,0,'Données projet'!$E$12+1,1))</f>
        <v>510.71380643466227</v>
      </c>
      <c r="CE58" s="59">
        <f t="shared" si="40"/>
        <v>252.40654099948841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9.8828571428571443</v>
      </c>
      <c r="CT58" s="12">
        <f>IF('Données projet'!$A$140&gt;35,CT57+CS58-DB57,IF(A58&lt;'Données projet'!$A$140,$CQ$205^A58,IF(A58='Données projet'!$A$140,'Données projet'!$B$140,CT57+CS58-DB57)))</f>
        <v>163.3185714285714</v>
      </c>
      <c r="CU58" s="17">
        <f>CT58*VLOOKUP('Données projet'!$B$13,Paramètres!$A$1:$I$89,3,0)*VLOOKUP('Données projet'!$B$13,Paramètres!$A$1:$I$89,5,0)</f>
        <v>175.79611028571426</v>
      </c>
      <c r="CV58" s="13">
        <f t="shared" si="41"/>
        <v>44.385615672209468</v>
      </c>
      <c r="CW58" s="20">
        <f t="shared" si="13"/>
        <v>383.48317271005044</v>
      </c>
      <c r="CX58" s="59">
        <f t="shared" si="14"/>
        <v>676.8165060433837</v>
      </c>
      <c r="CY58" s="59">
        <f ca="1">AVERAGE(OFFSET($CX$3,0,0,'Données projet'!$E$13+1,1))-AVERAGE(OFFSET($H$3,0,0,'Données projet'!$E$13+1,1))</f>
        <v>502.65044103360322</v>
      </c>
      <c r="CZ58" s="59">
        <f t="shared" si="42"/>
        <v>321.65762891855167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7.492688858770264</v>
      </c>
      <c r="DG58" s="21">
        <f>EXP(-LN(2)/25)*DG57+(1-EXP(-LN(2)/25))/(LN(2)/25)*Calculateur!DB58*Calculateur!DD58*VLOOKUP('Données projet'!$B$13,Paramètres!$A$1:$I$89,3,0)*0.475*44/12</f>
        <v>35.2602264781397</v>
      </c>
      <c r="DH58" s="21">
        <f>EXP(-LN(2)/2)*DH57+(1-EXP(-LN(2)/2))/(LN(2)/2)*DB58*DE58*VLOOKUP('Données projet'!$B$13,Paramètres!$A$1:$I$89,3,0)*0.475*44/12</f>
        <v>1.8990699765800612</v>
      </c>
      <c r="DI58" s="22">
        <f t="shared" si="15"/>
        <v>44.651985313490023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-25.899999999999977</v>
      </c>
      <c r="DP58" s="17">
        <f>DO58*VLOOKUP('Données projet'!$B$14,Paramètres!$A$1:$I$89,3,0)*VLOOKUP('Données projet'!$B$14,Paramètres!$A$1:$I$89,5,0)</f>
        <v>-13.171703999999989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63.94726564348116</v>
      </c>
      <c r="DU58" s="59">
        <f t="shared" si="44"/>
        <v>280.8165028422905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31.098028542394239</v>
      </c>
      <c r="EB58" s="21">
        <f>EXP(-LN(2)/25)*EB57+(1-EXP(-LN(2)/25))/(LN(2)/25)*Calculateur!DW58*Calculateur!DY58*VLOOKUP('Données projet'!$B$14,Paramètres!$A$1:$I$89,3,0)*0.475*44/12</f>
        <v>3.2489878718754075</v>
      </c>
      <c r="EC58" s="21">
        <f>EXP(-LN(2)/2)*EC57+(1-EXP(-LN(2)/2))/(LN(2)/2)*DW58*DZ58*VLOOKUP('Données projet'!$B$14,Paramètres!$A$1:$I$89,3,0)*0.475*44/12</f>
        <v>1.6774383715956303E-5</v>
      </c>
      <c r="ED58" s="22">
        <f t="shared" si="18"/>
        <v>34.347033188653363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8.6975000000000016</v>
      </c>
      <c r="N59" s="13">
        <f>IF('Données projet'!$A$36&gt;35,N58+M59-V58,IF(A59&lt;'Données projet'!$A$36,$K$205^A59,IF(A59='Données projet'!$A$36,'Données projet'!$B$36,N58+M59-V58)))</f>
        <v>264.32999999999981</v>
      </c>
      <c r="O59" s="13">
        <f>N59*VLOOKUP('Données projet'!$B$9,Paramètres!$A$1:$I$89,3,0)*VLOOKUP('Données projet'!$B$9,Paramètres!$A$1:$I$89,5,0)</f>
        <v>151.1967599999999</v>
      </c>
      <c r="P59" s="13">
        <f t="shared" si="33"/>
        <v>38.850427712230619</v>
      </c>
      <c r="Q59" s="20">
        <f t="shared" si="53"/>
        <v>330.99885193213481</v>
      </c>
      <c r="R59" s="59">
        <f t="shared" si="0"/>
        <v>624.33218526546807</v>
      </c>
      <c r="S59" s="59">
        <f ca="1">AVERAGE(OFFSET($R$3,0,0,'Données projet'!$E$9+1,1))-AVERAGE(OFFSET($H$3,0,0,'Données projet'!$E$9+1,1))</f>
        <v>294.9631697747962</v>
      </c>
      <c r="T59" s="59">
        <f t="shared" si="34"/>
        <v>202.04924881627716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21.939606668697913</v>
      </c>
      <c r="AA59" s="21">
        <f>EXP(-LN(2)/25)*AA58+(1-EXP(-LN(2)/25))/(LN(2)/25)*Calculateur!V59*Calculateur!X59*VLOOKUP('Données projet'!$B$9,Paramètres!$A$1:$I$89,3,0)*0.475*44/12</f>
        <v>12.319747167747785</v>
      </c>
      <c r="AB59" s="21">
        <f>EXP(-LN(2)/2)*AB58+(1-EXP(-LN(2)/2))/(LN(2)/2)*V59*Y59*VLOOKUP('Données projet'!$B$9,Paramètres!$A$1:$I$89,3,0)*0.475*44/12</f>
        <v>1.6081232863052619</v>
      </c>
      <c r="AC59" s="22">
        <f t="shared" si="3"/>
        <v>35.867477122750962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14.113999999999999</v>
      </c>
      <c r="AI59" s="13">
        <f>IF('Données projet'!$A$62&gt;35,AI58+AH59-AQ58,IF(A59&lt;'Données projet'!$A$62,$AF$205^A59,IF(A59='Données projet'!$A$62,'Données projet'!$B$62,AI58+AH59-AQ58)))</f>
        <v>384.48399999999992</v>
      </c>
      <c r="AJ59" s="13">
        <f>AI59*VLOOKUP('Données projet'!$B$10,Paramètres!$A$1:$I$89,3,0)*VLOOKUP('Données projet'!$B$10,Paramètres!$A$1:$I$89,5,0)</f>
        <v>229.92143199999998</v>
      </c>
      <c r="AK59" s="13">
        <f t="shared" si="35"/>
        <v>56.265692954832708</v>
      </c>
      <c r="AL59" s="20">
        <f t="shared" si="4"/>
        <v>498.44257596300025</v>
      </c>
      <c r="AM59" s="59">
        <f t="shared" si="5"/>
        <v>791.77590929633357</v>
      </c>
      <c r="AN59" s="59">
        <f ca="1">AVERAGE(OFFSET($AM$3,0,0,'Données projet'!$E$10+1,1))-AVERAGE(OFFSET($H$3,0,0,'Données projet'!$E$10+1,1))</f>
        <v>349.71285006949597</v>
      </c>
      <c r="AO59" s="59">
        <f t="shared" si="36"/>
        <v>258.51550516456842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31.993572174985893</v>
      </c>
      <c r="AV59" s="21">
        <f>EXP(-LN(2)/25)*AV58+(1-EXP(-LN(2)/25))/(LN(2)/25)*Calculateur!AQ59*Calculateur!AS59*VLOOKUP('Données projet'!$B$10,Paramètres!$A$1:$I$89,3,0)*0.475*44/12</f>
        <v>16.052093001840458</v>
      </c>
      <c r="AW59" s="21">
        <f>EXP(-LN(2)/2)*AW58+(1-EXP(-LN(2)/2))/(LN(2)/2)*AQ59*AT59*VLOOKUP('Données projet'!$B$10,Paramètres!$A$1:$I$89,3,0)*0.475*44/12</f>
        <v>1.2474234084087776</v>
      </c>
      <c r="AX59" s="21">
        <f t="shared" si="6"/>
        <v>49.293088585235125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9.1524999999999999</v>
      </c>
      <c r="BD59" s="12">
        <f>IF('Données projet'!$A$88&gt;35,BD58+BC59-BL58,IF(A59&lt;'Données projet'!$A$88,$BA$205^A59,IF(A59='Données projet'!$A$88,'Données projet'!$B$88,BD58+BC59-BL58)))</f>
        <v>189.84250000000029</v>
      </c>
      <c r="BE59" s="13">
        <f>BD59*VLOOKUP('Données projet'!$B$11,Paramètres!$A$1:$I$89,3,0)*VLOOKUP('Données projet'!$B$11,Paramètres!$A$1:$I$89,5,0)</f>
        <v>171.76949400000024</v>
      </c>
      <c r="BF59" s="13">
        <f t="shared" si="37"/>
        <v>43.486092222917399</v>
      </c>
      <c r="BG59" s="20">
        <f t="shared" si="7"/>
        <v>374.90347933824819</v>
      </c>
      <c r="BH59" s="59">
        <f t="shared" si="8"/>
        <v>668.23681267158145</v>
      </c>
      <c r="BI59" s="59">
        <f ca="1">AVERAGE(OFFSET($BH$3,0,0,'Données projet'!$E$11+1,1))-AVERAGE(OFFSET($H$3,0,0,'Données projet'!$E$11+1,1))</f>
        <v>490.06222615476065</v>
      </c>
      <c r="BJ59" s="59">
        <f t="shared" si="38"/>
        <v>310.43914804089906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33.393194868236435</v>
      </c>
      <c r="BR59" s="21">
        <f>EXP(-LN(2)/2)*BR58+(1-EXP(-LN(2)/2))/(LN(2)/2)*BL59*BO59*VLOOKUP('Données projet'!$B$11,Paramètres!$A$1:$I$89,3,0)*0.475*44/12</f>
        <v>1.6765917919988234</v>
      </c>
      <c r="BS59" s="22">
        <f t="shared" si="9"/>
        <v>35.069786660235259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182.00640639999992</v>
      </c>
      <c r="CA59" s="13">
        <f t="shared" si="39"/>
        <v>45.768286229730428</v>
      </c>
      <c r="CB59" s="20">
        <f t="shared" si="10"/>
        <v>396.70758966344698</v>
      </c>
      <c r="CC59" s="59">
        <f t="shared" si="11"/>
        <v>690.0409229967803</v>
      </c>
      <c r="CD59" s="59">
        <f ca="1">AVERAGE(OFFSET($CC$3,0,0,'Données projet'!$E$12+1,1))-AVERAGE(OFFSET($H$3,0,0,'Données projet'!$E$12+1,1))</f>
        <v>510.71380643466227</v>
      </c>
      <c r="CE59" s="59">
        <f t="shared" si="40"/>
        <v>252.40654099948841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9.8828571428571443</v>
      </c>
      <c r="CT59" s="12">
        <f>IF('Données projet'!$A$140&gt;35,CT58+CS59-DB58,IF(A59&lt;'Données projet'!$A$140,$CQ$205^A59,IF(A59='Données projet'!$A$140,'Données projet'!$B$140,CT58+CS59-DB58)))</f>
        <v>173.20142857142855</v>
      </c>
      <c r="CU59" s="17">
        <f>CT59*VLOOKUP('Données projet'!$B$13,Paramètres!$A$1:$I$89,3,0)*VLOOKUP('Données projet'!$B$13,Paramètres!$A$1:$I$89,5,0)</f>
        <v>186.43401771428569</v>
      </c>
      <c r="CV59" s="13">
        <f t="shared" si="41"/>
        <v>46.750697553897737</v>
      </c>
      <c r="CW59" s="20">
        <f t="shared" si="13"/>
        <v>406.13004575875283</v>
      </c>
      <c r="CX59" s="59">
        <f t="shared" si="14"/>
        <v>699.46337909208614</v>
      </c>
      <c r="CY59" s="59">
        <f ca="1">AVERAGE(OFFSET($CX$3,0,0,'Données projet'!$E$13+1,1))-AVERAGE(OFFSET($H$3,0,0,'Données projet'!$E$13+1,1))</f>
        <v>502.65044103360322</v>
      </c>
      <c r="CZ59" s="59">
        <f t="shared" si="42"/>
        <v>321.65762891855167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7.3457618003387246</v>
      </c>
      <c r="DG59" s="21">
        <f>EXP(-LN(2)/25)*DG58+(1-EXP(-LN(2)/25))/(LN(2)/25)*Calculateur!DB59*Calculateur!DD59*VLOOKUP('Données projet'!$B$13,Paramètres!$A$1:$I$89,3,0)*0.475*44/12</f>
        <v>34.29603373084025</v>
      </c>
      <c r="DH59" s="21">
        <f>EXP(-LN(2)/2)*DH58+(1-EXP(-LN(2)/2))/(LN(2)/2)*DB59*DE59*VLOOKUP('Données projet'!$B$13,Paramètres!$A$1:$I$89,3,0)*0.475*44/12</f>
        <v>1.3428452583875394</v>
      </c>
      <c r="DI59" s="22">
        <f t="shared" si="15"/>
        <v>42.984640789566512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-25.899999999999977</v>
      </c>
      <c r="DP59" s="17">
        <f>DO59*VLOOKUP('Données projet'!$B$14,Paramètres!$A$1:$I$89,3,0)*VLOOKUP('Données projet'!$B$14,Paramètres!$A$1:$I$89,5,0)</f>
        <v>-13.171703999999989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63.94726564348116</v>
      </c>
      <c r="DU59" s="59">
        <f t="shared" si="44"/>
        <v>280.8165028422905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30.488215170602373</v>
      </c>
      <c r="EB59" s="21">
        <f>EXP(-LN(2)/25)*EB58+(1-EXP(-LN(2)/25))/(LN(2)/25)*Calculateur!DW59*Calculateur!DY59*VLOOKUP('Données projet'!$B$14,Paramètres!$A$1:$I$89,3,0)*0.475*44/12</f>
        <v>3.1601441276621278</v>
      </c>
      <c r="EC59" s="21">
        <f>EXP(-LN(2)/2)*EC58+(1-EXP(-LN(2)/2))/(LN(2)/2)*DW59*DZ59*VLOOKUP('Données projet'!$B$14,Paramètres!$A$1:$I$89,3,0)*0.475*44/12</f>
        <v>1.18612804757779E-5</v>
      </c>
      <c r="ED59" s="22">
        <f t="shared" si="18"/>
        <v>33.648371159544979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8.6975000000000016</v>
      </c>
      <c r="N60" s="13">
        <f>IF('Données projet'!$A$36&gt;35,N59+M60-V59,IF(A60&lt;'Données projet'!$A$36,$K$205^A60,IF(A60='Données projet'!$A$36,'Données projet'!$B$36,N59+M60-V59)))</f>
        <v>273.0274999999998</v>
      </c>
      <c r="O60" s="13">
        <f>N60*VLOOKUP('Données projet'!$B$9,Paramètres!$A$1:$I$89,3,0)*VLOOKUP('Données projet'!$B$9,Paramètres!$A$1:$I$89,5,0)</f>
        <v>156.17172999999988</v>
      </c>
      <c r="P60" s="13">
        <f t="shared" si="33"/>
        <v>39.977825157994026</v>
      </c>
      <c r="Q60" s="20">
        <f t="shared" si="53"/>
        <v>341.62714190017272</v>
      </c>
      <c r="R60" s="59">
        <f t="shared" si="0"/>
        <v>634.96047523350603</v>
      </c>
      <c r="S60" s="59">
        <f ca="1">AVERAGE(OFFSET($R$3,0,0,'Données projet'!$E$9+1,1))-AVERAGE(OFFSET($H$3,0,0,'Données projet'!$E$9+1,1))</f>
        <v>294.9631697747962</v>
      </c>
      <c r="T60" s="59">
        <f t="shared" si="34"/>
        <v>202.04924881627716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21.509384363763466</v>
      </c>
      <c r="AA60" s="21">
        <f>EXP(-LN(2)/25)*AA59+(1-EXP(-LN(2)/25))/(LN(2)/25)*Calculateur!V60*Calculateur!X60*VLOOKUP('Données projet'!$B$9,Paramètres!$A$1:$I$89,3,0)*0.475*44/12</f>
        <v>11.982863033578376</v>
      </c>
      <c r="AB60" s="21">
        <f>EXP(-LN(2)/2)*AB59+(1-EXP(-LN(2)/2))/(LN(2)/2)*V60*Y60*VLOOKUP('Données projet'!$B$9,Paramètres!$A$1:$I$89,3,0)*0.475*44/12</f>
        <v>1.1371148807304465</v>
      </c>
      <c r="AC60" s="22">
        <f t="shared" si="3"/>
        <v>34.629362278072286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14.113999999999999</v>
      </c>
      <c r="AI60" s="13">
        <f>IF('Données projet'!$A$62&gt;35,AI59+AH60-AQ59,IF(A60&lt;'Données projet'!$A$62,$AF$205^A60,IF(A60='Données projet'!$A$62,'Données projet'!$B$62,AI59+AH60-AQ59)))</f>
        <v>398.5979999999999</v>
      </c>
      <c r="AJ60" s="13">
        <f>AI60*VLOOKUP('Données projet'!$B$10,Paramètres!$A$1:$I$89,3,0)*VLOOKUP('Données projet'!$B$10,Paramètres!$A$1:$I$89,5,0)</f>
        <v>238.36160399999994</v>
      </c>
      <c r="AK60" s="13">
        <f t="shared" si="35"/>
        <v>58.086881188787437</v>
      </c>
      <c r="AL60" s="20">
        <f t="shared" si="4"/>
        <v>516.31444503713794</v>
      </c>
      <c r="AM60" s="59">
        <f t="shared" si="5"/>
        <v>809.64777837047131</v>
      </c>
      <c r="AN60" s="59">
        <f ca="1">AVERAGE(OFFSET($AM$3,0,0,'Données projet'!$E$10+1,1))-AVERAGE(OFFSET($H$3,0,0,'Données projet'!$E$10+1,1))</f>
        <v>349.71285006949597</v>
      </c>
      <c r="AO60" s="59">
        <f t="shared" si="36"/>
        <v>258.51550516456842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31.366197738786585</v>
      </c>
      <c r="AV60" s="21">
        <f>EXP(-LN(2)/25)*AV59+(1-EXP(-LN(2)/25))/(LN(2)/25)*Calculateur!AQ60*Calculateur!AS60*VLOOKUP('Données projet'!$B$10,Paramètres!$A$1:$I$89,3,0)*0.475*44/12</f>
        <v>15.613147674562248</v>
      </c>
      <c r="AW60" s="21">
        <f>EXP(-LN(2)/2)*AW59+(1-EXP(-LN(2)/2))/(LN(2)/2)*AQ60*AT60*VLOOKUP('Données projet'!$B$10,Paramètres!$A$1:$I$89,3,0)*0.475*44/12</f>
        <v>0.88206155109668294</v>
      </c>
      <c r="AX60" s="21">
        <f t="shared" si="6"/>
        <v>47.861406964445514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9.1524999999999999</v>
      </c>
      <c r="BD60" s="12">
        <f>IF('Données projet'!$A$88&gt;35,BD59+BC60-BL59,IF(A60&lt;'Données projet'!$A$88,$BA$205^A60,IF(A60='Données projet'!$A$88,'Données projet'!$B$88,BD59+BC60-BL59)))</f>
        <v>198.99500000000029</v>
      </c>
      <c r="BE60" s="13">
        <f>BD60*VLOOKUP('Données projet'!$B$11,Paramètres!$A$1:$I$89,3,0)*VLOOKUP('Données projet'!$B$11,Paramètres!$A$1:$I$89,5,0)</f>
        <v>180.05067600000027</v>
      </c>
      <c r="BF60" s="13">
        <f t="shared" si="37"/>
        <v>45.333460458198495</v>
      </c>
      <c r="BG60" s="20">
        <f t="shared" si="7"/>
        <v>392.54403766469613</v>
      </c>
      <c r="BH60" s="59">
        <f t="shared" si="8"/>
        <v>685.87737099802939</v>
      </c>
      <c r="BI60" s="59">
        <f ca="1">AVERAGE(OFFSET($BH$3,0,0,'Données projet'!$E$11+1,1))-AVERAGE(OFFSET($H$3,0,0,'Données projet'!$E$11+1,1))</f>
        <v>490.06222615476065</v>
      </c>
      <c r="BJ60" s="59">
        <f t="shared" si="38"/>
        <v>310.43914804089906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32.480056198492711</v>
      </c>
      <c r="BR60" s="21">
        <f>EXP(-LN(2)/2)*BR59+(1-EXP(-LN(2)/2))/(LN(2)/2)*BL60*BO60*VLOOKUP('Données projet'!$B$11,Paramètres!$A$1:$I$89,3,0)*0.475*44/12</f>
        <v>1.1855294254040736</v>
      </c>
      <c r="BS60" s="22">
        <f t="shared" si="9"/>
        <v>33.665585623896789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185.25652079999989</v>
      </c>
      <c r="CA60" s="13">
        <f t="shared" si="39"/>
        <v>46.489698815333881</v>
      </c>
      <c r="CB60" s="20">
        <f t="shared" si="10"/>
        <v>403.62466583003965</v>
      </c>
      <c r="CC60" s="59">
        <f t="shared" si="11"/>
        <v>696.95799916337296</v>
      </c>
      <c r="CD60" s="59">
        <f ca="1">AVERAGE(OFFSET($CC$3,0,0,'Données projet'!$E$12+1,1))-AVERAGE(OFFSET($H$3,0,0,'Données projet'!$E$12+1,1))</f>
        <v>510.71380643466227</v>
      </c>
      <c r="CE60" s="59">
        <f t="shared" si="40"/>
        <v>252.40654099948841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9.8828571428571443</v>
      </c>
      <c r="CT60" s="12">
        <f>IF('Données projet'!$A$140&gt;35,CT59+CS60-DB59,IF(A60&lt;'Données projet'!$A$140,$CQ$205^A60,IF(A60='Données projet'!$A$140,'Données projet'!$B$140,CT59+CS60-DB59)))</f>
        <v>183.0842857142857</v>
      </c>
      <c r="CU60" s="17">
        <f>CT60*VLOOKUP('Données projet'!$B$13,Paramètres!$A$1:$I$89,3,0)*VLOOKUP('Données projet'!$B$13,Paramètres!$A$1:$I$89,5,0)</f>
        <v>197.07192514285711</v>
      </c>
      <c r="CV60" s="13">
        <f t="shared" si="41"/>
        <v>49.100114176354296</v>
      </c>
      <c r="CW60" s="20">
        <f t="shared" si="13"/>
        <v>428.74963514762658</v>
      </c>
      <c r="CX60" s="59">
        <f t="shared" si="14"/>
        <v>722.08296848095983</v>
      </c>
      <c r="CY60" s="59">
        <f ca="1">AVERAGE(OFFSET($CX$3,0,0,'Données projet'!$E$13+1,1))-AVERAGE(OFFSET($H$3,0,0,'Données projet'!$E$13+1,1))</f>
        <v>502.65044103360322</v>
      </c>
      <c r="CZ60" s="59">
        <f t="shared" si="42"/>
        <v>321.65762891855167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7.2017158919063702</v>
      </c>
      <c r="DG60" s="21">
        <f>EXP(-LN(2)/25)*DG59+(1-EXP(-LN(2)/25))/(LN(2)/25)*Calculateur!DB60*Calculateur!DD60*VLOOKUP('Données projet'!$B$13,Paramètres!$A$1:$I$89,3,0)*0.475*44/12</f>
        <v>33.358206884920392</v>
      </c>
      <c r="DH60" s="21">
        <f>EXP(-LN(2)/2)*DH59+(1-EXP(-LN(2)/2))/(LN(2)/2)*DB60*DE60*VLOOKUP('Données projet'!$B$13,Paramètres!$A$1:$I$89,3,0)*0.475*44/12</f>
        <v>0.9495349882900308</v>
      </c>
      <c r="DI60" s="22">
        <f t="shared" si="15"/>
        <v>41.509457765116792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-25.899999999999977</v>
      </c>
      <c r="DP60" s="17">
        <f>DO60*VLOOKUP('Données projet'!$B$14,Paramètres!$A$1:$I$89,3,0)*VLOOKUP('Données projet'!$B$14,Paramètres!$A$1:$I$89,5,0)</f>
        <v>-13.171703999999989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63.94726564348116</v>
      </c>
      <c r="DU60" s="59">
        <f t="shared" si="44"/>
        <v>280.8165028422905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29.890359867081916</v>
      </c>
      <c r="EB60" s="21">
        <f>EXP(-LN(2)/25)*EB59+(1-EXP(-LN(2)/25))/(LN(2)/25)*Calculateur!DW60*Calculateur!DY60*VLOOKUP('Données projet'!$B$14,Paramètres!$A$1:$I$89,3,0)*0.475*44/12</f>
        <v>3.07372982030645</v>
      </c>
      <c r="EC60" s="21">
        <f>EXP(-LN(2)/2)*EC59+(1-EXP(-LN(2)/2))/(LN(2)/2)*DW60*DZ60*VLOOKUP('Données projet'!$B$14,Paramètres!$A$1:$I$89,3,0)*0.475*44/12</f>
        <v>8.3871918579781515E-6</v>
      </c>
      <c r="ED60" s="22">
        <f t="shared" si="18"/>
        <v>32.964098074580221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8.6975000000000016</v>
      </c>
      <c r="N61" s="13">
        <f>IF('Données projet'!$A$36&gt;35,N60+M61-V60,IF(A61&lt;'Données projet'!$A$36,$K$205^A61,IF(A61='Données projet'!$A$36,'Données projet'!$B$36,N60+M61-V60)))</f>
        <v>281.7249999999998</v>
      </c>
      <c r="O61" s="13">
        <f>N61*VLOOKUP('Données projet'!$B$9,Paramètres!$A$1:$I$89,3,0)*VLOOKUP('Données projet'!$B$9,Paramètres!$A$1:$I$89,5,0)</f>
        <v>161.14669999999987</v>
      </c>
      <c r="P61" s="13">
        <f t="shared" si="33"/>
        <v>41.101049196699705</v>
      </c>
      <c r="Q61" s="20">
        <f t="shared" si="53"/>
        <v>352.24816318425172</v>
      </c>
      <c r="R61" s="59">
        <f t="shared" si="0"/>
        <v>645.58149651758504</v>
      </c>
      <c r="S61" s="59">
        <f ca="1">AVERAGE(OFFSET($R$3,0,0,'Données projet'!$E$9+1,1))-AVERAGE(OFFSET($H$3,0,0,'Données projet'!$E$9+1,1))</f>
        <v>294.9631697747962</v>
      </c>
      <c r="T61" s="59">
        <f t="shared" si="34"/>
        <v>202.04924881627716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21.087598455819091</v>
      </c>
      <c r="AA61" s="21">
        <f>EXP(-LN(2)/25)*AA60+(1-EXP(-LN(2)/25))/(LN(2)/25)*Calculateur!V61*Calculateur!X61*VLOOKUP('Données projet'!$B$9,Paramètres!$A$1:$I$89,3,0)*0.475*44/12</f>
        <v>11.655191013773795</v>
      </c>
      <c r="AB61" s="21">
        <f>EXP(-LN(2)/2)*AB60+(1-EXP(-LN(2)/2))/(LN(2)/2)*V61*Y61*VLOOKUP('Données projet'!$B$9,Paramètres!$A$1:$I$89,3,0)*0.475*44/12</f>
        <v>0.80406164315263096</v>
      </c>
      <c r="AC61" s="22">
        <f t="shared" si="3"/>
        <v>33.546851112745514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14.113999999999999</v>
      </c>
      <c r="AI61" s="13">
        <f>IF('Données projet'!$A$62&gt;35,AI60+AH61-AQ60,IF(A61&lt;'Données projet'!$A$62,$AF$205^A61,IF(A61='Données projet'!$A$62,'Données projet'!$B$62,AI60+AH61-AQ60)))</f>
        <v>412.71199999999988</v>
      </c>
      <c r="AJ61" s="13">
        <f>AI61*VLOOKUP('Données projet'!$B$10,Paramètres!$A$1:$I$89,3,0)*VLOOKUP('Données projet'!$B$10,Paramètres!$A$1:$I$89,5,0)</f>
        <v>246.80177599999993</v>
      </c>
      <c r="AK61" s="13">
        <f t="shared" si="35"/>
        <v>59.900576970210864</v>
      </c>
      <c r="AL61" s="20">
        <f t="shared" si="4"/>
        <v>534.17326475645041</v>
      </c>
      <c r="AM61" s="59">
        <f t="shared" si="5"/>
        <v>827.50659808978367</v>
      </c>
      <c r="AN61" s="59">
        <f ca="1">AVERAGE(OFFSET($AM$3,0,0,'Données projet'!$E$10+1,1))-AVERAGE(OFFSET($H$3,0,0,'Données projet'!$E$10+1,1))</f>
        <v>349.71285006949597</v>
      </c>
      <c r="AO61" s="59">
        <f t="shared" si="36"/>
        <v>258.51550516456842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30.751125732620523</v>
      </c>
      <c r="AV61" s="21">
        <f>EXP(-LN(2)/25)*AV60+(1-EXP(-LN(2)/25))/(LN(2)/25)*Calculateur!AQ61*Calculateur!AS61*VLOOKUP('Données projet'!$B$10,Paramètres!$A$1:$I$89,3,0)*0.475*44/12</f>
        <v>15.186205330341592</v>
      </c>
      <c r="AW61" s="21">
        <f>EXP(-LN(2)/2)*AW60+(1-EXP(-LN(2)/2))/(LN(2)/2)*AQ61*AT61*VLOOKUP('Données projet'!$B$10,Paramètres!$A$1:$I$89,3,0)*0.475*44/12</f>
        <v>0.62371170420438893</v>
      </c>
      <c r="AX61" s="21">
        <f t="shared" si="6"/>
        <v>46.561042767166505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9.1524999999999999</v>
      </c>
      <c r="BD61" s="12">
        <f>IF('Données projet'!$A$88&gt;35,BD60+BC61-BL60,IF(A61&lt;'Données projet'!$A$88,$BA$205^A61,IF(A61='Données projet'!$A$88,'Données projet'!$B$88,BD60+BC61-BL60)))</f>
        <v>208.14750000000029</v>
      </c>
      <c r="BE61" s="13">
        <f>BD61*VLOOKUP('Données projet'!$B$11,Paramètres!$A$1:$I$89,3,0)*VLOOKUP('Données projet'!$B$11,Paramètres!$A$1:$I$89,5,0)</f>
        <v>188.33185800000024</v>
      </c>
      <c r="BF61" s="13">
        <f t="shared" si="37"/>
        <v>47.170961271026052</v>
      </c>
      <c r="BG61" s="20">
        <f t="shared" si="7"/>
        <v>410.16741023037071</v>
      </c>
      <c r="BH61" s="59">
        <f t="shared" si="8"/>
        <v>703.50074356370396</v>
      </c>
      <c r="BI61" s="59">
        <f ca="1">AVERAGE(OFFSET($BH$3,0,0,'Données projet'!$E$11+1,1))-AVERAGE(OFFSET($H$3,0,0,'Données projet'!$E$11+1,1))</f>
        <v>490.06222615476065</v>
      </c>
      <c r="BJ61" s="59">
        <f t="shared" si="38"/>
        <v>310.43914804089906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31.591887353693007</v>
      </c>
      <c r="BR61" s="21">
        <f>EXP(-LN(2)/2)*BR60+(1-EXP(-LN(2)/2))/(LN(2)/2)*BL61*BO61*VLOOKUP('Données projet'!$B$11,Paramètres!$A$1:$I$89,3,0)*0.475*44/12</f>
        <v>0.83829589599941168</v>
      </c>
      <c r="BS61" s="22">
        <f t="shared" si="9"/>
        <v>32.430183249692419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188.50663519999989</v>
      </c>
      <c r="CA61" s="13">
        <f t="shared" si="39"/>
        <v>47.209639623873699</v>
      </c>
      <c r="CB61" s="20">
        <f t="shared" si="10"/>
        <v>410.53917865157979</v>
      </c>
      <c r="CC61" s="59">
        <f t="shared" si="11"/>
        <v>703.8725119849131</v>
      </c>
      <c r="CD61" s="59">
        <f ca="1">AVERAGE(OFFSET($CC$3,0,0,'Données projet'!$E$12+1,1))-AVERAGE(OFFSET($H$3,0,0,'Données projet'!$E$12+1,1))</f>
        <v>510.71380643466227</v>
      </c>
      <c r="CE61" s="59">
        <f t="shared" si="40"/>
        <v>252.40654099948841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9.8828571428571443</v>
      </c>
      <c r="CT61" s="12">
        <f>IF('Données projet'!$A$140&gt;35,CT60+CS61-DB60,IF(A61&lt;'Données projet'!$A$140,$CQ$205^A61,IF(A61='Données projet'!$A$140,'Données projet'!$B$140,CT60+CS61-DB60)))</f>
        <v>192.96714285714285</v>
      </c>
      <c r="CU61" s="17">
        <f>CT61*VLOOKUP('Données projet'!$B$13,Paramètres!$A$1:$I$89,3,0)*VLOOKUP('Données projet'!$B$13,Paramètres!$A$1:$I$89,5,0)</f>
        <v>207.70983257142854</v>
      </c>
      <c r="CV61" s="13">
        <f t="shared" si="41"/>
        <v>51.43480755556741</v>
      </c>
      <c r="CW61" s="20">
        <f t="shared" si="13"/>
        <v>451.34358155451793</v>
      </c>
      <c r="CX61" s="59">
        <f t="shared" si="14"/>
        <v>744.67691488785124</v>
      </c>
      <c r="CY61" s="59">
        <f ca="1">AVERAGE(OFFSET($CX$3,0,0,'Données projet'!$E$13+1,1))-AVERAGE(OFFSET($H$3,0,0,'Données projet'!$E$13+1,1))</f>
        <v>502.65044103360322</v>
      </c>
      <c r="CZ61" s="59">
        <f t="shared" si="42"/>
        <v>321.65762891855167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7.0604946358790457</v>
      </c>
      <c r="DG61" s="21">
        <f>EXP(-LN(2)/25)*DG60+(1-EXP(-LN(2)/25))/(LN(2)/25)*Calculateur!DB61*Calculateur!DD61*VLOOKUP('Données projet'!$B$13,Paramètres!$A$1:$I$89,3,0)*0.475*44/12</f>
        <v>32.446024963420385</v>
      </c>
      <c r="DH61" s="21">
        <f>EXP(-LN(2)/2)*DH60+(1-EXP(-LN(2)/2))/(LN(2)/2)*DB61*DE61*VLOOKUP('Données projet'!$B$13,Paramètres!$A$1:$I$89,3,0)*0.475*44/12</f>
        <v>0.67142262919376983</v>
      </c>
      <c r="DI61" s="22">
        <f t="shared" si="15"/>
        <v>40.177942228493201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-25.899999999999977</v>
      </c>
      <c r="DP61" s="17">
        <f>DO61*VLOOKUP('Données projet'!$B$14,Paramètres!$A$1:$I$89,3,0)*VLOOKUP('Données projet'!$B$14,Paramètres!$A$1:$I$89,5,0)</f>
        <v>-13.171703999999989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63.94726564348116</v>
      </c>
      <c r="DU61" s="59">
        <f t="shared" si="44"/>
        <v>280.8165028422905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29.304228141407766</v>
      </c>
      <c r="EB61" s="21">
        <f>EXP(-LN(2)/25)*EB60+(1-EXP(-LN(2)/25))/(LN(2)/25)*Calculateur!DW61*Calculateur!DY61*VLOOKUP('Données projet'!$B$14,Paramètres!$A$1:$I$89,3,0)*0.475*44/12</f>
        <v>2.9896785167297439</v>
      </c>
      <c r="EC61" s="21">
        <f>EXP(-LN(2)/2)*EC60+(1-EXP(-LN(2)/2))/(LN(2)/2)*DW61*DZ61*VLOOKUP('Données projet'!$B$14,Paramètres!$A$1:$I$89,3,0)*0.475*44/12</f>
        <v>5.9306402378889498E-6</v>
      </c>
      <c r="ED61" s="22">
        <f t="shared" si="18"/>
        <v>32.293912588777744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8.6975000000000016</v>
      </c>
      <c r="N62" s="13">
        <f>IF('Données projet'!$A$36&gt;35,N61+M62-V61,IF(A62&lt;'Données projet'!$A$36,$K$205^A62,IF(A62='Données projet'!$A$36,'Données projet'!$B$36,N61+M62-V61)))</f>
        <v>290.42249999999979</v>
      </c>
      <c r="O62" s="13">
        <f>N62*VLOOKUP('Données projet'!$B$9,Paramètres!$A$1:$I$89,3,0)*VLOOKUP('Données projet'!$B$9,Paramètres!$A$1:$I$89,5,0)</f>
        <v>166.12166999999988</v>
      </c>
      <c r="P62" s="13">
        <f t="shared" si="33"/>
        <v>42.22024345647926</v>
      </c>
      <c r="Q62" s="20">
        <f t="shared" si="53"/>
        <v>362.86216593670116</v>
      </c>
      <c r="R62" s="59">
        <f t="shared" si="0"/>
        <v>656.19549927003447</v>
      </c>
      <c r="S62" s="59">
        <f ca="1">AVERAGE(OFFSET($R$3,0,0,'Données projet'!$E$9+1,1))-AVERAGE(OFFSET($H$3,0,0,'Données projet'!$E$9+1,1))</f>
        <v>294.9631697747962</v>
      </c>
      <c r="T62" s="59">
        <f t="shared" si="34"/>
        <v>202.04924881627716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20.674083512265504</v>
      </c>
      <c r="AA62" s="21">
        <f>EXP(-LN(2)/25)*AA61+(1-EXP(-LN(2)/25))/(LN(2)/25)*Calculateur!V62*Calculateur!X62*VLOOKUP('Données projet'!$B$9,Paramètres!$A$1:$I$89,3,0)*0.475*44/12</f>
        <v>11.336479202582293</v>
      </c>
      <c r="AB62" s="21">
        <f>EXP(-LN(2)/2)*AB61+(1-EXP(-LN(2)/2))/(LN(2)/2)*V62*Y62*VLOOKUP('Données projet'!$B$9,Paramètres!$A$1:$I$89,3,0)*0.475*44/12</f>
        <v>0.56855744036522327</v>
      </c>
      <c r="AC62" s="22">
        <f t="shared" si="3"/>
        <v>32.579120155213019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14.113999999999999</v>
      </c>
      <c r="AI62" s="13">
        <f>IF('Données projet'!$A$62&gt;35,AI61+AH62-AQ61,IF(A62&lt;'Données projet'!$A$62,$AF$205^A62,IF(A62='Données projet'!$A$62,'Données projet'!$B$62,AI61+AH62-AQ61)))</f>
        <v>426.82599999999985</v>
      </c>
      <c r="AJ62" s="13">
        <f>AI62*VLOOKUP('Données projet'!$B$10,Paramètres!$A$1:$I$89,3,0)*VLOOKUP('Données projet'!$B$10,Paramètres!$A$1:$I$89,5,0)</f>
        <v>255.24194799999992</v>
      </c>
      <c r="AK62" s="13">
        <f t="shared" si="35"/>
        <v>61.707065896857912</v>
      </c>
      <c r="AL62" s="20">
        <f t="shared" si="4"/>
        <v>552.01953253702732</v>
      </c>
      <c r="AM62" s="59">
        <f t="shared" si="5"/>
        <v>845.35286587036057</v>
      </c>
      <c r="AN62" s="59">
        <f ca="1">AVERAGE(OFFSET($AM$3,0,0,'Données projet'!$E$10+1,1))-AVERAGE(OFFSET($H$3,0,0,'Données projet'!$E$10+1,1))</f>
        <v>349.71285006949597</v>
      </c>
      <c r="AO62" s="59">
        <f t="shared" si="36"/>
        <v>258.51550516456842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30.148114913338496</v>
      </c>
      <c r="AV62" s="21">
        <f>EXP(-LN(2)/25)*AV61+(1-EXP(-LN(2)/25))/(LN(2)/25)*Calculateur!AQ62*Calculateur!AS62*VLOOKUP('Données projet'!$B$10,Paramètres!$A$1:$I$89,3,0)*0.475*44/12</f>
        <v>14.770937746975571</v>
      </c>
      <c r="AW62" s="21">
        <f>EXP(-LN(2)/2)*AW61+(1-EXP(-LN(2)/2))/(LN(2)/2)*AQ62*AT62*VLOOKUP('Données projet'!$B$10,Paramètres!$A$1:$I$89,3,0)*0.475*44/12</f>
        <v>0.44103077554834152</v>
      </c>
      <c r="AX62" s="21">
        <f t="shared" si="6"/>
        <v>45.360083435862407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9.1524999999999999</v>
      </c>
      <c r="BC62" s="12">
        <f t="array" ref="BC62">INDEX(BB:BB,MIN(IF(ISNUMBER(BB62:BB258),ROW(BB62:BB258),"")))</f>
        <v>9.1524999999999999</v>
      </c>
      <c r="BD62" s="12">
        <f>IF('Données projet'!$A$88&gt;35,BD61+BC62-BL61,IF(A62&lt;'Données projet'!$A$88,$BA$205^A62,IF(A62='Données projet'!$A$88,'Données projet'!$B$88,BD61+BC62-BL61)))</f>
        <v>217.3000000000003</v>
      </c>
      <c r="BE62" s="13">
        <f>BD62*VLOOKUP('Données projet'!$B$11,Paramètres!$A$1:$I$89,3,0)*VLOOKUP('Données projet'!$B$11,Paramètres!$A$1:$I$89,5,0)</f>
        <v>196.61304000000027</v>
      </c>
      <c r="BF62" s="13">
        <f t="shared" si="37"/>
        <v>48.999078128589694</v>
      </c>
      <c r="BG62" s="20">
        <f t="shared" si="7"/>
        <v>427.77443907396082</v>
      </c>
      <c r="BH62" s="59">
        <f t="shared" si="8"/>
        <v>721.10777240729408</v>
      </c>
      <c r="BI62" s="59">
        <f ca="1">AVERAGE(OFFSET($BH$3,0,0,'Données projet'!$E$11+1,1))-AVERAGE(OFFSET($H$3,0,0,'Données projet'!$E$11+1,1))</f>
        <v>490.06222615476065</v>
      </c>
      <c r="BJ62" s="59">
        <f t="shared" si="38"/>
        <v>310.43914804089906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52.75</v>
      </c>
      <c r="BM62" s="16">
        <f>IF(ISNA(VLOOKUP(A62,'Données projet'!$A$87:$I$107,5,0)),0%,VLOOKUP(A62,'Données projet'!$A$87:$I$107,5,0)*VLOOKUP('Données projet'!$B$11,Paramètres!$A$1:$I$89,7,0))</f>
        <v>0.15049999999999999</v>
      </c>
      <c r="BN62" s="16">
        <f>IF(ISNA(VLOOKUP(A62,'Données projet'!$A$87:$I$107,6,0)),0%,VLOOKUP(A62,'Données projet'!$A$87:$I$107,6,0)*VLOOKUP('Données projet'!$B$11,Paramètres!$A$1:$I$89,7,0))</f>
        <v>8.6000000000000007E-2</v>
      </c>
      <c r="BO62" s="16">
        <f>IF(ISNA(VLOOKUP(A62,'Données projet'!$A$87:$I$107,7,0)),0%,VLOOKUP(A62,'Données projet'!$A$87:$I$107,7,0))</f>
        <v>0.1</v>
      </c>
      <c r="BP62" s="21">
        <f>EXP(-LN(2)/35)*BP61+(1-EXP(-LN(2)/35))/(LN(2)/35)*BL62*BM62*VLOOKUP('Données projet'!$B$11,Paramètres!$A$1:$I$89,3,0)*0.475*44/12</f>
        <v>7.9406977609478941</v>
      </c>
      <c r="BQ62" s="21">
        <f>EXP(-LN(2)/25)*BQ61+(1-EXP(-LN(2)/25))/(LN(2)/25)*Calculateur!BL62*Calculateur!BN62*VLOOKUP('Données projet'!$B$11,Paramètres!$A$1:$I$89,3,0)*0.475*44/12</f>
        <v>35.247681080215401</v>
      </c>
      <c r="BR62" s="21">
        <f>EXP(-LN(2)/2)*BR61+(1-EXP(-LN(2)/2))/(LN(2)/2)*BL62*BO62*VLOOKUP('Données projet'!$B$11,Paramètres!$A$1:$I$89,3,0)*0.475*44/12</f>
        <v>5.0960488412689262</v>
      </c>
      <c r="BS62" s="22">
        <f t="shared" si="9"/>
        <v>48.284427682432216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191.75674959999992</v>
      </c>
      <c r="CA62" s="13">
        <f t="shared" si="39"/>
        <v>47.928136958939533</v>
      </c>
      <c r="CB62" s="20">
        <f t="shared" si="10"/>
        <v>417.45117742348617</v>
      </c>
      <c r="CC62" s="59">
        <f t="shared" si="11"/>
        <v>710.78451075681949</v>
      </c>
      <c r="CD62" s="59">
        <f ca="1">AVERAGE(OFFSET($CC$3,0,0,'Données projet'!$E$12+1,1))-AVERAGE(OFFSET($H$3,0,0,'Données projet'!$E$12+1,1))</f>
        <v>510.71380643466227</v>
      </c>
      <c r="CE62" s="59">
        <f t="shared" si="40"/>
        <v>252.40654099948841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202.85</v>
      </c>
      <c r="CR62" s="12">
        <f>VLOOKUP(A62,'Données projet'!$A$139:$I$159,9,0)</f>
        <v>9.8828571428571443</v>
      </c>
      <c r="CS62" s="12">
        <f t="array" ref="CS62">INDEX(CR:CR,MIN(IF(ISNUMBER(CR62:CR258),ROW(CR62:CR258),"")))</f>
        <v>9.8828571428571443</v>
      </c>
      <c r="CT62" s="12">
        <f>IF('Données projet'!$A$140&gt;35,CT61+CS62-DB61,IF(A62&lt;'Données projet'!$A$140,$CQ$205^A62,IF(A62='Données projet'!$A$140,'Données projet'!$B$140,CT61+CS62-DB61)))</f>
        <v>202.85</v>
      </c>
      <c r="CU62" s="17">
        <f>CT62*VLOOKUP('Données projet'!$B$13,Paramètres!$A$1:$I$89,3,0)*VLOOKUP('Données projet'!$B$13,Paramètres!$A$1:$I$89,5,0)</f>
        <v>218.34774000000002</v>
      </c>
      <c r="CV62" s="13">
        <f t="shared" si="41"/>
        <v>53.755617766190589</v>
      </c>
      <c r="CW62" s="20">
        <f t="shared" si="13"/>
        <v>473.91334810944858</v>
      </c>
      <c r="CX62" s="59">
        <f t="shared" si="14"/>
        <v>767.24668144278189</v>
      </c>
      <c r="CY62" s="59">
        <f ca="1">AVERAGE(OFFSET($CX$3,0,0,'Données projet'!$E$13+1,1))-AVERAGE(OFFSET($H$3,0,0,'Données projet'!$E$13+1,1))</f>
        <v>502.65044103360322</v>
      </c>
      <c r="CZ62" s="59">
        <f t="shared" si="42"/>
        <v>321.65762891855167</v>
      </c>
      <c r="DA62" s="15">
        <f>IF(ISNA(VLOOKUP(A62,'Données projet'!$A$139:$I$159,3,0)),0,VLOOKUP(A62,'Données projet'!$A$139:$I$159,3,0))</f>
        <v>4</v>
      </c>
      <c r="DB62" s="15">
        <f>IF(ISNA(VLOOKUP(A62,'Données projet'!$A$139:$I$159,4,0)),0,VLOOKUP(A62,'Données projet'!$A$139:$I$159,4,0))</f>
        <v>41.81</v>
      </c>
      <c r="DC62" s="16">
        <f>IF(ISNA(VLOOKUP(A62,'Données projet'!$A$139:$I$159,5,0)),0%,VLOOKUP(A62,'Données projet'!$A$139:$I$159,5,0)*VLOOKUP('Données projet'!$B$13,Paramètres!$A$1:$I$89,7,0))</f>
        <v>0.15049999999999999</v>
      </c>
      <c r="DD62" s="16">
        <f>IF(ISNA(VLOOKUP(A62,'Données projet'!$A$139:$I$159,6,0)),0%,VLOOKUP(A62,'Données projet'!$A$139:$I$159,6,0)*VLOOKUP('Données projet'!$B$13,Paramètres!$A$1:$I$89,7,0))</f>
        <v>8.6000000000000007E-2</v>
      </c>
      <c r="DE62" s="16">
        <f>IF(ISNA(VLOOKUP(A62,'Données projet'!$A$139:$I$159,7,0)),0%,VLOOKUP(A62,'Données projet'!$A$139:$I$159,7,0))</f>
        <v>0.1</v>
      </c>
      <c r="DF62" s="21">
        <f>EXP(-LN(2)/35)*DF61+(1-EXP(-LN(2)/35))/(LN(2)/35)*DB62*DC62*VLOOKUP('Données projet'!$B$13,Paramètres!$A$1:$I$89,3,0)*0.475*44/12</f>
        <v>14.409553531116302</v>
      </c>
      <c r="DG62" s="21">
        <f>EXP(-LN(2)/25)*DG61+(1-EXP(-LN(2)/25))/(LN(2)/25)*Calculateur!DB62*Calculateur!DD62*VLOOKUP('Données projet'!$B$13,Paramètres!$A$1:$I$89,3,0)*0.475*44/12</f>
        <v>35.820517964668632</v>
      </c>
      <c r="DH62" s="21">
        <f>EXP(-LN(2)/2)*DH61+(1-EXP(-LN(2)/2))/(LN(2)/2)*DB62*DE62*VLOOKUP('Données projet'!$B$13,Paramètres!$A$1:$I$89,3,0)*0.475*44/12</f>
        <v>4.7210428167994785</v>
      </c>
      <c r="DI62" s="22">
        <f t="shared" si="15"/>
        <v>54.951114312584409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-25.899999999999977</v>
      </c>
      <c r="DP62" s="17">
        <f>DO62*VLOOKUP('Données projet'!$B$14,Paramètres!$A$1:$I$89,3,0)*VLOOKUP('Données projet'!$B$14,Paramètres!$A$1:$I$89,5,0)</f>
        <v>-13.171703999999989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63.94726564348116</v>
      </c>
      <c r="DU62" s="59">
        <f t="shared" si="44"/>
        <v>280.8165028422905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28.729590101369034</v>
      </c>
      <c r="EB62" s="21">
        <f>EXP(-LN(2)/25)*EB61+(1-EXP(-LN(2)/25))/(LN(2)/25)*Calculateur!DW62*Calculateur!DY62*VLOOKUP('Données projet'!$B$14,Paramètres!$A$1:$I$89,3,0)*0.475*44/12</f>
        <v>2.907925600469409</v>
      </c>
      <c r="EC62" s="21">
        <f>EXP(-LN(2)/2)*EC61+(1-EXP(-LN(2)/2))/(LN(2)/2)*DW62*DZ62*VLOOKUP('Données projet'!$B$14,Paramètres!$A$1:$I$89,3,0)*0.475*44/12</f>
        <v>4.1935959289890757E-6</v>
      </c>
      <c r="ED62" s="22">
        <f t="shared" si="18"/>
        <v>31.637519895434369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299.12</v>
      </c>
      <c r="L63" s="12">
        <f>VLOOKUP(A63,'Données projet'!$A$35:$I$55,9,0)</f>
        <v>8.6975000000000016</v>
      </c>
      <c r="M63" s="12">
        <f t="array" ref="M63">INDEX(L:L,MIN(IF(ISNUMBER(L63:L259),ROW(L63:L259),"")))</f>
        <v>8.6975000000000016</v>
      </c>
      <c r="N63" s="13">
        <f>IF('Données projet'!$A$36&gt;35,N62+M63-V62,IF(A63&lt;'Données projet'!$A$36,$K$205^A63,IF(A63='Données projet'!$A$36,'Données projet'!$B$36,N62+M63-V62)))</f>
        <v>299.11999999999978</v>
      </c>
      <c r="O63" s="13">
        <f>N63*VLOOKUP('Données projet'!$B$9,Paramètres!$A$1:$I$89,3,0)*VLOOKUP('Données projet'!$B$9,Paramètres!$A$1:$I$89,5,0)</f>
        <v>171.09663999999989</v>
      </c>
      <c r="P63" s="13">
        <f t="shared" si="33"/>
        <v>43.335542473840391</v>
      </c>
      <c r="Q63" s="20">
        <f t="shared" si="53"/>
        <v>373.46938447527174</v>
      </c>
      <c r="R63" s="59">
        <f t="shared" si="0"/>
        <v>666.80271780860505</v>
      </c>
      <c r="S63" s="59">
        <f ca="1">AVERAGE(OFFSET($R$3,0,0,'Données projet'!$E$9+1,1))-AVERAGE(OFFSET($H$3,0,0,'Données projet'!$E$9+1,1))</f>
        <v>294.9631697747962</v>
      </c>
      <c r="T63" s="59">
        <f t="shared" si="34"/>
        <v>202.04924881627716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41.980000000000018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28.869313661165304</v>
      </c>
      <c r="AA63" s="21">
        <f>EXP(-LN(2)/25)*AA62+(1-EXP(-LN(2)/25))/(LN(2)/25)*Calculateur!V63*Calculateur!X63*VLOOKUP('Données projet'!$B$9,Paramètres!$A$1:$I$89,3,0)*0.475*44/12</f>
        <v>13.882073360745343</v>
      </c>
      <c r="AB63" s="21">
        <f>EXP(-LN(2)/2)*AB62+(1-EXP(-LN(2)/2))/(LN(2)/2)*V63*Y63*VLOOKUP('Données projet'!$B$9,Paramètres!$A$1:$I$89,3,0)*0.475*44/12</f>
        <v>5.839590017234741</v>
      </c>
      <c r="AC63" s="22">
        <f t="shared" si="3"/>
        <v>48.590977039145386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14.113999999999999</v>
      </c>
      <c r="AH63" s="12">
        <f t="array" ref="AH63">INDEX(AG:AG,MIN(IF(ISNUMBER(AG63:AG259),ROW(AG63:AG259),"")))</f>
        <v>14.113999999999999</v>
      </c>
      <c r="AI63" s="13">
        <f>IF('Données projet'!$A$62&gt;35,AI62+AH63-AQ62,IF(A63&lt;'Données projet'!$A$62,$AF$205^A63,IF(A63='Données projet'!$A$62,'Données projet'!$B$62,AI62+AH63-AQ62)))</f>
        <v>440.93999999999983</v>
      </c>
      <c r="AJ63" s="13">
        <f>AI63*VLOOKUP('Données projet'!$B$10,Paramètres!$A$1:$I$89,3,0)*VLOOKUP('Données projet'!$B$10,Paramètres!$A$1:$I$89,5,0)</f>
        <v>263.68211999999988</v>
      </c>
      <c r="AK63" s="13">
        <f t="shared" si="35"/>
        <v>63.506613606650006</v>
      </c>
      <c r="AL63" s="20">
        <f t="shared" si="4"/>
        <v>569.85371103158184</v>
      </c>
      <c r="AM63" s="59">
        <f t="shared" si="5"/>
        <v>863.18704436491521</v>
      </c>
      <c r="AN63" s="59">
        <f ca="1">AVERAGE(OFFSET($AM$3,0,0,'Données projet'!$E$10+1,1))-AVERAGE(OFFSET($H$3,0,0,'Données projet'!$E$10+1,1))</f>
        <v>349.71285006949597</v>
      </c>
      <c r="AO63" s="59">
        <f t="shared" si="36"/>
        <v>258.51550516456842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69.839999999999975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44.515755621175032</v>
      </c>
      <c r="AV63" s="21">
        <f>EXP(-LN(2)/25)*AV62+(1-EXP(-LN(2)/25))/(LN(2)/25)*Calculateur!AQ63*Calculateur!AS63*VLOOKUP('Données projet'!$B$10,Paramètres!$A$1:$I$89,3,0)*0.475*44/12</f>
        <v>19.333668428072521</v>
      </c>
      <c r="AW63" s="21">
        <f>EXP(-LN(2)/2)*AW62+(1-EXP(-LN(2)/2))/(LN(2)/2)*AQ63*AT63*VLOOKUP('Données projet'!$B$10,Paramètres!$A$1:$I$89,3,0)*0.475*44/12</f>
        <v>9.7692382497482964</v>
      </c>
      <c r="AX63" s="21">
        <f t="shared" si="6"/>
        <v>73.618662298995844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8.5662500000000001</v>
      </c>
      <c r="BD63" s="12">
        <f>IF('Données projet'!$A$88&gt;35,BD62+BC63-BL62,IF(A63&lt;'Données projet'!$A$88,$BA$205^A63,IF(A63='Données projet'!$A$88,'Données projet'!$B$88,BD62+BC63-BL62)))</f>
        <v>173.11625000000029</v>
      </c>
      <c r="BE63" s="13">
        <f>BD63*VLOOKUP('Données projet'!$B$11,Paramètres!$A$1:$I$89,3,0)*VLOOKUP('Données projet'!$B$11,Paramètres!$A$1:$I$89,5,0)</f>
        <v>156.63558300000025</v>
      </c>
      <c r="BF63" s="13">
        <f t="shared" si="37"/>
        <v>40.082725721977702</v>
      </c>
      <c r="BG63" s="20">
        <f t="shared" si="7"/>
        <v>342.61772102411163</v>
      </c>
      <c r="BH63" s="59">
        <f t="shared" si="8"/>
        <v>635.95105435744495</v>
      </c>
      <c r="BI63" s="59">
        <f ca="1">AVERAGE(OFFSET($BH$3,0,0,'Données projet'!$E$11+1,1))-AVERAGE(OFFSET($H$3,0,0,'Données projet'!$E$11+1,1))</f>
        <v>490.06222615476065</v>
      </c>
      <c r="BJ63" s="59">
        <f t="shared" si="38"/>
        <v>310.43914804089906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7.7849855212030992</v>
      </c>
      <c r="BQ63" s="21">
        <f>EXP(-LN(2)/25)*BQ62+(1-EXP(-LN(2)/25))/(LN(2)/25)*Calculateur!BL63*Calculateur!BN63*VLOOKUP('Données projet'!$B$11,Paramètres!$A$1:$I$89,3,0)*0.475*44/12</f>
        <v>34.283831387481925</v>
      </c>
      <c r="BR63" s="21">
        <f>EXP(-LN(2)/2)*BR62+(1-EXP(-LN(2)/2))/(LN(2)/2)*BL63*BO63*VLOOKUP('Données projet'!$B$11,Paramètres!$A$1:$I$89,3,0)*0.475*44/12</f>
        <v>3.6034506929191057</v>
      </c>
      <c r="BS63" s="22">
        <f t="shared" si="9"/>
        <v>45.672267601604126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195.00686399999989</v>
      </c>
      <c r="CA63" s="13">
        <f t="shared" si="39"/>
        <v>48.645218109693126</v>
      </c>
      <c r="CB63" s="20">
        <f t="shared" si="10"/>
        <v>424.36070967438195</v>
      </c>
      <c r="CC63" s="59">
        <f t="shared" si="11"/>
        <v>717.69404300771521</v>
      </c>
      <c r="CD63" s="59">
        <f ca="1">AVERAGE(OFFSET($CC$3,0,0,'Données projet'!$E$12+1,1))-AVERAGE(OFFSET($H$3,0,0,'Données projet'!$E$12+1,1))</f>
        <v>510.71380643466227</v>
      </c>
      <c r="CE63" s="59">
        <f t="shared" si="40"/>
        <v>252.40654099948841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8.3427124298567517</v>
      </c>
      <c r="CM63" s="21">
        <f>EXP(-LN(2)/2)*CM62+(1-EXP(-LN(2)/2))/(LN(2)/2)*CG63*CJ63*VLOOKUP('Données projet'!$B$12,Paramètres!$A$1:$I$89,3,0)*0.475*44/12</f>
        <v>16.624912155431847</v>
      </c>
      <c r="CN63" s="22">
        <f t="shared" si="12"/>
        <v>24.967624585288597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9.7525000000000013</v>
      </c>
      <c r="CT63" s="12">
        <f>IF('Données projet'!$A$140&gt;35,CT62+CS63-DB62,IF(A63&lt;'Données projet'!$A$140,$CQ$205^A63,IF(A63='Données projet'!$A$140,'Données projet'!$B$140,CT62+CS63-DB62)))</f>
        <v>170.79249999999999</v>
      </c>
      <c r="CU63" s="17">
        <f>CT63*VLOOKUP('Données projet'!$B$13,Paramètres!$A$1:$I$89,3,0)*VLOOKUP('Données projet'!$B$13,Paramètres!$A$1:$I$89,5,0)</f>
        <v>183.84104699999997</v>
      </c>
      <c r="CV63" s="13">
        <f t="shared" si="41"/>
        <v>46.175695377255046</v>
      </c>
      <c r="CW63" s="20">
        <f t="shared" si="13"/>
        <v>400.6124929737191</v>
      </c>
      <c r="CX63" s="59">
        <f t="shared" si="14"/>
        <v>693.94582630705236</v>
      </c>
      <c r="CY63" s="59">
        <f ca="1">AVERAGE(OFFSET($CX$3,0,0,'Données projet'!$E$13+1,1))-AVERAGE(OFFSET($H$3,0,0,'Données projet'!$E$13+1,1))</f>
        <v>502.65044103360322</v>
      </c>
      <c r="CZ63" s="59">
        <f t="shared" si="42"/>
        <v>321.65762891855167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14.126990975330928</v>
      </c>
      <c r="DG63" s="21">
        <f>EXP(-LN(2)/25)*DG62+(1-EXP(-LN(2)/25))/(LN(2)/25)*Calculateur!DB63*Calculateur!DD63*VLOOKUP('Données projet'!$B$13,Paramètres!$A$1:$I$89,3,0)*0.475*44/12</f>
        <v>34.841004017205599</v>
      </c>
      <c r="DH63" s="21">
        <f>EXP(-LN(2)/2)*DH62+(1-EXP(-LN(2)/2))/(LN(2)/2)*DB63*DE63*VLOOKUP('Données projet'!$B$13,Paramètres!$A$1:$I$89,3,0)*0.475*44/12</f>
        <v>3.3382813900309509</v>
      </c>
      <c r="DI63" s="22">
        <f t="shared" si="15"/>
        <v>52.306276382567475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-25.899999999999977</v>
      </c>
      <c r="DP63" s="17">
        <f>DO63*VLOOKUP('Données projet'!$B$14,Paramètres!$A$1:$I$89,3,0)*VLOOKUP('Données projet'!$B$14,Paramètres!$A$1:$I$89,5,0)</f>
        <v>-13.171703999999989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63.94726564348116</v>
      </c>
      <c r="DU63" s="59">
        <f t="shared" si="44"/>
        <v>280.8165028422905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28.166220362800864</v>
      </c>
      <c r="EB63" s="21">
        <f>EXP(-LN(2)/25)*EB62+(1-EXP(-LN(2)/25))/(LN(2)/25)*Calculateur!DW63*Calculateur!DY63*VLOOKUP('Données projet'!$B$14,Paramètres!$A$1:$I$89,3,0)*0.475*44/12</f>
        <v>2.8284082220034117</v>
      </c>
      <c r="EC63" s="21">
        <f>EXP(-LN(2)/2)*EC62+(1-EXP(-LN(2)/2))/(LN(2)/2)*DW63*DZ63*VLOOKUP('Données projet'!$B$14,Paramètres!$A$1:$I$89,3,0)*0.475*44/12</f>
        <v>2.9653201189444749E-6</v>
      </c>
      <c r="ED63" s="22">
        <f t="shared" si="18"/>
        <v>30.994631550124392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7.6800000000000015</v>
      </c>
      <c r="N64" s="13">
        <f>IF('Données projet'!$A$36&gt;35,N63+M64-V63,IF(A64&lt;'Données projet'!$A$36,$K$205^A64,IF(A64='Données projet'!$A$36,'Données projet'!$B$36,N63+M64-V63)))</f>
        <v>264.81999999999977</v>
      </c>
      <c r="O64" s="13">
        <f>N64*VLOOKUP('Données projet'!$B$9,Paramètres!$A$1:$I$89,3,0)*VLOOKUP('Données projet'!$B$9,Paramètres!$A$1:$I$89,5,0)</f>
        <v>151.47703999999987</v>
      </c>
      <c r="P64" s="13">
        <f t="shared" si="33"/>
        <v>38.914056596846336</v>
      </c>
      <c r="Q64" s="20">
        <f t="shared" si="53"/>
        <v>331.59782657284046</v>
      </c>
      <c r="R64" s="59">
        <f t="shared" si="0"/>
        <v>624.93115990617378</v>
      </c>
      <c r="S64" s="59">
        <f ca="1">AVERAGE(OFFSET($R$3,0,0,'Données projet'!$E$9+1,1))-AVERAGE(OFFSET($H$3,0,0,'Données projet'!$E$9+1,1))</f>
        <v>294.9631697747962</v>
      </c>
      <c r="T64" s="59">
        <f t="shared" si="34"/>
        <v>202.04924881627716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28.303204028812488</v>
      </c>
      <c r="AA64" s="21">
        <f>EXP(-LN(2)/25)*AA63+(1-EXP(-LN(2)/25))/(LN(2)/25)*Calculateur!V64*Calculateur!X64*VLOOKUP('Données projet'!$B$9,Paramètres!$A$1:$I$89,3,0)*0.475*44/12</f>
        <v>13.502467334669252</v>
      </c>
      <c r="AB64" s="21">
        <f>EXP(-LN(2)/2)*AB63+(1-EXP(-LN(2)/2))/(LN(2)/2)*V64*Y64*VLOOKUP('Données projet'!$B$9,Paramètres!$A$1:$I$89,3,0)*0.475*44/12</f>
        <v>4.1292137005359537</v>
      </c>
      <c r="AC64" s="22">
        <f t="shared" si="3"/>
        <v>45.934885064017692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382.99699999999984</v>
      </c>
      <c r="AJ64" s="13">
        <f>AI64*VLOOKUP('Données projet'!$B$10,Paramètres!$A$1:$I$89,3,0)*VLOOKUP('Données projet'!$B$10,Paramètres!$A$1:$I$89,5,0)</f>
        <v>229.03220599999992</v>
      </c>
      <c r="AK64" s="13">
        <f t="shared" si="35"/>
        <v>56.073370514455313</v>
      </c>
      <c r="AL64" s="20">
        <f t="shared" si="4"/>
        <v>496.55887909600943</v>
      </c>
      <c r="AM64" s="59">
        <f t="shared" si="5"/>
        <v>789.89221242934275</v>
      </c>
      <c r="AN64" s="59">
        <f ca="1">AVERAGE(OFFSET($AM$3,0,0,'Données projet'!$E$10+1,1))-AVERAGE(OFFSET($H$3,0,0,'Données projet'!$E$10+1,1))</f>
        <v>349.71285006949597</v>
      </c>
      <c r="AO64" s="59">
        <f t="shared" si="36"/>
        <v>258.51550516456842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43.642828805373689</v>
      </c>
      <c r="AV64" s="21">
        <f>EXP(-LN(2)/25)*AV63+(1-EXP(-LN(2)/25))/(LN(2)/25)*Calculateur!AQ64*Calculateur!AS64*VLOOKUP('Données projet'!$B$10,Paramètres!$A$1:$I$89,3,0)*0.475*44/12</f>
        <v>18.804988248193443</v>
      </c>
      <c r="AW64" s="21">
        <f>EXP(-LN(2)/2)*AW63+(1-EXP(-LN(2)/2))/(LN(2)/2)*AQ64*AT64*VLOOKUP('Données projet'!$B$10,Paramètres!$A$1:$I$89,3,0)*0.475*44/12</f>
        <v>6.9078946134240198</v>
      </c>
      <c r="AX64" s="21">
        <f t="shared" si="6"/>
        <v>69.355711666991155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8.5662500000000001</v>
      </c>
      <c r="BD64" s="12">
        <f>IF('Données projet'!$A$88&gt;35,BD63+BC64-BL63,IF(A64&lt;'Données projet'!$A$88,$BA$205^A64,IF(A64='Données projet'!$A$88,'Données projet'!$B$88,BD63+BC64-BL63)))</f>
        <v>181.68250000000029</v>
      </c>
      <c r="BE64" s="13">
        <f>BD64*VLOOKUP('Données projet'!$B$11,Paramètres!$A$1:$I$89,3,0)*VLOOKUP('Données projet'!$B$11,Paramètres!$A$1:$I$89,5,0)</f>
        <v>164.38632600000025</v>
      </c>
      <c r="BF64" s="13">
        <f t="shared" si="37"/>
        <v>41.830300823322531</v>
      </c>
      <c r="BG64" s="20">
        <f t="shared" si="7"/>
        <v>359.16062505062047</v>
      </c>
      <c r="BH64" s="59">
        <f t="shared" si="8"/>
        <v>652.49395838395378</v>
      </c>
      <c r="BI64" s="59">
        <f ca="1">AVERAGE(OFFSET($BH$3,0,0,'Données projet'!$E$11+1,1))-AVERAGE(OFFSET($H$3,0,0,'Données projet'!$E$11+1,1))</f>
        <v>490.06222615476065</v>
      </c>
      <c r="BJ64" s="59">
        <f t="shared" si="38"/>
        <v>310.43914804089906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7.6323267035046118</v>
      </c>
      <c r="BQ64" s="21">
        <f>EXP(-LN(2)/25)*BQ63+(1-EXP(-LN(2)/25))/(LN(2)/25)*Calculateur!BL64*Calculateur!BN64*VLOOKUP('Données projet'!$B$11,Paramètres!$A$1:$I$89,3,0)*0.475*44/12</f>
        <v>33.346338215282898</v>
      </c>
      <c r="BR64" s="21">
        <f>EXP(-LN(2)/2)*BR63+(1-EXP(-LN(2)/2))/(LN(2)/2)*BL64*BO64*VLOOKUP('Données projet'!$B$11,Paramètres!$A$1:$I$89,3,0)*0.475*44/12</f>
        <v>2.5480244206344631</v>
      </c>
      <c r="BS64" s="22">
        <f t="shared" si="9"/>
        <v>43.526689339421971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131.19423199999991</v>
      </c>
      <c r="CA64" s="13">
        <f t="shared" si="39"/>
        <v>34.272164248672141</v>
      </c>
      <c r="CB64" s="20">
        <f t="shared" si="10"/>
        <v>288.18730679977051</v>
      </c>
      <c r="CC64" s="59">
        <f t="shared" si="11"/>
        <v>581.52064013310383</v>
      </c>
      <c r="CD64" s="59">
        <f ca="1">AVERAGE(OFFSET($CC$3,0,0,'Données projet'!$E$12+1,1))-AVERAGE(OFFSET($H$3,0,0,'Données projet'!$E$12+1,1))</f>
        <v>510.71380643466227</v>
      </c>
      <c r="CE64" s="59">
        <f t="shared" si="40"/>
        <v>252.40654099948841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8.1145805197381389</v>
      </c>
      <c r="CM64" s="21">
        <f>EXP(-LN(2)/2)*CM63+(1-EXP(-LN(2)/2))/(LN(2)/2)*CG64*CJ64*VLOOKUP('Données projet'!$B$12,Paramètres!$A$1:$I$89,3,0)*0.475*44/12</f>
        <v>11.755588121736523</v>
      </c>
      <c r="CN64" s="22">
        <f t="shared" si="12"/>
        <v>19.870168641474663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9.7525000000000013</v>
      </c>
      <c r="CT64" s="12">
        <f>IF('Données projet'!$A$140&gt;35,CT63+CS64-DB63,IF(A64&lt;'Données projet'!$A$140,$CQ$205^A64,IF(A64='Données projet'!$A$140,'Données projet'!$B$140,CT63+CS64-DB63)))</f>
        <v>180.54499999999999</v>
      </c>
      <c r="CU64" s="17">
        <f>CT64*VLOOKUP('Données projet'!$B$13,Paramètres!$A$1:$I$89,3,0)*VLOOKUP('Données projet'!$B$13,Paramètres!$A$1:$I$89,5,0)</f>
        <v>194.33863799999997</v>
      </c>
      <c r="CV64" s="13">
        <f t="shared" si="41"/>
        <v>48.497900030377807</v>
      </c>
      <c r="CW64" s="20">
        <f t="shared" si="13"/>
        <v>422.94030373624128</v>
      </c>
      <c r="CX64" s="59">
        <f t="shared" si="14"/>
        <v>716.27363706957453</v>
      </c>
      <c r="CY64" s="59">
        <f ca="1">AVERAGE(OFFSET($CX$3,0,0,'Données projet'!$E$13+1,1))-AVERAGE(OFFSET($H$3,0,0,'Données projet'!$E$13+1,1))</f>
        <v>502.65044103360322</v>
      </c>
      <c r="CZ64" s="59">
        <f t="shared" si="42"/>
        <v>321.65762891855167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13.849969298918364</v>
      </c>
      <c r="DG64" s="21">
        <f>EXP(-LN(2)/25)*DG63+(1-EXP(-LN(2)/25))/(LN(2)/25)*Calculateur!DB64*Calculateur!DD64*VLOOKUP('Données projet'!$B$13,Paramètres!$A$1:$I$89,3,0)*0.475*44/12</f>
        <v>33.888274930146338</v>
      </c>
      <c r="DH64" s="21">
        <f>EXP(-LN(2)/2)*DH63+(1-EXP(-LN(2)/2))/(LN(2)/2)*DB64*DE64*VLOOKUP('Données projet'!$B$13,Paramètres!$A$1:$I$89,3,0)*0.475*44/12</f>
        <v>2.3605214083997397</v>
      </c>
      <c r="DI64" s="22">
        <f t="shared" si="15"/>
        <v>50.098765637464446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-25.899999999999977</v>
      </c>
      <c r="DP64" s="17">
        <f>DO64*VLOOKUP('Données projet'!$B$14,Paramètres!$A$1:$I$89,3,0)*VLOOKUP('Données projet'!$B$14,Paramètres!$A$1:$I$89,5,0)</f>
        <v>-13.171703999999989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63.94726564348116</v>
      </c>
      <c r="DU64" s="59">
        <f t="shared" si="44"/>
        <v>280.8165028422905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27.613897961184406</v>
      </c>
      <c r="EB64" s="21">
        <f>EXP(-LN(2)/25)*EB63+(1-EXP(-LN(2)/25))/(LN(2)/25)*Calculateur!DW64*Calculateur!DY64*VLOOKUP('Données projet'!$B$14,Paramètres!$A$1:$I$89,3,0)*0.475*44/12</f>
        <v>2.7510652504332045</v>
      </c>
      <c r="EC64" s="21">
        <f>EXP(-LN(2)/2)*EC63+(1-EXP(-LN(2)/2))/(LN(2)/2)*DW64*DZ64*VLOOKUP('Données projet'!$B$14,Paramètres!$A$1:$I$89,3,0)*0.475*44/12</f>
        <v>2.0967979644945379E-6</v>
      </c>
      <c r="ED64" s="22">
        <f t="shared" si="18"/>
        <v>30.364965308415574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7.6800000000000015</v>
      </c>
      <c r="N65" s="13">
        <f>IF('Données projet'!$A$36&gt;35,N64+M65-V64,IF(A65&lt;'Données projet'!$A$36,$K$205^A65,IF(A65='Données projet'!$A$36,'Données projet'!$B$36,N64+M65-V64)))</f>
        <v>272.49999999999977</v>
      </c>
      <c r="O65" s="13">
        <f>N65*VLOOKUP('Données projet'!$B$9,Paramètres!$A$1:$I$89,3,0)*VLOOKUP('Données projet'!$B$9,Paramètres!$A$1:$I$89,5,0)</f>
        <v>155.86999999999989</v>
      </c>
      <c r="P65" s="13">
        <f t="shared" si="33"/>
        <v>39.90956931897081</v>
      </c>
      <c r="Q65" s="20">
        <f t="shared" si="53"/>
        <v>340.98274989720727</v>
      </c>
      <c r="R65" s="59">
        <f t="shared" si="0"/>
        <v>634.31608323054058</v>
      </c>
      <c r="S65" s="59">
        <f ca="1">AVERAGE(OFFSET($R$3,0,0,'Données projet'!$E$9+1,1))-AVERAGE(OFFSET($H$3,0,0,'Données projet'!$E$9+1,1))</f>
        <v>294.9631697747962</v>
      </c>
      <c r="T65" s="59">
        <f t="shared" si="34"/>
        <v>202.04924881627716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27.748195461057328</v>
      </c>
      <c r="AA65" s="21">
        <f>EXP(-LN(2)/25)*AA64+(1-EXP(-LN(2)/25))/(LN(2)/25)*Calculateur!V65*Calculateur!X65*VLOOKUP('Données projet'!$B$9,Paramètres!$A$1:$I$89,3,0)*0.475*44/12</f>
        <v>13.133241655338825</v>
      </c>
      <c r="AB65" s="21">
        <f>EXP(-LN(2)/2)*AB64+(1-EXP(-LN(2)/2))/(LN(2)/2)*V65*Y65*VLOOKUP('Données projet'!$B$9,Paramètres!$A$1:$I$89,3,0)*0.475*44/12</f>
        <v>2.919795008617371</v>
      </c>
      <c r="AC65" s="22">
        <f t="shared" si="3"/>
        <v>43.801232125013527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394.89399999999983</v>
      </c>
      <c r="AJ65" s="13">
        <f>AI65*VLOOKUP('Données projet'!$B$10,Paramètres!$A$1:$I$89,3,0)*VLOOKUP('Données projet'!$B$10,Paramètres!$A$1:$I$89,5,0)</f>
        <v>236.14661199999995</v>
      </c>
      <c r="AK65" s="13">
        <f t="shared" si="35"/>
        <v>57.609675887529612</v>
      </c>
      <c r="AL65" s="20">
        <f t="shared" si="4"/>
        <v>511.6255347374472</v>
      </c>
      <c r="AM65" s="59">
        <f t="shared" si="5"/>
        <v>804.95886807078045</v>
      </c>
      <c r="AN65" s="59">
        <f ca="1">AVERAGE(OFFSET($AM$3,0,0,'Données projet'!$E$10+1,1))-AVERAGE(OFFSET($H$3,0,0,'Données projet'!$E$10+1,1))</f>
        <v>349.71285006949597</v>
      </c>
      <c r="AO65" s="59">
        <f t="shared" si="36"/>
        <v>258.51550516456842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42.787019551997425</v>
      </c>
      <c r="AV65" s="21">
        <f>EXP(-LN(2)/25)*AV64+(1-EXP(-LN(2)/25))/(LN(2)/25)*Calculateur!AQ65*Calculateur!AS65*VLOOKUP('Données projet'!$B$10,Paramètres!$A$1:$I$89,3,0)*0.475*44/12</f>
        <v>18.290764855635238</v>
      </c>
      <c r="AW65" s="21">
        <f>EXP(-LN(2)/2)*AW64+(1-EXP(-LN(2)/2))/(LN(2)/2)*AQ65*AT65*VLOOKUP('Données projet'!$B$10,Paramètres!$A$1:$I$89,3,0)*0.475*44/12</f>
        <v>4.8846191248741491</v>
      </c>
      <c r="AX65" s="21">
        <f t="shared" si="6"/>
        <v>65.962403532506812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8.5662500000000001</v>
      </c>
      <c r="BD65" s="12">
        <f>IF('Données projet'!$A$88&gt;35,BD64+BC65-BL64,IF(A65&lt;'Données projet'!$A$88,$BA$205^A65,IF(A65='Données projet'!$A$88,'Données projet'!$B$88,BD64+BC65-BL64)))</f>
        <v>190.24875000000029</v>
      </c>
      <c r="BE65" s="13">
        <f>BD65*VLOOKUP('Données projet'!$B$11,Paramètres!$A$1:$I$89,3,0)*VLOOKUP('Données projet'!$B$11,Paramètres!$A$1:$I$89,5,0)</f>
        <v>172.13706900000025</v>
      </c>
      <c r="BF65" s="13">
        <f t="shared" si="37"/>
        <v>43.5683073950158</v>
      </c>
      <c r="BG65" s="20">
        <f t="shared" si="7"/>
        <v>375.68686388798625</v>
      </c>
      <c r="BH65" s="59">
        <f t="shared" si="8"/>
        <v>669.02019722131956</v>
      </c>
      <c r="BI65" s="59">
        <f ca="1">AVERAGE(OFFSET($BH$3,0,0,'Données projet'!$E$11+1,1))-AVERAGE(OFFSET($H$3,0,0,'Données projet'!$E$11+1,1))</f>
        <v>490.06222615476065</v>
      </c>
      <c r="BJ65" s="59">
        <f t="shared" si="38"/>
        <v>310.43914804089906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7.4826614321085065</v>
      </c>
      <c r="BQ65" s="21">
        <f>EXP(-LN(2)/25)*BQ64+(1-EXP(-LN(2)/25))/(LN(2)/25)*Calculateur!BL65*Calculateur!BN65*VLOOKUP('Données projet'!$B$11,Paramètres!$A$1:$I$89,3,0)*0.475*44/12</f>
        <v>32.434480843178278</v>
      </c>
      <c r="BR65" s="21">
        <f>EXP(-LN(2)/2)*BR64+(1-EXP(-LN(2)/2))/(LN(2)/2)*BL65*BO65*VLOOKUP('Données projet'!$B$11,Paramètres!$A$1:$I$89,3,0)*0.475*44/12</f>
        <v>1.8017253464595528</v>
      </c>
      <c r="BS65" s="22">
        <f t="shared" si="9"/>
        <v>41.718867621746341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137.8614639999999</v>
      </c>
      <c r="CA65" s="13">
        <f t="shared" si="39"/>
        <v>35.806658893228409</v>
      </c>
      <c r="CB65" s="20">
        <f t="shared" si="10"/>
        <v>302.47198070570596</v>
      </c>
      <c r="CC65" s="59">
        <f t="shared" si="11"/>
        <v>595.80531403903933</v>
      </c>
      <c r="CD65" s="59">
        <f ca="1">AVERAGE(OFFSET($CC$3,0,0,'Données projet'!$E$12+1,1))-AVERAGE(OFFSET($H$3,0,0,'Données projet'!$E$12+1,1))</f>
        <v>510.71380643466227</v>
      </c>
      <c r="CE65" s="59">
        <f t="shared" si="40"/>
        <v>252.40654099948841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7.8926868886986563</v>
      </c>
      <c r="CM65" s="21">
        <f>EXP(-LN(2)/2)*CM64+(1-EXP(-LN(2)/2))/(LN(2)/2)*CG65*CJ65*VLOOKUP('Données projet'!$B$12,Paramètres!$A$1:$I$89,3,0)*0.475*44/12</f>
        <v>8.3124560777159253</v>
      </c>
      <c r="CN65" s="22">
        <f t="shared" si="12"/>
        <v>16.205142966414581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9.7525000000000013</v>
      </c>
      <c r="CT65" s="12">
        <f>IF('Données projet'!$A$140&gt;35,CT64+CS65-DB64,IF(A65&lt;'Données projet'!$A$140,$CQ$205^A65,IF(A65='Données projet'!$A$140,'Données projet'!$B$140,CT64+CS65-DB64)))</f>
        <v>190.29749999999999</v>
      </c>
      <c r="CU65" s="17">
        <f>CT65*VLOOKUP('Données projet'!$B$13,Paramètres!$A$1:$I$89,3,0)*VLOOKUP('Données projet'!$B$13,Paramètres!$A$1:$I$89,5,0)</f>
        <v>204.83622899999995</v>
      </c>
      <c r="CV65" s="13">
        <f t="shared" si="41"/>
        <v>50.805541968354355</v>
      </c>
      <c r="CW65" s="20">
        <f t="shared" si="13"/>
        <v>445.24275110321702</v>
      </c>
      <c r="CX65" s="59">
        <f t="shared" si="14"/>
        <v>738.57608443655033</v>
      </c>
      <c r="CY65" s="59">
        <f ca="1">AVERAGE(OFFSET($CX$3,0,0,'Données projet'!$E$13+1,1))-AVERAGE(OFFSET($H$3,0,0,'Données projet'!$E$13+1,1))</f>
        <v>502.65044103360322</v>
      </c>
      <c r="CZ65" s="59">
        <f t="shared" si="42"/>
        <v>321.65762891855167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13.578379848613711</v>
      </c>
      <c r="DG65" s="21">
        <f>EXP(-LN(2)/25)*DG64+(1-EXP(-LN(2)/25))/(LN(2)/25)*Calculateur!DB65*Calculateur!DD65*VLOOKUP('Données projet'!$B$13,Paramètres!$A$1:$I$89,3,0)*0.475*44/12</f>
        <v>32.96159827007456</v>
      </c>
      <c r="DH65" s="21">
        <f>EXP(-LN(2)/2)*DH64+(1-EXP(-LN(2)/2))/(LN(2)/2)*DB65*DE65*VLOOKUP('Données projet'!$B$13,Paramètres!$A$1:$I$89,3,0)*0.475*44/12</f>
        <v>1.6691406950154759</v>
      </c>
      <c r="DI65" s="22">
        <f t="shared" si="15"/>
        <v>48.209118813703746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-25.899999999999977</v>
      </c>
      <c r="DP65" s="17">
        <f>DO65*VLOOKUP('Données projet'!$B$14,Paramètres!$A$1:$I$89,3,0)*VLOOKUP('Données projet'!$B$14,Paramètres!$A$1:$I$89,5,0)</f>
        <v>-13.171703999999989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63.94726564348116</v>
      </c>
      <c r="DU65" s="59">
        <f t="shared" si="44"/>
        <v>280.8165028422905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27.072406264980248</v>
      </c>
      <c r="EB65" s="21">
        <f>EXP(-LN(2)/25)*EB64+(1-EXP(-LN(2)/25))/(LN(2)/25)*Calculateur!DW65*Calculateur!DY65*VLOOKUP('Données projet'!$B$14,Paramètres!$A$1:$I$89,3,0)*0.475*44/12</f>
        <v>2.6758372264878747</v>
      </c>
      <c r="EC65" s="21">
        <f>EXP(-LN(2)/2)*EC64+(1-EXP(-LN(2)/2))/(LN(2)/2)*DW65*DZ65*VLOOKUP('Données projet'!$B$14,Paramètres!$A$1:$I$89,3,0)*0.475*44/12</f>
        <v>1.4826600594722375E-6</v>
      </c>
      <c r="ED65" s="22">
        <f t="shared" si="18"/>
        <v>29.748244974128184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7.6800000000000015</v>
      </c>
      <c r="N66" s="13">
        <f>IF('Données projet'!$A$36&gt;35,N65+M66-V65,IF(A66&lt;'Données projet'!$A$36,$K$205^A66,IF(A66='Données projet'!$A$36,'Données projet'!$B$36,N65+M66-V65)))</f>
        <v>280.17999999999978</v>
      </c>
      <c r="O66" s="13">
        <f>N66*VLOOKUP('Données projet'!$B$9,Paramètres!$A$1:$I$89,3,0)*VLOOKUP('Données projet'!$B$9,Paramètres!$A$1:$I$89,5,0)</f>
        <v>160.26295999999988</v>
      </c>
      <c r="P66" s="13">
        <f t="shared" si="33"/>
        <v>40.901821098939003</v>
      </c>
      <c r="Q66" s="20">
        <f t="shared" si="53"/>
        <v>350.36199374731854</v>
      </c>
      <c r="R66" s="59">
        <f t="shared" si="0"/>
        <v>643.69532708065185</v>
      </c>
      <c r="S66" s="59">
        <f ca="1">AVERAGE(OFFSET($R$3,0,0,'Données projet'!$E$9+1,1))-AVERAGE(OFFSET($H$3,0,0,'Données projet'!$E$9+1,1))</f>
        <v>294.9631697747962</v>
      </c>
      <c r="T66" s="59">
        <f t="shared" si="34"/>
        <v>202.04924881627716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27.204070272794048</v>
      </c>
      <c r="AA66" s="21">
        <f>EXP(-LN(2)/25)*AA65+(1-EXP(-LN(2)/25))/(LN(2)/25)*Calculateur!V66*Calculateur!X66*VLOOKUP('Données projet'!$B$9,Paramètres!$A$1:$I$89,3,0)*0.475*44/12</f>
        <v>12.774112471626422</v>
      </c>
      <c r="AB66" s="21">
        <f>EXP(-LN(2)/2)*AB65+(1-EXP(-LN(2)/2))/(LN(2)/2)*V66*Y66*VLOOKUP('Données projet'!$B$9,Paramètres!$A$1:$I$89,3,0)*0.475*44/12</f>
        <v>2.0646068502679773</v>
      </c>
      <c r="AC66" s="22">
        <f t="shared" si="3"/>
        <v>42.04278959468845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406.79099999999983</v>
      </c>
      <c r="AJ66" s="13">
        <f>AI66*VLOOKUP('Données projet'!$B$10,Paramètres!$A$1:$I$89,3,0)*VLOOKUP('Données projet'!$B$10,Paramètres!$A$1:$I$89,5,0)</f>
        <v>243.26101799999989</v>
      </c>
      <c r="AK66" s="13">
        <f t="shared" si="35"/>
        <v>59.140602334121624</v>
      </c>
      <c r="AL66" s="20">
        <f t="shared" si="4"/>
        <v>526.68282208192829</v>
      </c>
      <c r="AM66" s="59">
        <f t="shared" si="5"/>
        <v>820.01615541526166</v>
      </c>
      <c r="AN66" s="59">
        <f ca="1">AVERAGE(OFFSET($AM$3,0,0,'Données projet'!$E$10+1,1))-AVERAGE(OFFSET($H$3,0,0,'Données projet'!$E$10+1,1))</f>
        <v>349.71285006949597</v>
      </c>
      <c r="AO66" s="59">
        <f t="shared" si="36"/>
        <v>258.51550516456842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41.947992196087768</v>
      </c>
      <c r="AV66" s="21">
        <f>EXP(-LN(2)/25)*AV65+(1-EXP(-LN(2)/25))/(LN(2)/25)*Calculateur!AQ66*Calculateur!AS66*VLOOKUP('Données projet'!$B$10,Paramètres!$A$1:$I$89,3,0)*0.475*44/12</f>
        <v>17.790602928788374</v>
      </c>
      <c r="AW66" s="21">
        <f>EXP(-LN(2)/2)*AW65+(1-EXP(-LN(2)/2))/(LN(2)/2)*AQ66*AT66*VLOOKUP('Données projet'!$B$10,Paramètres!$A$1:$I$89,3,0)*0.475*44/12</f>
        <v>3.4539473067120103</v>
      </c>
      <c r="AX66" s="21">
        <f t="shared" si="6"/>
        <v>63.192542431588151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8.5662500000000001</v>
      </c>
      <c r="BD66" s="12">
        <f>IF('Données projet'!$A$88&gt;35,BD65+BC66-BL65,IF(A66&lt;'Données projet'!$A$88,$BA$205^A66,IF(A66='Données projet'!$A$88,'Données projet'!$B$88,BD65+BC66-BL65)))</f>
        <v>198.81500000000028</v>
      </c>
      <c r="BE66" s="13">
        <f>BD66*VLOOKUP('Données projet'!$B$11,Paramètres!$A$1:$I$89,3,0)*VLOOKUP('Données projet'!$B$11,Paramètres!$A$1:$I$89,5,0)</f>
        <v>179.88781200000022</v>
      </c>
      <c r="BF66" s="13">
        <f t="shared" si="37"/>
        <v>45.297225497901827</v>
      </c>
      <c r="BG66" s="20">
        <f t="shared" si="7"/>
        <v>392.19727364217937</v>
      </c>
      <c r="BH66" s="59">
        <f t="shared" si="8"/>
        <v>685.53060697551268</v>
      </c>
      <c r="BI66" s="59">
        <f ca="1">AVERAGE(OFFSET($BH$3,0,0,'Données projet'!$E$11+1,1))-AVERAGE(OFFSET($H$3,0,0,'Données projet'!$E$11+1,1))</f>
        <v>490.06222615476065</v>
      </c>
      <c r="BJ66" s="59">
        <f t="shared" si="38"/>
        <v>310.43914804089906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7.3359310053976774</v>
      </c>
      <c r="BQ66" s="21">
        <f>EXP(-LN(2)/25)*BQ65+(1-EXP(-LN(2)/25))/(LN(2)/25)*Calculateur!BL66*Calculateur!BN66*VLOOKUP('Données projet'!$B$11,Paramètres!$A$1:$I$89,3,0)*0.475*44/12</f>
        <v>31.547558258866349</v>
      </c>
      <c r="BR66" s="21">
        <f>EXP(-LN(2)/2)*BR65+(1-EXP(-LN(2)/2))/(LN(2)/2)*BL66*BO66*VLOOKUP('Données projet'!$B$11,Paramètres!$A$1:$I$89,3,0)*0.475*44/12</f>
        <v>1.2740122103172316</v>
      </c>
      <c r="BS66" s="22">
        <f t="shared" si="9"/>
        <v>40.15750147458126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144.52869599999994</v>
      </c>
      <c r="CA66" s="13">
        <f t="shared" si="39"/>
        <v>37.332536103072727</v>
      </c>
      <c r="CB66" s="20">
        <f t="shared" si="10"/>
        <v>316.74164591285154</v>
      </c>
      <c r="CC66" s="59">
        <f t="shared" si="11"/>
        <v>610.07497924618485</v>
      </c>
      <c r="CD66" s="59">
        <f ca="1">AVERAGE(OFFSET($CC$3,0,0,'Données projet'!$E$12+1,1))-AVERAGE(OFFSET($H$3,0,0,'Données projet'!$E$12+1,1))</f>
        <v>510.71380643466227</v>
      </c>
      <c r="CE66" s="59">
        <f t="shared" si="40"/>
        <v>252.40654099948841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7.6768609506688268</v>
      </c>
      <c r="CM66" s="21">
        <f>EXP(-LN(2)/2)*CM65+(1-EXP(-LN(2)/2))/(LN(2)/2)*CG66*CJ66*VLOOKUP('Données projet'!$B$12,Paramètres!$A$1:$I$89,3,0)*0.475*44/12</f>
        <v>5.8777940608682622</v>
      </c>
      <c r="CN66" s="22">
        <f t="shared" si="12"/>
        <v>13.55465501153709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9.7525000000000013</v>
      </c>
      <c r="CT66" s="12">
        <f>IF('Données projet'!$A$140&gt;35,CT65+CS66-DB65,IF(A66&lt;'Données projet'!$A$140,$CQ$205^A66,IF(A66='Données projet'!$A$140,'Données projet'!$B$140,CT65+CS66-DB65)))</f>
        <v>200.04999999999998</v>
      </c>
      <c r="CU66" s="17">
        <f>CT66*VLOOKUP('Données projet'!$B$13,Paramètres!$A$1:$I$89,3,0)*VLOOKUP('Données projet'!$B$13,Paramètres!$A$1:$I$89,5,0)</f>
        <v>215.33381999999997</v>
      </c>
      <c r="CV66" s="13">
        <f t="shared" si="41"/>
        <v>53.099452648856172</v>
      </c>
      <c r="CW66" s="20">
        <f t="shared" si="13"/>
        <v>467.52128319675768</v>
      </c>
      <c r="CX66" s="59">
        <f t="shared" si="14"/>
        <v>760.85461653009099</v>
      </c>
      <c r="CY66" s="59">
        <f ca="1">AVERAGE(OFFSET($CX$3,0,0,'Données projet'!$E$13+1,1))-AVERAGE(OFFSET($H$3,0,0,'Données projet'!$E$13+1,1))</f>
        <v>502.65044103360322</v>
      </c>
      <c r="CZ66" s="59">
        <f t="shared" si="42"/>
        <v>321.65762891855167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13.312116101776324</v>
      </c>
      <c r="DG66" s="21">
        <f>EXP(-LN(2)/25)*DG65+(1-EXP(-LN(2)/25))/(LN(2)/25)*Calculateur!DB66*Calculateur!DD66*VLOOKUP('Données projet'!$B$13,Paramètres!$A$1:$I$89,3,0)*0.475*44/12</f>
        <v>32.060261632004256</v>
      </c>
      <c r="DH66" s="21">
        <f>EXP(-LN(2)/2)*DH65+(1-EXP(-LN(2)/2))/(LN(2)/2)*DB66*DE66*VLOOKUP('Données projet'!$B$13,Paramètres!$A$1:$I$89,3,0)*0.475*44/12</f>
        <v>1.1802607041998701</v>
      </c>
      <c r="DI66" s="22">
        <f t="shared" si="15"/>
        <v>46.552638437980448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-25.899999999999977</v>
      </c>
      <c r="DP66" s="17">
        <f>DO66*VLOOKUP('Données projet'!$B$14,Paramètres!$A$1:$I$89,3,0)*VLOOKUP('Données projet'!$B$14,Paramètres!$A$1:$I$89,5,0)</f>
        <v>-13.171703999999989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63.94726564348116</v>
      </c>
      <c r="DU66" s="59">
        <f t="shared" si="44"/>
        <v>280.8165028422905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26.54153289066133</v>
      </c>
      <c r="EB66" s="21">
        <f>EXP(-LN(2)/25)*EB65+(1-EXP(-LN(2)/25))/(LN(2)/25)*Calculateur!DW66*Calculateur!DY66*VLOOKUP('Données projet'!$B$14,Paramètres!$A$1:$I$89,3,0)*0.475*44/12</f>
        <v>2.6026663168133997</v>
      </c>
      <c r="EC66" s="21">
        <f>EXP(-LN(2)/2)*EC65+(1-EXP(-LN(2)/2))/(LN(2)/2)*DW66*DZ66*VLOOKUP('Données projet'!$B$14,Paramètres!$A$1:$I$89,3,0)*0.475*44/12</f>
        <v>1.0483989822472689E-6</v>
      </c>
      <c r="ED66" s="22">
        <f t="shared" si="18"/>
        <v>29.144200255873709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7.6800000000000015</v>
      </c>
      <c r="N67" s="13">
        <f>IF('Données projet'!$A$36&gt;35,N66+M67-V66,IF(A67&lt;'Données projet'!$A$36,$K$205^A67,IF(A67='Données projet'!$A$36,'Données projet'!$B$36,N66+M67-V66)))</f>
        <v>287.85999999999979</v>
      </c>
      <c r="O67" s="13">
        <f>N67*VLOOKUP('Données projet'!$B$9,Paramètres!$A$1:$I$89,3,0)*VLOOKUP('Données projet'!$B$9,Paramètres!$A$1:$I$89,5,0)</f>
        <v>164.65591999999987</v>
      </c>
      <c r="P67" s="13">
        <f t="shared" si="33"/>
        <v>41.890911592996488</v>
      </c>
      <c r="Q67" s="20">
        <f t="shared" ref="Q67:Q98" si="54">(O67+P67)*0.475*44/12</f>
        <v>359.73573169113524</v>
      </c>
      <c r="R67" s="59">
        <f t="shared" ref="R67:R130" si="55">Q67+(I67+J67)*44/12</f>
        <v>653.0690650244685</v>
      </c>
      <c r="S67" s="59">
        <f ca="1">AVERAGE(OFFSET($R$3,0,0,'Données projet'!$E$9+1,1))-AVERAGE(OFFSET($H$3,0,0,'Données projet'!$E$9+1,1))</f>
        <v>294.9631697747962</v>
      </c>
      <c r="T67" s="59">
        <f t="shared" si="34"/>
        <v>202.04924881627716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26.670615047589017</v>
      </c>
      <c r="AA67" s="21">
        <f>EXP(-LN(2)/25)*AA66+(1-EXP(-LN(2)/25))/(LN(2)/25)*Calculateur!V67*Calculateur!X67*VLOOKUP('Données projet'!$B$9,Paramètres!$A$1:$I$89,3,0)*0.475*44/12</f>
        <v>12.424803694328418</v>
      </c>
      <c r="AB67" s="21">
        <f>EXP(-LN(2)/2)*AB66+(1-EXP(-LN(2)/2))/(LN(2)/2)*V67*Y67*VLOOKUP('Données projet'!$B$9,Paramètres!$A$1:$I$89,3,0)*0.475*44/12</f>
        <v>1.4598975043086859</v>
      </c>
      <c r="AC67" s="22">
        <f t="shared" si="3"/>
        <v>40.55531624622612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418.68799999999982</v>
      </c>
      <c r="AJ67" s="13">
        <f>AI67*VLOOKUP('Données projet'!$B$10,Paramètres!$A$1:$I$89,3,0)*VLOOKUP('Données projet'!$B$10,Paramètres!$A$1:$I$89,5,0)</f>
        <v>250.37542399999992</v>
      </c>
      <c r="AK67" s="13">
        <f t="shared" si="35"/>
        <v>60.666325229387866</v>
      </c>
      <c r="AL67" s="20">
        <f t="shared" si="4"/>
        <v>541.73104657451711</v>
      </c>
      <c r="AM67" s="59">
        <f t="shared" si="5"/>
        <v>835.06437990785048</v>
      </c>
      <c r="AN67" s="59">
        <f ca="1">AVERAGE(OFFSET($AM$3,0,0,'Données projet'!$E$10+1,1))-AVERAGE(OFFSET($H$3,0,0,'Données projet'!$E$10+1,1))</f>
        <v>349.71285006949597</v>
      </c>
      <c r="AO67" s="59">
        <f t="shared" si="36"/>
        <v>258.51550516456842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41.125417654871342</v>
      </c>
      <c r="AV67" s="21">
        <f>EXP(-LN(2)/25)*AV66+(1-EXP(-LN(2)/25))/(LN(2)/25)*Calculateur!AQ67*Calculateur!AS67*VLOOKUP('Données projet'!$B$10,Paramètres!$A$1:$I$89,3,0)*0.475*44/12</f>
        <v>17.30411795613351</v>
      </c>
      <c r="AW67" s="21">
        <f>EXP(-LN(2)/2)*AW66+(1-EXP(-LN(2)/2))/(LN(2)/2)*AQ67*AT67*VLOOKUP('Données projet'!$B$10,Paramètres!$A$1:$I$89,3,0)*0.475*44/12</f>
        <v>2.442309562437075</v>
      </c>
      <c r="AX67" s="21">
        <f t="shared" si="6"/>
        <v>60.871845173441926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8.5662500000000001</v>
      </c>
      <c r="BD67" s="12">
        <f>IF('Données projet'!$A$88&gt;35,BD66+BC67-BL66,IF(A67&lt;'Données projet'!$A$88,$BA$205^A67,IF(A67='Données projet'!$A$88,'Données projet'!$B$88,BD66+BC67-BL66)))</f>
        <v>207.38125000000028</v>
      </c>
      <c r="BE67" s="13">
        <f>BD67*VLOOKUP('Données projet'!$B$11,Paramètres!$A$1:$I$89,3,0)*VLOOKUP('Données projet'!$B$11,Paramètres!$A$1:$I$89,5,0)</f>
        <v>187.63855500000025</v>
      </c>
      <c r="BF67" s="13">
        <f t="shared" si="37"/>
        <v>47.017491484907552</v>
      </c>
      <c r="BG67" s="20">
        <f t="shared" si="7"/>
        <v>408.6926142945477</v>
      </c>
      <c r="BH67" s="59">
        <f t="shared" si="8"/>
        <v>702.02594762788101</v>
      </c>
      <c r="BI67" s="59">
        <f ca="1">AVERAGE(OFFSET($BH$3,0,0,'Données projet'!$E$11+1,1))-AVERAGE(OFFSET($H$3,0,0,'Données projet'!$E$11+1,1))</f>
        <v>490.06222615476065</v>
      </c>
      <c r="BJ67" s="59">
        <f t="shared" si="38"/>
        <v>310.43914804089906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7.192077872857924</v>
      </c>
      <c r="BQ67" s="21">
        <f>EXP(-LN(2)/25)*BQ66+(1-EXP(-LN(2)/25))/(LN(2)/25)*Calculateur!BL67*Calculateur!BN67*VLOOKUP('Données projet'!$B$11,Paramètres!$A$1:$I$89,3,0)*0.475*44/12</f>
        <v>30.684888619263663</v>
      </c>
      <c r="BR67" s="21">
        <f>EXP(-LN(2)/2)*BR66+(1-EXP(-LN(2)/2))/(LN(2)/2)*BL67*BO67*VLOOKUP('Données projet'!$B$11,Paramètres!$A$1:$I$89,3,0)*0.475*44/12</f>
        <v>0.90086267322977642</v>
      </c>
      <c r="BS67" s="22">
        <f t="shared" si="9"/>
        <v>38.777829165351363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151.19592799999995</v>
      </c>
      <c r="CA67" s="13">
        <f t="shared" si="39"/>
        <v>38.850238811998203</v>
      </c>
      <c r="CB67" s="20">
        <f t="shared" si="10"/>
        <v>330.99707386423012</v>
      </c>
      <c r="CC67" s="59">
        <f t="shared" si="11"/>
        <v>624.33040719756343</v>
      </c>
      <c r="CD67" s="59">
        <f ca="1">AVERAGE(OFFSET($CC$3,0,0,'Données projet'!$E$12+1,1))-AVERAGE(OFFSET($H$3,0,0,'Données projet'!$E$12+1,1))</f>
        <v>510.71380643466227</v>
      </c>
      <c r="CE67" s="59">
        <f t="shared" si="40"/>
        <v>252.40654099948841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7.4669367842642158</v>
      </c>
      <c r="CM67" s="21">
        <f>EXP(-LN(2)/2)*CM66+(1-EXP(-LN(2)/2))/(LN(2)/2)*CG67*CJ67*VLOOKUP('Données projet'!$B$12,Paramètres!$A$1:$I$89,3,0)*0.475*44/12</f>
        <v>4.1562280388579635</v>
      </c>
      <c r="CN67" s="22">
        <f t="shared" si="12"/>
        <v>11.623164823122179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9.7525000000000013</v>
      </c>
      <c r="CT67" s="12">
        <f>IF('Données projet'!$A$140&gt;35,CT66+CS67-DB66,IF(A67&lt;'Données projet'!$A$140,$CQ$205^A67,IF(A67='Données projet'!$A$140,'Données projet'!$B$140,CT66+CS67-DB66)))</f>
        <v>209.80249999999998</v>
      </c>
      <c r="CU67" s="17">
        <f>CT67*VLOOKUP('Données projet'!$B$13,Paramètres!$A$1:$I$89,3,0)*VLOOKUP('Données projet'!$B$13,Paramètres!$A$1:$I$89,5,0)</f>
        <v>225.83141099999995</v>
      </c>
      <c r="CV67" s="13">
        <f t="shared" si="41"/>
        <v>55.380377881825432</v>
      </c>
      <c r="CW67" s="20">
        <f t="shared" si="13"/>
        <v>489.77719896917915</v>
      </c>
      <c r="CX67" s="59">
        <f t="shared" si="14"/>
        <v>783.11053230251241</v>
      </c>
      <c r="CY67" s="59">
        <f ca="1">AVERAGE(OFFSET($CX$3,0,0,'Données projet'!$E$13+1,1))-AVERAGE(OFFSET($H$3,0,0,'Données projet'!$E$13+1,1))</f>
        <v>502.65044103360322</v>
      </c>
      <c r="CZ67" s="59">
        <f t="shared" si="42"/>
        <v>321.65762891855167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13.05107362460957</v>
      </c>
      <c r="DG67" s="21">
        <f>EXP(-LN(2)/25)*DG66+(1-EXP(-LN(2)/25))/(LN(2)/25)*Calculateur!DB67*Calculateur!DD67*VLOOKUP('Données projet'!$B$13,Paramètres!$A$1:$I$89,3,0)*0.475*44/12</f>
        <v>31.183572091701215</v>
      </c>
      <c r="DH67" s="21">
        <f>EXP(-LN(2)/2)*DH66+(1-EXP(-LN(2)/2))/(LN(2)/2)*DB67*DE67*VLOOKUP('Données projet'!$B$13,Paramètres!$A$1:$I$89,3,0)*0.475*44/12</f>
        <v>0.83457034750773806</v>
      </c>
      <c r="DI67" s="22">
        <f t="shared" si="15"/>
        <v>45.069216063818523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-25.899999999999977</v>
      </c>
      <c r="DP67" s="17">
        <f>DO67*VLOOKUP('Données projet'!$B$14,Paramètres!$A$1:$I$89,3,0)*VLOOKUP('Données projet'!$B$14,Paramètres!$A$1:$I$89,5,0)</f>
        <v>-13.171703999999989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63.94726564348116</v>
      </c>
      <c r="DU67" s="59">
        <f t="shared" si="44"/>
        <v>280.8165028422905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26.021069619412021</v>
      </c>
      <c r="EB67" s="21">
        <f>EXP(-LN(2)/25)*EB66+(1-EXP(-LN(2)/25))/(LN(2)/25)*Calculateur!DW67*Calculateur!DY67*VLOOKUP('Données projet'!$B$14,Paramètres!$A$1:$I$89,3,0)*0.475*44/12</f>
        <v>2.5314962695118641</v>
      </c>
      <c r="EC67" s="21">
        <f>EXP(-LN(2)/2)*EC66+(1-EXP(-LN(2)/2))/(LN(2)/2)*DW67*DZ67*VLOOKUP('Données projet'!$B$14,Paramètres!$A$1:$I$89,3,0)*0.475*44/12</f>
        <v>7.4133002973611873E-7</v>
      </c>
      <c r="ED67" s="22">
        <f t="shared" si="18"/>
        <v>28.552566630253917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7.6800000000000015</v>
      </c>
      <c r="N68" s="13">
        <f>IF('Données projet'!$A$36&gt;35,N67+M68-V67,IF(A68&lt;'Données projet'!$A$36,$K$205^A68,IF(A68='Données projet'!$A$36,'Données projet'!$B$36,N67+M68-V67)))</f>
        <v>295.53999999999979</v>
      </c>
      <c r="O68" s="13">
        <f>N68*VLOOKUP('Données projet'!$B$9,Paramètres!$A$1:$I$89,3,0)*VLOOKUP('Données projet'!$B$9,Paramètres!$A$1:$I$89,5,0)</f>
        <v>169.04887999999988</v>
      </c>
      <c r="P68" s="13">
        <f t="shared" si="33"/>
        <v>42.876934837035776</v>
      </c>
      <c r="Q68" s="20">
        <f t="shared" si="54"/>
        <v>369.10412750783712</v>
      </c>
      <c r="R68" s="59">
        <f t="shared" si="55"/>
        <v>662.43746084117038</v>
      </c>
      <c r="S68" s="59">
        <f ca="1">AVERAGE(OFFSET($R$3,0,0,'Données projet'!$E$9+1,1))-AVERAGE(OFFSET($H$3,0,0,'Données projet'!$E$9+1,1))</f>
        <v>294.9631697747962</v>
      </c>
      <c r="T68" s="59">
        <f t="shared" si="34"/>
        <v>202.04924881627716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26.147620553974697</v>
      </c>
      <c r="AA68" s="21">
        <f>EXP(-LN(2)/25)*AA67+(1-EXP(-LN(2)/25))/(LN(2)/25)*Calculateur!V68*Calculateur!X68*VLOOKUP('Données projet'!$B$9,Paramètres!$A$1:$I$89,3,0)*0.475*44/12</f>
        <v>12.085046783914978</v>
      </c>
      <c r="AB68" s="21">
        <f>EXP(-LN(2)/2)*AB67+(1-EXP(-LN(2)/2))/(LN(2)/2)*V68*Y68*VLOOKUP('Données projet'!$B$9,Paramètres!$A$1:$I$89,3,0)*0.475*44/12</f>
        <v>1.0323034251339889</v>
      </c>
      <c r="AC68" s="22">
        <f t="shared" ref="AC68:AC131" si="57">SUM(Z68:AB68)</f>
        <v>39.264970763023662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430.58499999999981</v>
      </c>
      <c r="AJ68" s="13">
        <f>AI68*VLOOKUP('Données projet'!$B$10,Paramètres!$A$1:$I$89,3,0)*VLOOKUP('Données projet'!$B$10,Paramètres!$A$1:$I$89,5,0)</f>
        <v>257.48982999999993</v>
      </c>
      <c r="AK68" s="13">
        <f t="shared" si="35"/>
        <v>62.187009415011673</v>
      </c>
      <c r="AL68" s="20">
        <f t="shared" ref="AL68:AL131" si="58">(AJ68+AK68)*0.475*44/12</f>
        <v>556.77049531447858</v>
      </c>
      <c r="AM68" s="59">
        <f t="shared" ref="AM68:AM131" si="59">AL68+(AD68+AE68)*44/12</f>
        <v>850.10382864781195</v>
      </c>
      <c r="AN68" s="59">
        <f ca="1">AVERAGE(OFFSET($AM$3,0,0,'Données projet'!$E$10+1,1))-AVERAGE(OFFSET($H$3,0,0,'Données projet'!$E$10+1,1))</f>
        <v>349.71285006949597</v>
      </c>
      <c r="AO68" s="59">
        <f t="shared" si="36"/>
        <v>258.51550516456842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40.31897329868724</v>
      </c>
      <c r="AV68" s="21">
        <f>EXP(-LN(2)/25)*AV67+(1-EXP(-LN(2)/25))/(LN(2)/25)*Calculateur!AQ68*Calculateur!AS68*VLOOKUP('Données projet'!$B$10,Paramètres!$A$1:$I$89,3,0)*0.475*44/12</f>
        <v>16.830935940639026</v>
      </c>
      <c r="AW68" s="21">
        <f>EXP(-LN(2)/2)*AW67+(1-EXP(-LN(2)/2))/(LN(2)/2)*AQ68*AT68*VLOOKUP('Données projet'!$B$10,Paramètres!$A$1:$I$89,3,0)*0.475*44/12</f>
        <v>1.7269736533560056</v>
      </c>
      <c r="AX68" s="21">
        <f t="shared" ref="AX68:AX131" si="60">SUM(AU68:AW68)</f>
        <v>58.876882892682268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8.5662500000000001</v>
      </c>
      <c r="BD68" s="12">
        <f>IF('Données projet'!$A$88&gt;35,BD67+BC68-BL67,IF(A68&lt;'Données projet'!$A$88,$BA$205^A68,IF(A68='Données projet'!$A$88,'Données projet'!$B$88,BD67+BC68-BL67)))</f>
        <v>215.94750000000028</v>
      </c>
      <c r="BE68" s="13">
        <f>BD68*VLOOKUP('Données projet'!$B$11,Paramètres!$A$1:$I$89,3,0)*VLOOKUP('Données projet'!$B$11,Paramètres!$A$1:$I$89,5,0)</f>
        <v>195.38929800000025</v>
      </c>
      <c r="BF68" s="13">
        <f t="shared" si="37"/>
        <v>48.729503620609371</v>
      </c>
      <c r="BG68" s="20">
        <f t="shared" ref="BG68:BG131" si="61">(BE68+BF68)*0.475*44/12</f>
        <v>425.17357948922836</v>
      </c>
      <c r="BH68" s="59">
        <f t="shared" ref="BH68:BH131" si="62">BG68+(AY68+AZ68)*44/12</f>
        <v>718.50691282256162</v>
      </c>
      <c r="BI68" s="59">
        <f ca="1">AVERAGE(OFFSET($BH$3,0,0,'Données projet'!$E$11+1,1))-AVERAGE(OFFSET($H$3,0,0,'Données projet'!$E$11+1,1))</f>
        <v>490.06222615476065</v>
      </c>
      <c r="BJ68" s="59">
        <f t="shared" si="38"/>
        <v>310.43914804089906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7.0510456125055283</v>
      </c>
      <c r="BQ68" s="21">
        <f>EXP(-LN(2)/25)*BQ67+(1-EXP(-LN(2)/25))/(LN(2)/25)*Calculateur!BL68*Calculateur!BN68*VLOOKUP('Données projet'!$B$11,Paramètres!$A$1:$I$89,3,0)*0.475*44/12</f>
        <v>29.845808726321739</v>
      </c>
      <c r="BR68" s="21">
        <f>EXP(-LN(2)/2)*BR67+(1-EXP(-LN(2)/2))/(LN(2)/2)*BL68*BO68*VLOOKUP('Données projet'!$B$11,Paramètres!$A$1:$I$89,3,0)*0.475*44/12</f>
        <v>0.63700610515861578</v>
      </c>
      <c r="BS68" s="22">
        <f t="shared" ref="BS68:BS131" si="63">SUM(BP68:BR68)</f>
        <v>37.533860443985887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157.86315999999997</v>
      </c>
      <c r="CA68" s="13">
        <f t="shared" si="39"/>
        <v>40.360168681268135</v>
      </c>
      <c r="CB68" s="20">
        <f t="shared" ref="CB68:CB131" si="64">(BZ68+CA68)*0.475*44/12</f>
        <v>345.23896411987533</v>
      </c>
      <c r="CC68" s="59">
        <f t="shared" ref="CC68:CC131" si="65">CB68+(BT68+BU68)*44/12</f>
        <v>638.57229745320865</v>
      </c>
      <c r="CD68" s="59">
        <f ca="1">AVERAGE(OFFSET($CC$3,0,0,'Données projet'!$E$12+1,1))-AVERAGE(OFFSET($H$3,0,0,'Données projet'!$E$12+1,1))</f>
        <v>510.71380643466227</v>
      </c>
      <c r="CE68" s="59">
        <f t="shared" si="40"/>
        <v>252.40654099948841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7.2627530052293716</v>
      </c>
      <c r="CM68" s="21">
        <f>EXP(-LN(2)/2)*CM67+(1-EXP(-LN(2)/2))/(LN(2)/2)*CG68*CJ68*VLOOKUP('Données projet'!$B$12,Paramètres!$A$1:$I$89,3,0)*0.475*44/12</f>
        <v>2.938897030434132</v>
      </c>
      <c r="CN68" s="22">
        <f t="shared" ref="CN68:CN131" si="66">SUM(CK68:CM68)</f>
        <v>10.201650035663503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9.7525000000000013</v>
      </c>
      <c r="CT68" s="12">
        <f>IF('Données projet'!$A$140&gt;35,CT67+CS68-DB67,IF(A68&lt;'Données projet'!$A$140,$CQ$205^A68,IF(A68='Données projet'!$A$140,'Données projet'!$B$140,CT67+CS68-DB67)))</f>
        <v>219.55499999999998</v>
      </c>
      <c r="CU68" s="17">
        <f>CT68*VLOOKUP('Données projet'!$B$13,Paramètres!$A$1:$I$89,3,0)*VLOOKUP('Données projet'!$B$13,Paramètres!$A$1:$I$89,5,0)</f>
        <v>236.32900199999997</v>
      </c>
      <c r="CV68" s="13">
        <f t="shared" si="41"/>
        <v>57.648990221838943</v>
      </c>
      <c r="CW68" s="20">
        <f t="shared" ref="CW68:CW131" si="67">(CU68+CV68)*0.475*44/12</f>
        <v>512.01166978636945</v>
      </c>
      <c r="CX68" s="59">
        <f t="shared" ref="CX68:CX131" si="68">CW68+(CO68+CP68)*44/12</f>
        <v>805.34500311970282</v>
      </c>
      <c r="CY68" s="59">
        <f ca="1">AVERAGE(OFFSET($CX$3,0,0,'Données projet'!$E$13+1,1))-AVERAGE(OFFSET($H$3,0,0,'Données projet'!$E$13+1,1))</f>
        <v>502.65044103360322</v>
      </c>
      <c r="CZ68" s="59">
        <f t="shared" si="42"/>
        <v>321.65762891855167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12.795150031199865</v>
      </c>
      <c r="DG68" s="21">
        <f>EXP(-LN(2)/25)*DG67+(1-EXP(-LN(2)/25))/(LN(2)/25)*Calculateur!DB68*Calculateur!DD68*VLOOKUP('Données projet'!$B$13,Paramètres!$A$1:$I$89,3,0)*0.475*44/12</f>
        <v>30.33085567298086</v>
      </c>
      <c r="DH68" s="21">
        <f>EXP(-LN(2)/2)*DH67+(1-EXP(-LN(2)/2))/(LN(2)/2)*DB68*DE68*VLOOKUP('Données projet'!$B$13,Paramètres!$A$1:$I$89,3,0)*0.475*44/12</f>
        <v>0.59013035209993514</v>
      </c>
      <c r="DI68" s="22">
        <f t="shared" ref="DI68:DI131" si="69">SUM(DF68:DH68)</f>
        <v>43.716136056280661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-25.899999999999977</v>
      </c>
      <c r="DP68" s="17">
        <f>DO68*VLOOKUP('Données projet'!$B$14,Paramètres!$A$1:$I$89,3,0)*VLOOKUP('Données projet'!$B$14,Paramètres!$A$1:$I$89,5,0)</f>
        <v>-13.171703999999989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63.94726564348116</v>
      </c>
      <c r="DU68" s="59">
        <f t="shared" si="44"/>
        <v>280.8165028422905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25.510812315460662</v>
      </c>
      <c r="EB68" s="21">
        <f>EXP(-LN(2)/25)*EB67+(1-EXP(-LN(2)/25))/(LN(2)/25)*Calculateur!DW68*Calculateur!DY68*VLOOKUP('Données projet'!$B$14,Paramètres!$A$1:$I$89,3,0)*0.475*44/12</f>
        <v>2.4622723708964593</v>
      </c>
      <c r="EC68" s="21">
        <f>EXP(-LN(2)/2)*EC67+(1-EXP(-LN(2)/2))/(LN(2)/2)*DW68*DZ68*VLOOKUP('Données projet'!$B$14,Paramètres!$A$1:$I$89,3,0)*0.475*44/12</f>
        <v>5.2419949112363447E-7</v>
      </c>
      <c r="ED68" s="22">
        <f t="shared" ref="ED68:ED131" si="72">SUM(EA68:EC68)</f>
        <v>27.973085210556615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7.6800000000000015</v>
      </c>
      <c r="N69" s="13">
        <f>IF('Données projet'!$A$36&gt;35,N68+M69-V68,IF(A69&lt;'Données projet'!$A$36,$K$205^A69,IF(A69='Données projet'!$A$36,'Données projet'!$B$36,N68+M69-V68)))</f>
        <v>303.2199999999998</v>
      </c>
      <c r="O69" s="13">
        <f>N69*VLOOKUP('Données projet'!$B$9,Paramètres!$A$1:$I$89,3,0)*VLOOKUP('Données projet'!$B$9,Paramètres!$A$1:$I$89,5,0)</f>
        <v>173.4418399999999</v>
      </c>
      <c r="P69" s="13">
        <f t="shared" ref="P69:P132" si="87">EXP(-1.0587+0.8836*LN(O69)+0.284)</f>
        <v>43.859979701272408</v>
      </c>
      <c r="Q69" s="20">
        <f t="shared" si="54"/>
        <v>378.46733597971593</v>
      </c>
      <c r="R69" s="59">
        <f t="shared" si="55"/>
        <v>671.80066931304918</v>
      </c>
      <c r="S69" s="59">
        <f ca="1">AVERAGE(OFFSET($R$3,0,0,'Données projet'!$E$9+1,1))-AVERAGE(OFFSET($H$3,0,0,'Données projet'!$E$9+1,1))</f>
        <v>294.9631697747962</v>
      </c>
      <c r="T69" s="59">
        <f t="shared" ref="T69:T132" si="88">$T$3</f>
        <v>202.04924881627716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25.634881663385009</v>
      </c>
      <c r="AA69" s="21">
        <f>EXP(-LN(2)/25)*AA68+(1-EXP(-LN(2)/25))/(LN(2)/25)*Calculateur!V69*Calculateur!X69*VLOOKUP('Données projet'!$B$9,Paramètres!$A$1:$I$89,3,0)*0.475*44/12</f>
        <v>11.754580544083833</v>
      </c>
      <c r="AB69" s="21">
        <f>EXP(-LN(2)/2)*AB68+(1-EXP(-LN(2)/2))/(LN(2)/2)*V69*Y69*VLOOKUP('Données projet'!$B$9,Paramètres!$A$1:$I$89,3,0)*0.475*44/12</f>
        <v>0.72994875215434307</v>
      </c>
      <c r="AC69" s="22">
        <f t="shared" si="57"/>
        <v>38.119410959623181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442.4819999999998</v>
      </c>
      <c r="AJ69" s="13">
        <f>AI69*VLOOKUP('Données projet'!$B$10,Paramètres!$A$1:$I$89,3,0)*VLOOKUP('Données projet'!$B$10,Paramètres!$A$1:$I$89,5,0)</f>
        <v>264.6042359999999</v>
      </c>
      <c r="AK69" s="13">
        <f t="shared" ref="AK69:AK132" si="89">EXP(-1.0587+0.8836*LN(AJ69)+0.284)</f>
        <v>63.702810105204811</v>
      </c>
      <c r="AL69" s="20">
        <f t="shared" si="58"/>
        <v>571.80143863323156</v>
      </c>
      <c r="AM69" s="59">
        <f t="shared" si="59"/>
        <v>865.13477196656481</v>
      </c>
      <c r="AN69" s="59">
        <f ca="1">AVERAGE(OFFSET($AM$3,0,0,'Données projet'!$E$10+1,1))-AVERAGE(OFFSET($H$3,0,0,'Données projet'!$E$10+1,1))</f>
        <v>349.71285006949597</v>
      </c>
      <c r="AO69" s="59">
        <f t="shared" ref="AO69:AO132" si="90">$AO$3</f>
        <v>258.51550516456842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39.528342824445424</v>
      </c>
      <c r="AV69" s="21">
        <f>EXP(-LN(2)/25)*AV68+(1-EXP(-LN(2)/25))/(LN(2)/25)*Calculateur!AQ69*Calculateur!AS69*VLOOKUP('Données projet'!$B$10,Paramètres!$A$1:$I$89,3,0)*0.475*44/12</f>
        <v>16.370693112241799</v>
      </c>
      <c r="AW69" s="21">
        <f>EXP(-LN(2)/2)*AW68+(1-EXP(-LN(2)/2))/(LN(2)/2)*AQ69*AT69*VLOOKUP('Données projet'!$B$10,Paramètres!$A$1:$I$89,3,0)*0.475*44/12</f>
        <v>1.2211547812185377</v>
      </c>
      <c r="AX69" s="21">
        <f t="shared" si="60"/>
        <v>57.120190717905764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8.5662500000000001</v>
      </c>
      <c r="BD69" s="12">
        <f>IF('Données projet'!$A$88&gt;35,BD68+BC69-BL68,IF(A69&lt;'Données projet'!$A$88,$BA$205^A69,IF(A69='Données projet'!$A$88,'Données projet'!$B$88,BD68+BC69-BL68)))</f>
        <v>224.51375000000027</v>
      </c>
      <c r="BE69" s="13">
        <f>BD69*VLOOKUP('Données projet'!$B$11,Paramètres!$A$1:$I$89,3,0)*VLOOKUP('Données projet'!$B$11,Paramètres!$A$1:$I$89,5,0)</f>
        <v>203.14004100000022</v>
      </c>
      <c r="BF69" s="13">
        <f t="shared" ref="BF69:BF132" si="91">EXP(-1.0587+0.8836*LN(BE69)+0.284)</f>
        <v>50.433626784032469</v>
      </c>
      <c r="BG69" s="20">
        <f t="shared" si="61"/>
        <v>441.64080472385695</v>
      </c>
      <c r="BH69" s="59">
        <f t="shared" si="62"/>
        <v>734.9741380571902</v>
      </c>
      <c r="BI69" s="59">
        <f ca="1">AVERAGE(OFFSET($BH$3,0,0,'Données projet'!$E$11+1,1))-AVERAGE(OFFSET($H$3,0,0,'Données projet'!$E$11+1,1))</f>
        <v>490.06222615476065</v>
      </c>
      <c r="BJ69" s="59">
        <f t="shared" ref="BJ69:BJ132" si="92">$BJ$3</f>
        <v>310.43914804089906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6.912778908757458</v>
      </c>
      <c r="BQ69" s="21">
        <f>EXP(-LN(2)/25)*BQ68+(1-EXP(-LN(2)/25))/(LN(2)/25)*Calculateur!BL69*Calculateur!BN69*VLOOKUP('Données projet'!$B$11,Paramètres!$A$1:$I$89,3,0)*0.475*44/12</f>
        <v>29.029673517177603</v>
      </c>
      <c r="BR69" s="21">
        <f>EXP(-LN(2)/2)*BR68+(1-EXP(-LN(2)/2))/(LN(2)/2)*BL69*BO69*VLOOKUP('Données projet'!$B$11,Paramètres!$A$1:$I$89,3,0)*0.475*44/12</f>
        <v>0.45043133661488821</v>
      </c>
      <c r="BS69" s="22">
        <f t="shared" si="63"/>
        <v>36.39288376254995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164.53039199999995</v>
      </c>
      <c r="CA69" s="13">
        <f t="shared" ref="CA69:CA132" si="93">EXP(-1.0587+0.8836*LN(BZ69)+0.284)</f>
        <v>41.862691525218828</v>
      </c>
      <c r="CB69" s="20">
        <f t="shared" si="64"/>
        <v>359.46795380642266</v>
      </c>
      <c r="CC69" s="59">
        <f t="shared" si="65"/>
        <v>652.80128713975591</v>
      </c>
      <c r="CD69" s="59">
        <f ca="1">AVERAGE(OFFSET($CC$3,0,0,'Données projet'!$E$12+1,1))-AVERAGE(OFFSET($H$3,0,0,'Données projet'!$E$12+1,1))</f>
        <v>510.71380643466227</v>
      </c>
      <c r="CE69" s="59">
        <f t="shared" ref="CE69:CE132" si="94">$CE$3</f>
        <v>252.40654099948841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7.0641526423697929</v>
      </c>
      <c r="CM69" s="21">
        <f>EXP(-LN(2)/2)*CM68+(1-EXP(-LN(2)/2))/(LN(2)/2)*CG69*CJ69*VLOOKUP('Données projet'!$B$12,Paramètres!$A$1:$I$89,3,0)*0.475*44/12</f>
        <v>2.0781140194289822</v>
      </c>
      <c r="CN69" s="22">
        <f t="shared" si="66"/>
        <v>9.1422666617987751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9.7525000000000013</v>
      </c>
      <c r="CT69" s="12">
        <f>IF('Données projet'!$A$140&gt;35,CT68+CS69-DB68,IF(A69&lt;'Données projet'!$A$140,$CQ$205^A69,IF(A69='Données projet'!$A$140,'Données projet'!$B$140,CT68+CS69-DB68)))</f>
        <v>229.30749999999998</v>
      </c>
      <c r="CU69" s="17">
        <f>CT69*VLOOKUP('Données projet'!$B$13,Paramètres!$A$1:$I$89,3,0)*VLOOKUP('Données projet'!$B$13,Paramètres!$A$1:$I$89,5,0)</f>
        <v>246.82659299999995</v>
      </c>
      <c r="CV69" s="13">
        <f t="shared" ref="CV69:CV132" si="95">EXP(-1.0587+0.8836*LN(CU69)+0.284)</f>
        <v>59.905899096446639</v>
      </c>
      <c r="CW69" s="20">
        <f t="shared" si="67"/>
        <v>534.22575706797772</v>
      </c>
      <c r="CX69" s="59">
        <f t="shared" si="68"/>
        <v>827.5590904013111</v>
      </c>
      <c r="CY69" s="59">
        <f ca="1">AVERAGE(OFFSET($CX$3,0,0,'Données projet'!$E$13+1,1))-AVERAGE(OFFSET($H$3,0,0,'Données projet'!$E$13+1,1))</f>
        <v>502.65044103360322</v>
      </c>
      <c r="CZ69" s="59">
        <f t="shared" ref="CZ69:CZ132" si="96">$CZ$3</f>
        <v>321.65762891855167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12.544244943358947</v>
      </c>
      <c r="DG69" s="21">
        <f>EXP(-LN(2)/25)*DG68+(1-EXP(-LN(2)/25))/(LN(2)/25)*Calculateur!DB69*Calculateur!DD69*VLOOKUP('Données projet'!$B$13,Paramètres!$A$1:$I$89,3,0)*0.475*44/12</f>
        <v>29.50145682957282</v>
      </c>
      <c r="DH69" s="21">
        <f>EXP(-LN(2)/2)*DH68+(1-EXP(-LN(2)/2))/(LN(2)/2)*DB69*DE69*VLOOKUP('Données projet'!$B$13,Paramètres!$A$1:$I$89,3,0)*0.475*44/12</f>
        <v>0.41728517375386909</v>
      </c>
      <c r="DI69" s="22">
        <f t="shared" si="69"/>
        <v>42.462986946685632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-25.899999999999977</v>
      </c>
      <c r="DP69" s="17">
        <f>DO69*VLOOKUP('Données projet'!$B$14,Paramètres!$A$1:$I$89,3,0)*VLOOKUP('Données projet'!$B$14,Paramètres!$A$1:$I$89,5,0)</f>
        <v>-13.171703999999989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63.94726564348116</v>
      </c>
      <c r="DU69" s="59">
        <f t="shared" ref="DU69:DU132" si="98">$DU$3</f>
        <v>280.8165028422905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25.010560846013561</v>
      </c>
      <c r="EB69" s="21">
        <f>EXP(-LN(2)/25)*EB68+(1-EXP(-LN(2)/25))/(LN(2)/25)*Calculateur!DW69*Calculateur!DY69*VLOOKUP('Données projet'!$B$14,Paramètres!$A$1:$I$89,3,0)*0.475*44/12</f>
        <v>2.3949414034290193</v>
      </c>
      <c r="EC69" s="21">
        <f>EXP(-LN(2)/2)*EC68+(1-EXP(-LN(2)/2))/(LN(2)/2)*DW69*DZ69*VLOOKUP('Données projet'!$B$14,Paramètres!$A$1:$I$89,3,0)*0.475*44/12</f>
        <v>3.7066501486805936E-7</v>
      </c>
      <c r="ED69" s="22">
        <f t="shared" si="72"/>
        <v>27.405502620107594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7.6800000000000015</v>
      </c>
      <c r="N70" s="13">
        <f>IF('Données projet'!$A$36&gt;35,N69+M70-V69,IF(A70&lt;'Données projet'!$A$36,$K$205^A70,IF(A70='Données projet'!$A$36,'Données projet'!$B$36,N69+M70-V69)))</f>
        <v>310.89999999999981</v>
      </c>
      <c r="O70" s="13">
        <f>N70*VLOOKUP('Données projet'!$B$9,Paramètres!$A$1:$I$89,3,0)*VLOOKUP('Données projet'!$B$9,Paramètres!$A$1:$I$89,5,0)</f>
        <v>177.83479999999989</v>
      </c>
      <c r="P70" s="13">
        <f t="shared" si="87"/>
        <v>44.84013029756121</v>
      </c>
      <c r="Q70" s="20">
        <f t="shared" si="54"/>
        <v>387.82550360158558</v>
      </c>
      <c r="R70" s="59">
        <f t="shared" si="55"/>
        <v>681.1588369349189</v>
      </c>
      <c r="S70" s="59">
        <f ca="1">AVERAGE(OFFSET($R$3,0,0,'Données projet'!$E$9+1,1))-AVERAGE(OFFSET($H$3,0,0,'Données projet'!$E$9+1,1))</f>
        <v>294.9631697747962</v>
      </c>
      <c r="T70" s="59">
        <f t="shared" si="88"/>
        <v>202.04924881627716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25.132197269699944</v>
      </c>
      <c r="AA70" s="21">
        <f>EXP(-LN(2)/25)*AA69+(1-EXP(-LN(2)/25))/(LN(2)/25)*Calculateur!V70*Calculateur!X70*VLOOKUP('Données projet'!$B$9,Paramètres!$A$1:$I$89,3,0)*0.475*44/12</f>
        <v>11.433150920959335</v>
      </c>
      <c r="AB70" s="21">
        <f>EXP(-LN(2)/2)*AB69+(1-EXP(-LN(2)/2))/(LN(2)/2)*V70*Y70*VLOOKUP('Données projet'!$B$9,Paramètres!$A$1:$I$89,3,0)*0.475*44/12</f>
        <v>0.51615171256699455</v>
      </c>
      <c r="AC70" s="22">
        <f t="shared" si="57"/>
        <v>37.081499903226273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454.37899999999979</v>
      </c>
      <c r="AJ70" s="13">
        <f>AI70*VLOOKUP('Données projet'!$B$10,Paramètres!$A$1:$I$89,3,0)*VLOOKUP('Données projet'!$B$10,Paramètres!$A$1:$I$89,5,0)</f>
        <v>271.71864199999993</v>
      </c>
      <c r="AK70" s="13">
        <f t="shared" si="89"/>
        <v>65.213873692530555</v>
      </c>
      <c r="AL70" s="20">
        <f t="shared" si="58"/>
        <v>586.82413149782394</v>
      </c>
      <c r="AM70" s="59">
        <f t="shared" si="59"/>
        <v>880.15746483115731</v>
      </c>
      <c r="AN70" s="59">
        <f ca="1">AVERAGE(OFFSET($AM$3,0,0,'Données projet'!$E$10+1,1))-AVERAGE(OFFSET($H$3,0,0,'Données projet'!$E$10+1,1))</f>
        <v>349.71285006949597</v>
      </c>
      <c r="AO70" s="59">
        <f t="shared" si="90"/>
        <v>258.51550516456842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38.753216131566518</v>
      </c>
      <c r="AV70" s="21">
        <f>EXP(-LN(2)/25)*AV69+(1-EXP(-LN(2)/25))/(LN(2)/25)*Calculateur!AQ70*Calculateur!AS70*VLOOKUP('Données projet'!$B$10,Paramètres!$A$1:$I$89,3,0)*0.475*44/12</f>
        <v>15.923035648190211</v>
      </c>
      <c r="AW70" s="21">
        <f>EXP(-LN(2)/2)*AW69+(1-EXP(-LN(2)/2))/(LN(2)/2)*AQ70*AT70*VLOOKUP('Données projet'!$B$10,Paramètres!$A$1:$I$89,3,0)*0.475*44/12</f>
        <v>0.86348682667800292</v>
      </c>
      <c r="AX70" s="21">
        <f t="shared" si="60"/>
        <v>55.539738606434732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8.5662500000000001</v>
      </c>
      <c r="BC70" s="12">
        <f t="array" ref="BC70">INDEX(BB:BB,MIN(IF(ISNUMBER(BB70:BB266),ROW(BB70:BB266),"")))</f>
        <v>8.5662500000000001</v>
      </c>
      <c r="BD70" s="12">
        <f>IF('Données projet'!$A$88&gt;35,BD69+BC70-BL69,IF(A70&lt;'Données projet'!$A$88,$BA$205^A70,IF(A70='Données projet'!$A$88,'Données projet'!$B$88,BD69+BC70-BL69)))</f>
        <v>233.08000000000027</v>
      </c>
      <c r="BE70" s="13">
        <f>BD70*VLOOKUP('Données projet'!$B$11,Paramètres!$A$1:$I$89,3,0)*VLOOKUP('Données projet'!$B$11,Paramètres!$A$1:$I$89,5,0)</f>
        <v>210.89078400000022</v>
      </c>
      <c r="BF70" s="13">
        <f t="shared" si="91"/>
        <v>52.130196433530017</v>
      </c>
      <c r="BG70" s="20">
        <f t="shared" si="61"/>
        <v>458.09487425506512</v>
      </c>
      <c r="BH70" s="59">
        <f t="shared" si="62"/>
        <v>751.42820758839844</v>
      </c>
      <c r="BI70" s="59">
        <f ca="1">AVERAGE(OFFSET($BH$3,0,0,'Données projet'!$E$11+1,1))-AVERAGE(OFFSET($H$3,0,0,'Données projet'!$E$11+1,1))</f>
        <v>490.06222615476065</v>
      </c>
      <c r="BJ70" s="59">
        <f t="shared" si="92"/>
        <v>310.43914804089906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44.170000000000016</v>
      </c>
      <c r="BM70" s="16">
        <f>IF(ISNA(VLOOKUP(A70,'Données projet'!$A$87:$I$107,5,0)),0%,VLOOKUP(A70,'Données projet'!$A$87:$I$107,5,0)*VLOOKUP('Données projet'!$B$11,Paramètres!$A$1:$I$89,7,0))</f>
        <v>0.15049999999999999</v>
      </c>
      <c r="BN70" s="16">
        <f>IF(ISNA(VLOOKUP(A70,'Données projet'!$A$87:$I$107,6,0)),0%,VLOOKUP(A70,'Données projet'!$A$87:$I$107,6,0)*VLOOKUP('Données projet'!$B$11,Paramètres!$A$1:$I$89,7,0))</f>
        <v>8.6000000000000007E-2</v>
      </c>
      <c r="BO70" s="16">
        <f>IF(ISNA(VLOOKUP(A70,'Données projet'!$A$87:$I$107,7,0)),0%,VLOOKUP(A70,'Données projet'!$A$87:$I$107,7,0))</f>
        <v>0.1</v>
      </c>
      <c r="BP70" s="21">
        <f>EXP(-LN(2)/35)*BP69+(1-EXP(-LN(2)/35))/(LN(2)/35)*BL70*BM70*VLOOKUP('Données projet'!$B$11,Paramètres!$A$1:$I$89,3,0)*0.475*44/12</f>
        <v>13.426334812272373</v>
      </c>
      <c r="BQ70" s="21">
        <f>EXP(-LN(2)/25)*BQ69+(1-EXP(-LN(2)/25))/(LN(2)/25)*Calculateur!BL70*Calculateur!BN70*VLOOKUP('Données projet'!$B$11,Paramètres!$A$1:$I$89,3,0)*0.475*44/12</f>
        <v>32.020387680767008</v>
      </c>
      <c r="BR70" s="21">
        <f>EXP(-LN(2)/2)*BR69+(1-EXP(-LN(2)/2))/(LN(2)/2)*BL70*BO70*VLOOKUP('Données projet'!$B$11,Paramètres!$A$1:$I$89,3,0)*0.475*44/12</f>
        <v>4.0893098764428064</v>
      </c>
      <c r="BS70" s="22">
        <f t="shared" si="63"/>
        <v>49.536032369482186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171.19762399999996</v>
      </c>
      <c r="CA70" s="13">
        <f t="shared" si="93"/>
        <v>43.358141832658021</v>
      </c>
      <c r="CB70" s="20">
        <f t="shared" si="64"/>
        <v>373.68462549187933</v>
      </c>
      <c r="CC70" s="59">
        <f t="shared" si="65"/>
        <v>667.01795882521265</v>
      </c>
      <c r="CD70" s="59">
        <f ca="1">AVERAGE(OFFSET($CC$3,0,0,'Données projet'!$E$12+1,1))-AVERAGE(OFFSET($H$3,0,0,'Données projet'!$E$12+1,1))</f>
        <v>510.71380643466227</v>
      </c>
      <c r="CE70" s="59">
        <f t="shared" si="94"/>
        <v>252.40654099948841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6.8709830168765489</v>
      </c>
      <c r="CM70" s="21">
        <f>EXP(-LN(2)/2)*CM69+(1-EXP(-LN(2)/2))/(LN(2)/2)*CG70*CJ70*VLOOKUP('Données projet'!$B$12,Paramètres!$A$1:$I$89,3,0)*0.475*44/12</f>
        <v>1.4694485152170662</v>
      </c>
      <c r="CN70" s="22">
        <f t="shared" si="66"/>
        <v>8.3404315320936142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239.06</v>
      </c>
      <c r="CR70" s="12">
        <f>VLOOKUP(A70,'Données projet'!$A$139:$I$159,9,0)</f>
        <v>9.7525000000000013</v>
      </c>
      <c r="CS70" s="12">
        <f t="array" ref="CS70">INDEX(CR:CR,MIN(IF(ISNUMBER(CR70:CR266),ROW(CR70:CR266),"")))</f>
        <v>9.7525000000000013</v>
      </c>
      <c r="CT70" s="12">
        <f>IF('Données projet'!$A$140&gt;35,CT69+CS70-DB69,IF(A70&lt;'Données projet'!$A$140,$CQ$205^A70,IF(A70='Données projet'!$A$140,'Données projet'!$B$140,CT69+CS70-DB69)))</f>
        <v>239.05999999999997</v>
      </c>
      <c r="CU70" s="17">
        <f>CT70*VLOOKUP('Données projet'!$B$13,Paramètres!$A$1:$I$89,3,0)*VLOOKUP('Données projet'!$B$13,Paramètres!$A$1:$I$89,5,0)</f>
        <v>257.324184</v>
      </c>
      <c r="CV70" s="13">
        <f t="shared" si="95"/>
        <v>62.151659162886212</v>
      </c>
      <c r="CW70" s="20">
        <f t="shared" si="67"/>
        <v>556.42042684202681</v>
      </c>
      <c r="CX70" s="59">
        <f t="shared" si="68"/>
        <v>849.75376017536018</v>
      </c>
      <c r="CY70" s="59">
        <f ca="1">AVERAGE(OFFSET($CX$3,0,0,'Données projet'!$E$13+1,1))-AVERAGE(OFFSET($H$3,0,0,'Données projet'!$E$13+1,1))</f>
        <v>502.65044103360322</v>
      </c>
      <c r="CZ70" s="59">
        <f t="shared" si="96"/>
        <v>321.65762891855167</v>
      </c>
      <c r="DA70" s="15">
        <f>IF(ISNA(VLOOKUP(A70,'Données projet'!$A$139:$I$159,3,0)),0,VLOOKUP(A70,'Données projet'!$A$139:$I$159,3,0))</f>
        <v>5</v>
      </c>
      <c r="DB70" s="15">
        <f>IF(ISNA(VLOOKUP(A70,'Données projet'!$A$139:$I$159,4,0)),0,VLOOKUP(A70,'Données projet'!$A$139:$I$159,4,0))</f>
        <v>42.550000000000011</v>
      </c>
      <c r="DC70" s="16">
        <f>IF(ISNA(VLOOKUP(A70,'Données projet'!$A$139:$I$159,5,0)),0%,VLOOKUP(A70,'Données projet'!$A$139:$I$159,5,0)*VLOOKUP('Données projet'!$B$13,Paramètres!$A$1:$I$89,7,0))</f>
        <v>0.15049999999999999</v>
      </c>
      <c r="DD70" s="16">
        <f>IF(ISNA(VLOOKUP(A70,'Données projet'!$A$139:$I$159,6,0)),0%,VLOOKUP(A70,'Données projet'!$A$139:$I$159,6,0)*VLOOKUP('Données projet'!$B$13,Paramètres!$A$1:$I$89,7,0))</f>
        <v>8.6000000000000007E-2</v>
      </c>
      <c r="DE70" s="16">
        <f>IF(ISNA(VLOOKUP(A70,'Données projet'!$A$139:$I$159,7,0)),0%,VLOOKUP(A70,'Données projet'!$A$139:$I$159,7,0))</f>
        <v>0.1</v>
      </c>
      <c r="DF70" s="21">
        <f>EXP(-LN(2)/35)*DF69+(1-EXP(-LN(2)/35))/(LN(2)/35)*DB70*DC70*VLOOKUP('Données projet'!$B$13,Paramètres!$A$1:$I$89,3,0)*0.475*44/12</f>
        <v>19.918293156435809</v>
      </c>
      <c r="DG70" s="21">
        <f>EXP(-LN(2)/25)*DG69+(1-EXP(-LN(2)/25))/(LN(2)/25)*Calculateur!DB70*Calculateur!DD70*VLOOKUP('Données projet'!$B$13,Paramètres!$A$1:$I$89,3,0)*0.475*44/12</f>
        <v>33.031898073150039</v>
      </c>
      <c r="DH70" s="21">
        <f>EXP(-LN(2)/2)*DH69+(1-EXP(-LN(2)/2))/(LN(2)/2)*DB70*DE70*VLOOKUP('Données projet'!$B$13,Paramètres!$A$1:$I$89,3,0)*0.475*44/12</f>
        <v>4.6164958141496442</v>
      </c>
      <c r="DI70" s="22">
        <f t="shared" si="69"/>
        <v>57.566687043735492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-25.899999999999977</v>
      </c>
      <c r="DP70" s="17">
        <f>DO70*VLOOKUP('Données projet'!$B$14,Paramètres!$A$1:$I$89,3,0)*VLOOKUP('Données projet'!$B$14,Paramètres!$A$1:$I$89,5,0)</f>
        <v>-13.171703999999989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63.94726564348116</v>
      </c>
      <c r="DU70" s="59">
        <f t="shared" si="98"/>
        <v>280.8165028422905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24.520119002759053</v>
      </c>
      <c r="EB70" s="21">
        <f>EXP(-LN(2)/25)*EB69+(1-EXP(-LN(2)/25))/(LN(2)/25)*Calculateur!DW70*Calculateur!DY70*VLOOKUP('Données projet'!$B$14,Paramètres!$A$1:$I$89,3,0)*0.475*44/12</f>
        <v>2.3294516048077583</v>
      </c>
      <c r="EC70" s="21">
        <f>EXP(-LN(2)/2)*EC69+(1-EXP(-LN(2)/2))/(LN(2)/2)*DW70*DZ70*VLOOKUP('Données projet'!$B$14,Paramètres!$A$1:$I$89,3,0)*0.475*44/12</f>
        <v>2.6209974556181723E-7</v>
      </c>
      <c r="ED70" s="22">
        <f t="shared" si="72"/>
        <v>26.849570869666557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7.6800000000000015</v>
      </c>
      <c r="N71" s="13">
        <f>IF('Données projet'!$A$36&gt;35,N70+M71-V70,IF(A71&lt;'Données projet'!$A$36,$K$205^A71,IF(A71='Données projet'!$A$36,'Données projet'!$B$36,N70+M71-V70)))</f>
        <v>318.57999999999981</v>
      </c>
      <c r="O71" s="13">
        <f>N71*VLOOKUP('Données projet'!$B$9,Paramètres!$A$1:$I$89,3,0)*VLOOKUP('Données projet'!$B$9,Paramètres!$A$1:$I$89,5,0)</f>
        <v>182.22775999999993</v>
      </c>
      <c r="P71" s="13">
        <f t="shared" si="87"/>
        <v>45.817466345331773</v>
      </c>
      <c r="Q71" s="20">
        <f t="shared" si="54"/>
        <v>397.17876921811938</v>
      </c>
      <c r="R71" s="59">
        <f t="shared" si="55"/>
        <v>690.5121025514527</v>
      </c>
      <c r="S71" s="59">
        <f ca="1">AVERAGE(OFFSET($R$3,0,0,'Données projet'!$E$9+1,1))-AVERAGE(OFFSET($H$3,0,0,'Données projet'!$E$9+1,1))</f>
        <v>294.9631697747962</v>
      </c>
      <c r="T71" s="59">
        <f t="shared" si="88"/>
        <v>202.04924881627716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24.639370210367836</v>
      </c>
      <c r="AA71" s="21">
        <f>EXP(-LN(2)/25)*AA70+(1-EXP(-LN(2)/25))/(LN(2)/25)*Calculateur!V71*Calculateur!X71*VLOOKUP('Données projet'!$B$9,Paramètres!$A$1:$I$89,3,0)*0.475*44/12</f>
        <v>11.120510807782425</v>
      </c>
      <c r="AB71" s="21">
        <f>EXP(-LN(2)/2)*AB70+(1-EXP(-LN(2)/2))/(LN(2)/2)*V71*Y71*VLOOKUP('Données projet'!$B$9,Paramètres!$A$1:$I$89,3,0)*0.475*44/12</f>
        <v>0.36497437607717159</v>
      </c>
      <c r="AC71" s="22">
        <f t="shared" si="57"/>
        <v>36.124855394227431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466.27599999999978</v>
      </c>
      <c r="AJ71" s="13">
        <f>AI71*VLOOKUP('Données projet'!$B$10,Paramètres!$A$1:$I$89,3,0)*VLOOKUP('Données projet'!$B$10,Paramètres!$A$1:$I$89,5,0)</f>
        <v>278.83304799999985</v>
      </c>
      <c r="AK71" s="13">
        <f t="shared" si="89"/>
        <v>66.720338466956676</v>
      </c>
      <c r="AL71" s="20">
        <f t="shared" si="58"/>
        <v>601.83881476328258</v>
      </c>
      <c r="AM71" s="59">
        <f t="shared" si="59"/>
        <v>895.17214809661596</v>
      </c>
      <c r="AN71" s="59">
        <f ca="1">AVERAGE(OFFSET($AM$3,0,0,'Données projet'!$E$10+1,1))-AVERAGE(OFFSET($H$3,0,0,'Données projet'!$E$10+1,1))</f>
        <v>349.71285006949597</v>
      </c>
      <c r="AO71" s="59">
        <f t="shared" si="90"/>
        <v>258.51550516456842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37.993289200354369</v>
      </c>
      <c r="AV71" s="21">
        <f>EXP(-LN(2)/25)*AV70+(1-EXP(-LN(2)/25))/(LN(2)/25)*Calculateur!AQ71*Calculateur!AS71*VLOOKUP('Données projet'!$B$10,Paramètres!$A$1:$I$89,3,0)*0.475*44/12</f>
        <v>15.487619401034397</v>
      </c>
      <c r="AW71" s="21">
        <f>EXP(-LN(2)/2)*AW70+(1-EXP(-LN(2)/2))/(LN(2)/2)*AQ71*AT71*VLOOKUP('Données projet'!$B$10,Paramètres!$A$1:$I$89,3,0)*0.475*44/12</f>
        <v>0.61057739060926897</v>
      </c>
      <c r="AX71" s="21">
        <f t="shared" si="60"/>
        <v>54.091485991998034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8.2474999999999987</v>
      </c>
      <c r="BD71" s="12">
        <f>IF('Données projet'!$A$88&gt;35,BD70+BC71-BL70,IF(A71&lt;'Données projet'!$A$88,$BA$205^A71,IF(A71='Données projet'!$A$88,'Données projet'!$B$88,BD70+BC71-BL70)))</f>
        <v>197.15750000000025</v>
      </c>
      <c r="BE71" s="13">
        <f>BD71*VLOOKUP('Données projet'!$B$11,Paramètres!$A$1:$I$89,3,0)*VLOOKUP('Données projet'!$B$11,Paramètres!$A$1:$I$89,5,0)</f>
        <v>178.38810600000022</v>
      </c>
      <c r="BF71" s="13">
        <f t="shared" si="91"/>
        <v>44.96338191961236</v>
      </c>
      <c r="BG71" s="20">
        <f t="shared" si="61"/>
        <v>389.00384145999186</v>
      </c>
      <c r="BH71" s="59">
        <f t="shared" si="62"/>
        <v>682.33717479332518</v>
      </c>
      <c r="BI71" s="59">
        <f ca="1">AVERAGE(OFFSET($BH$3,0,0,'Données projet'!$E$11+1,1))-AVERAGE(OFFSET($H$3,0,0,'Données projet'!$E$11+1,1))</f>
        <v>490.06222615476065</v>
      </c>
      <c r="BJ71" s="59">
        <f t="shared" si="92"/>
        <v>310.43914804089906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13.163052575859325</v>
      </c>
      <c r="BQ71" s="21">
        <f>EXP(-LN(2)/25)*BQ70+(1-EXP(-LN(2)/25))/(LN(2)/25)*Calculateur!BL71*Calculateur!BN71*VLOOKUP('Données projet'!$B$11,Paramètres!$A$1:$I$89,3,0)*0.475*44/12</f>
        <v>31.144788495757432</v>
      </c>
      <c r="BR71" s="21">
        <f>EXP(-LN(2)/2)*BR70+(1-EXP(-LN(2)/2))/(LN(2)/2)*BL71*BO71*VLOOKUP('Données projet'!$B$11,Paramètres!$A$1:$I$89,3,0)*0.475*44/12</f>
        <v>2.8915787440058316</v>
      </c>
      <c r="BS71" s="22">
        <f t="shared" si="63"/>
        <v>47.199419815622591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177.86485599999997</v>
      </c>
      <c r="CA71" s="13">
        <f t="shared" si="93"/>
        <v>44.846826564109918</v>
      </c>
      <c r="CB71" s="20">
        <f t="shared" si="64"/>
        <v>387.88951379915807</v>
      </c>
      <c r="CC71" s="59">
        <f t="shared" si="65"/>
        <v>681.22284713249132</v>
      </c>
      <c r="CD71" s="59">
        <f ca="1">AVERAGE(OFFSET($CC$3,0,0,'Données projet'!$E$12+1,1))-AVERAGE(OFFSET($H$3,0,0,'Données projet'!$E$12+1,1))</f>
        <v>510.71380643466227</v>
      </c>
      <c r="CE71" s="59">
        <f t="shared" si="94"/>
        <v>252.40654099948841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6.6830956249507665</v>
      </c>
      <c r="CM71" s="21">
        <f>EXP(-LN(2)/2)*CM70+(1-EXP(-LN(2)/2))/(LN(2)/2)*CG71*CJ71*VLOOKUP('Données projet'!$B$12,Paramètres!$A$1:$I$89,3,0)*0.475*44/12</f>
        <v>1.0390570097144913</v>
      </c>
      <c r="CN71" s="22">
        <f t="shared" si="66"/>
        <v>7.7221526346652576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9.65625</v>
      </c>
      <c r="CT71" s="12">
        <f>IF('Données projet'!$A$140&gt;35,CT70+CS71-DB70,IF(A71&lt;'Données projet'!$A$140,$CQ$205^A71,IF(A71='Données projet'!$A$140,'Données projet'!$B$140,CT70+CS71-DB70)))</f>
        <v>206.16624999999996</v>
      </c>
      <c r="CU71" s="17">
        <f>CT71*VLOOKUP('Données projet'!$B$13,Paramètres!$A$1:$I$89,3,0)*VLOOKUP('Données projet'!$B$13,Paramètres!$A$1:$I$89,5,0)</f>
        <v>221.91735149999994</v>
      </c>
      <c r="CV71" s="13">
        <f t="shared" si="95"/>
        <v>54.531401903286778</v>
      </c>
      <c r="CW71" s="20">
        <f t="shared" si="67"/>
        <v>481.48157884405776</v>
      </c>
      <c r="CX71" s="59">
        <f t="shared" si="68"/>
        <v>774.81491217739108</v>
      </c>
      <c r="CY71" s="59">
        <f ca="1">AVERAGE(OFFSET($CX$3,0,0,'Données projet'!$E$13+1,1))-AVERAGE(OFFSET($H$3,0,0,'Données projet'!$E$13+1,1))</f>
        <v>502.65044103360322</v>
      </c>
      <c r="CZ71" s="59">
        <f t="shared" si="96"/>
        <v>321.65762891855167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19.527707576597319</v>
      </c>
      <c r="DG71" s="21">
        <f>EXP(-LN(2)/25)*DG70+(1-EXP(-LN(2)/25))/(LN(2)/25)*Calculateur!DB71*Calculateur!DD71*VLOOKUP('Données projet'!$B$13,Paramètres!$A$1:$I$89,3,0)*0.475*44/12</f>
        <v>32.128639083267728</v>
      </c>
      <c r="DH71" s="21">
        <f>EXP(-LN(2)/2)*DH70+(1-EXP(-LN(2)/2))/(LN(2)/2)*DB71*DE71*VLOOKUP('Données projet'!$B$13,Paramètres!$A$1:$I$89,3,0)*0.475*44/12</f>
        <v>3.2643554955045251</v>
      </c>
      <c r="DI71" s="22">
        <f t="shared" si="69"/>
        <v>54.920702155369575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-25.899999999999977</v>
      </c>
      <c r="DP71" s="17">
        <f>DO71*VLOOKUP('Données projet'!$B$14,Paramètres!$A$1:$I$89,3,0)*VLOOKUP('Données projet'!$B$14,Paramètres!$A$1:$I$89,5,0)</f>
        <v>-13.171703999999989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63.94726564348116</v>
      </c>
      <c r="DU71" s="59">
        <f t="shared" si="98"/>
        <v>280.8165028422905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24.039294424910779</v>
      </c>
      <c r="EB71" s="21">
        <f>EXP(-LN(2)/25)*EB70+(1-EXP(-LN(2)/25))/(LN(2)/25)*Calculateur!DW71*Calculateur!DY71*VLOOKUP('Données projet'!$B$14,Paramètres!$A$1:$I$89,3,0)*0.475*44/12</f>
        <v>2.2657526281737543</v>
      </c>
      <c r="EC71" s="21">
        <f>EXP(-LN(2)/2)*EC70+(1-EXP(-LN(2)/2))/(LN(2)/2)*DW71*DZ71*VLOOKUP('Données projet'!$B$14,Paramètres!$A$1:$I$89,3,0)*0.475*44/12</f>
        <v>1.8533250743402968E-7</v>
      </c>
      <c r="ED71" s="22">
        <f t="shared" si="72"/>
        <v>26.305047238417039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7.6800000000000015</v>
      </c>
      <c r="N72" s="13">
        <f>IF('Données projet'!$A$36&gt;35,N71+M72-V71,IF(A72&lt;'Données projet'!$A$36,$K$205^A72,IF(A72='Données projet'!$A$36,'Données projet'!$B$36,N71+M72-V71)))</f>
        <v>326.25999999999982</v>
      </c>
      <c r="O72" s="13">
        <f>N72*VLOOKUP('Données projet'!$B$9,Paramètres!$A$1:$I$89,3,0)*VLOOKUP('Données projet'!$B$9,Paramètres!$A$1:$I$89,5,0)</f>
        <v>186.62071999999992</v>
      </c>
      <c r="P72" s="13">
        <f t="shared" si="87"/>
        <v>46.792063501244293</v>
      </c>
      <c r="Q72" s="20">
        <f t="shared" si="54"/>
        <v>406.52726459800027</v>
      </c>
      <c r="R72" s="59">
        <f t="shared" si="55"/>
        <v>699.86059793133359</v>
      </c>
      <c r="S72" s="59">
        <f ca="1">AVERAGE(OFFSET($R$3,0,0,'Données projet'!$E$9+1,1))-AVERAGE(OFFSET($H$3,0,0,'Données projet'!$E$9+1,1))</f>
        <v>294.9631697747962</v>
      </c>
      <c r="T72" s="59">
        <f t="shared" si="88"/>
        <v>202.04924881627716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24.156207189074408</v>
      </c>
      <c r="AA72" s="21">
        <f>EXP(-LN(2)/25)*AA71+(1-EXP(-LN(2)/25))/(LN(2)/25)*Calculateur!V72*Calculateur!X72*VLOOKUP('Données projet'!$B$9,Paramètres!$A$1:$I$89,3,0)*0.475*44/12</f>
        <v>10.816419854941367</v>
      </c>
      <c r="AB72" s="21">
        <f>EXP(-LN(2)/2)*AB71+(1-EXP(-LN(2)/2))/(LN(2)/2)*V72*Y72*VLOOKUP('Données projet'!$B$9,Paramètres!$A$1:$I$89,3,0)*0.475*44/12</f>
        <v>0.25807585628349727</v>
      </c>
      <c r="AC72" s="22">
        <f t="shared" si="57"/>
        <v>35.230702900299271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478.17299999999977</v>
      </c>
      <c r="AJ72" s="13">
        <f>AI72*VLOOKUP('Données projet'!$B$10,Paramètres!$A$1:$I$89,3,0)*VLOOKUP('Données projet'!$B$10,Paramètres!$A$1:$I$89,5,0)</f>
        <v>285.94745399999988</v>
      </c>
      <c r="AK72" s="13">
        <f t="shared" si="89"/>
        <v>68.222335259457765</v>
      </c>
      <c r="AL72" s="20">
        <f t="shared" si="58"/>
        <v>616.84571629355526</v>
      </c>
      <c r="AM72" s="59">
        <f t="shared" si="59"/>
        <v>910.17904962688863</v>
      </c>
      <c r="AN72" s="59">
        <f ca="1">AVERAGE(OFFSET($AM$3,0,0,'Données projet'!$E$10+1,1))-AVERAGE(OFFSET($H$3,0,0,'Données projet'!$E$10+1,1))</f>
        <v>349.71285006949597</v>
      </c>
      <c r="AO72" s="59">
        <f t="shared" si="90"/>
        <v>258.51550516456842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37.248263972753627</v>
      </c>
      <c r="AV72" s="21">
        <f>EXP(-LN(2)/25)*AV71+(1-EXP(-LN(2)/25))/(LN(2)/25)*Calculateur!AQ72*Calculateur!AS72*VLOOKUP('Données projet'!$B$10,Paramètres!$A$1:$I$89,3,0)*0.475*44/12</f>
        <v>15.064109634054605</v>
      </c>
      <c r="AW72" s="21">
        <f>EXP(-LN(2)/2)*AW71+(1-EXP(-LN(2)/2))/(LN(2)/2)*AQ72*AT72*VLOOKUP('Données projet'!$B$10,Paramètres!$A$1:$I$89,3,0)*0.475*44/12</f>
        <v>0.43174341333900151</v>
      </c>
      <c r="AX72" s="21">
        <f t="shared" si="60"/>
        <v>52.744117020147229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8.2474999999999987</v>
      </c>
      <c r="BD72" s="12">
        <f>IF('Données projet'!$A$88&gt;35,BD71+BC72-BL71,IF(A72&lt;'Données projet'!$A$88,$BA$205^A72,IF(A72='Données projet'!$A$88,'Données projet'!$B$88,BD71+BC72-BL71)))</f>
        <v>205.40500000000026</v>
      </c>
      <c r="BE72" s="13">
        <f>BD72*VLOOKUP('Données projet'!$B$11,Paramètres!$A$1:$I$89,3,0)*VLOOKUP('Données projet'!$B$11,Paramètres!$A$1:$I$89,5,0)</f>
        <v>185.85044400000024</v>
      </c>
      <c r="BF72" s="13">
        <f t="shared" si="91"/>
        <v>46.621369253856919</v>
      </c>
      <c r="BG72" s="20">
        <f t="shared" si="61"/>
        <v>404.88840808380127</v>
      </c>
      <c r="BH72" s="59">
        <f t="shared" si="62"/>
        <v>698.22174141713458</v>
      </c>
      <c r="BI72" s="59">
        <f ca="1">AVERAGE(OFFSET($BH$3,0,0,'Données projet'!$E$11+1,1))-AVERAGE(OFFSET($H$3,0,0,'Données projet'!$E$11+1,1))</f>
        <v>490.06222615476065</v>
      </c>
      <c r="BJ72" s="59">
        <f t="shared" si="92"/>
        <v>310.43914804089906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12.904933143516029</v>
      </c>
      <c r="BQ72" s="21">
        <f>EXP(-LN(2)/25)*BQ71+(1-EXP(-LN(2)/25))/(LN(2)/25)*Calculateur!BL72*Calculateur!BN72*VLOOKUP('Données projet'!$B$11,Paramètres!$A$1:$I$89,3,0)*0.475*44/12</f>
        <v>30.293132616507702</v>
      </c>
      <c r="BR72" s="21">
        <f>EXP(-LN(2)/2)*BR71+(1-EXP(-LN(2)/2))/(LN(2)/2)*BL72*BO72*VLOOKUP('Données projet'!$B$11,Paramètres!$A$1:$I$89,3,0)*0.475*44/12</f>
        <v>2.0446549382214037</v>
      </c>
      <c r="BS72" s="22">
        <f t="shared" si="63"/>
        <v>45.242720698245137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184.53208800000002</v>
      </c>
      <c r="CA72" s="13">
        <f t="shared" si="93"/>
        <v>46.329028363696381</v>
      </c>
      <c r="CB72" s="20">
        <f t="shared" si="64"/>
        <v>402.08311100010451</v>
      </c>
      <c r="CC72" s="59">
        <f t="shared" si="65"/>
        <v>695.41644433343777</v>
      </c>
      <c r="CD72" s="59">
        <f ca="1">AVERAGE(OFFSET($CC$3,0,0,'Données projet'!$E$12+1,1))-AVERAGE(OFFSET($H$3,0,0,'Données projet'!$E$12+1,1))</f>
        <v>510.71380643466227</v>
      </c>
      <c r="CE72" s="59">
        <f t="shared" si="94"/>
        <v>252.40654099948841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0.1075</v>
      </c>
      <c r="CJ72" s="16">
        <f>IF(ISNA(VLOOKUP(A72,'Données projet'!$A$113:$I$133,7,0)),0%,VLOOKUP(A72,'Données projet'!$A$113:$I$133,7,0))</f>
        <v>0.25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11.334013085371701</v>
      </c>
      <c r="CM72" s="21">
        <f>EXP(-LN(2)/2)*CM71+(1-EXP(-LN(2)/2))/(LN(2)/2)*CG72*CJ72*VLOOKUP('Données projet'!$B$12,Paramètres!$A$1:$I$89,3,0)*0.475*44/12</f>
        <v>10.366998049324362</v>
      </c>
      <c r="CN72" s="22">
        <f t="shared" si="66"/>
        <v>21.701011134696063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9.65625</v>
      </c>
      <c r="CT72" s="12">
        <f>IF('Données projet'!$A$140&gt;35,CT71+CS72-DB71,IF(A72&lt;'Données projet'!$A$140,$CQ$205^A72,IF(A72='Données projet'!$A$140,'Données projet'!$B$140,CT71+CS72-DB71)))</f>
        <v>215.82249999999996</v>
      </c>
      <c r="CU72" s="17">
        <f>CT72*VLOOKUP('Données projet'!$B$13,Paramètres!$A$1:$I$89,3,0)*VLOOKUP('Données projet'!$B$13,Paramètres!$A$1:$I$89,5,0)</f>
        <v>232.31133899999995</v>
      </c>
      <c r="CV72" s="13">
        <f t="shared" si="95"/>
        <v>56.782155851882791</v>
      </c>
      <c r="CW72" s="20">
        <f t="shared" si="67"/>
        <v>503.50450353369575</v>
      </c>
      <c r="CX72" s="59">
        <f t="shared" si="68"/>
        <v>796.83783686702907</v>
      </c>
      <c r="CY72" s="59">
        <f ca="1">AVERAGE(OFFSET($CX$3,0,0,'Données projet'!$E$13+1,1))-AVERAGE(OFFSET($H$3,0,0,'Données projet'!$E$13+1,1))</f>
        <v>502.65044103360322</v>
      </c>
      <c r="CZ72" s="59">
        <f t="shared" si="96"/>
        <v>321.65762891855167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19.144781141745781</v>
      </c>
      <c r="DG72" s="21">
        <f>EXP(-LN(2)/25)*DG71+(1-EXP(-LN(2)/25))/(LN(2)/25)*Calculateur!DB72*Calculateur!DD72*VLOOKUP('Données projet'!$B$13,Paramètres!$A$1:$I$89,3,0)*0.475*44/12</f>
        <v>31.250079757964073</v>
      </c>
      <c r="DH72" s="21">
        <f>EXP(-LN(2)/2)*DH71+(1-EXP(-LN(2)/2))/(LN(2)/2)*DB72*DE72*VLOOKUP('Données projet'!$B$13,Paramètres!$A$1:$I$89,3,0)*0.475*44/12</f>
        <v>2.3082479070748221</v>
      </c>
      <c r="DI72" s="22">
        <f t="shared" si="69"/>
        <v>52.703108806784677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-25.899999999999977</v>
      </c>
      <c r="DP72" s="17">
        <f>DO72*VLOOKUP('Données projet'!$B$14,Paramètres!$A$1:$I$89,3,0)*VLOOKUP('Données projet'!$B$14,Paramètres!$A$1:$I$89,5,0)</f>
        <v>-13.171703999999989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63.94726564348116</v>
      </c>
      <c r="DU72" s="59">
        <f t="shared" si="98"/>
        <v>280.8165028422905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23.567898523760075</v>
      </c>
      <c r="EB72" s="21">
        <f>EXP(-LN(2)/25)*EB71+(1-EXP(-LN(2)/25))/(LN(2)/25)*Calculateur!DW72*Calculateur!DY72*VLOOKUP('Données projet'!$B$14,Paramètres!$A$1:$I$89,3,0)*0.475*44/12</f>
        <v>2.2037955034055909</v>
      </c>
      <c r="EC72" s="21">
        <f>EXP(-LN(2)/2)*EC71+(1-EXP(-LN(2)/2))/(LN(2)/2)*DW72*DZ72*VLOOKUP('Données projet'!$B$14,Paramètres!$A$1:$I$89,3,0)*0.475*44/12</f>
        <v>1.3104987278090862E-7</v>
      </c>
      <c r="ED72" s="22">
        <f t="shared" si="72"/>
        <v>25.771694158215539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333.94</v>
      </c>
      <c r="L73" s="12">
        <f>VLOOKUP(A73,'Données projet'!$A$35:$I$55,9,0)</f>
        <v>7.6800000000000015</v>
      </c>
      <c r="M73" s="12">
        <f t="array" ref="M73">INDEX(L:L,MIN(IF(ISNUMBER(L73:L269),ROW(L73:L269),"")))</f>
        <v>7.6800000000000015</v>
      </c>
      <c r="N73" s="13">
        <f>IF('Données projet'!$A$36&gt;35,N72+M73-V72,IF(A73&lt;'Données projet'!$A$36,$K$205^A73,IF(A73='Données projet'!$A$36,'Données projet'!$B$36,N72+M73-V72)))</f>
        <v>333.93999999999983</v>
      </c>
      <c r="O73" s="13">
        <f>N73*VLOOKUP('Données projet'!$B$9,Paramètres!$A$1:$I$89,3,0)*VLOOKUP('Données projet'!$B$9,Paramètres!$A$1:$I$89,5,0)</f>
        <v>191.01367999999991</v>
      </c>
      <c r="P73" s="13">
        <f t="shared" si="87"/>
        <v>47.763993656930865</v>
      </c>
      <c r="Q73" s="20">
        <f t="shared" si="54"/>
        <v>415.87111495248774</v>
      </c>
      <c r="R73" s="59">
        <f t="shared" si="55"/>
        <v>709.20444828582106</v>
      </c>
      <c r="S73" s="59">
        <f ca="1">AVERAGE(OFFSET($R$3,0,0,'Données projet'!$E$9+1,1))-AVERAGE(OFFSET($H$3,0,0,'Données projet'!$E$9+1,1))</f>
        <v>294.9631697747962</v>
      </c>
      <c r="T73" s="59">
        <f t="shared" si="88"/>
        <v>202.04924881627716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50.44</v>
      </c>
      <c r="W73" s="16">
        <f>IF(ISNA(VLOOKUP(A73,'Données projet'!$A$35:$I$55,5,0)),0%,VLOOKUP(A73,'Données projet'!$A$35:$I$55,5,0)*VLOOKUP('Données projet'!$B$9,Paramètres!$A$1:$I$89,7,0))</f>
        <v>0.27</v>
      </c>
      <c r="X73" s="16">
        <f>IF(ISNA(VLOOKUP(A73,'Données projet'!$A$35:$I$55,6,0)),0%,VLOOKUP(A73,'Données projet'!$A$35:$I$55,6,0)*VLOOKUP('Données projet'!$B$9,Paramètres!$A$1:$I$89,7,0))</f>
        <v>9.0000000000000011E-2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34.016394255211488</v>
      </c>
      <c r="AA73" s="21">
        <f>EXP(-LN(2)/25)*AA72+(1-EXP(-LN(2)/25))/(LN(2)/25)*Calculateur!V73*Calculateur!X73*VLOOKUP('Données projet'!$B$9,Paramètres!$A$1:$I$89,3,0)*0.475*44/12</f>
        <v>13.951706668432815</v>
      </c>
      <c r="AB73" s="21">
        <f>EXP(-LN(2)/2)*AB72+(1-EXP(-LN(2)/2))/(LN(2)/2)*V73*Y73*VLOOKUP('Données projet'!$B$9,Paramètres!$A$1:$I$89,3,0)*0.475*44/12</f>
        <v>6.7158479748182627</v>
      </c>
      <c r="AC73" s="22">
        <f t="shared" si="57"/>
        <v>54.68394889846256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490.07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490.06999999999977</v>
      </c>
      <c r="AJ73" s="13">
        <f>AI73*VLOOKUP('Données projet'!$B$10,Paramètres!$A$1:$I$89,3,0)*VLOOKUP('Données projet'!$B$10,Paramètres!$A$1:$I$89,5,0)</f>
        <v>293.06185999999991</v>
      </c>
      <c r="AK73" s="13">
        <f t="shared" si="89"/>
        <v>69.719988019761743</v>
      </c>
      <c r="AL73" s="20">
        <f t="shared" si="58"/>
        <v>631.84505196775149</v>
      </c>
      <c r="AM73" s="59">
        <f t="shared" si="59"/>
        <v>925.17838530108475</v>
      </c>
      <c r="AN73" s="59">
        <f ca="1">AVERAGE(OFFSET($AM$3,0,0,'Données projet'!$E$10+1,1))-AVERAGE(OFFSET($H$3,0,0,'Données projet'!$E$10+1,1))</f>
        <v>349.71285006949597</v>
      </c>
      <c r="AO73" s="59">
        <f t="shared" si="90"/>
        <v>258.51550516456842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0.27</v>
      </c>
      <c r="AS73" s="16">
        <f>IF(ISNA(VLOOKUP(A73,'Données projet'!$A$61:$I$81,6,0)),0%,VLOOKUP(A73,'Données projet'!$A$61:$I$81,6,0)*VLOOKUP('Données projet'!$B$10,Paramètres!$A$1:$I$89,7,0))</f>
        <v>9.0000000000000011E-2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51.056868378126822</v>
      </c>
      <c r="AV73" s="21">
        <f>EXP(-LN(2)/25)*AV72+(1-EXP(-LN(2)/25))/(LN(2)/25)*Calculateur!AQ73*Calculateur!AS73*VLOOKUP('Données projet'!$B$10,Paramètres!$A$1:$I$89,3,0)*0.475*44/12</f>
        <v>19.479438924117112</v>
      </c>
      <c r="AW73" s="21">
        <f>EXP(-LN(2)/2)*AW72+(1-EXP(-LN(2)/2))/(LN(2)/2)*AQ73*AT73*VLOOKUP('Données projet'!$B$10,Paramètres!$A$1:$I$89,3,0)*0.475*44/12</f>
        <v>9.4972577266937765</v>
      </c>
      <c r="AX73" s="21">
        <f t="shared" si="60"/>
        <v>80.033565028937701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8.2474999999999987</v>
      </c>
      <c r="BD73" s="12">
        <f>IF('Données projet'!$A$88&gt;35,BD72+BC73-BL72,IF(A73&lt;'Données projet'!$A$88,$BA$205^A73,IF(A73='Données projet'!$A$88,'Données projet'!$B$88,BD72+BC73-BL72)))</f>
        <v>213.65250000000026</v>
      </c>
      <c r="BE73" s="13">
        <f>BD73*VLOOKUP('Données projet'!$B$11,Paramètres!$A$1:$I$89,3,0)*VLOOKUP('Données projet'!$B$11,Paramètres!$A$1:$I$89,5,0)</f>
        <v>193.31278200000023</v>
      </c>
      <c r="BF73" s="13">
        <f t="shared" si="91"/>
        <v>48.271623476583684</v>
      </c>
      <c r="BG73" s="20">
        <f t="shared" si="61"/>
        <v>420.75950620505029</v>
      </c>
      <c r="BH73" s="59">
        <f t="shared" si="62"/>
        <v>714.0928395383836</v>
      </c>
      <c r="BI73" s="59">
        <f ca="1">AVERAGE(OFFSET($BH$3,0,0,'Données projet'!$E$11+1,1))-AVERAGE(OFFSET($H$3,0,0,'Données projet'!$E$11+1,1))</f>
        <v>490.06222615476065</v>
      </c>
      <c r="BJ73" s="59">
        <f t="shared" si="92"/>
        <v>310.43914804089906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12.651875275803677</v>
      </c>
      <c r="BQ73" s="21">
        <f>EXP(-LN(2)/25)*BQ72+(1-EXP(-LN(2)/25))/(LN(2)/25)*Calculateur!BL73*Calculateur!BN73*VLOOKUP('Données projet'!$B$11,Paramètres!$A$1:$I$89,3,0)*0.475*44/12</f>
        <v>29.464765312062688</v>
      </c>
      <c r="BR73" s="21">
        <f>EXP(-LN(2)/2)*BR72+(1-EXP(-LN(2)/2))/(LN(2)/2)*BL73*BO73*VLOOKUP('Données projet'!$B$11,Paramètres!$A$1:$I$89,3,0)*0.475*44/12</f>
        <v>1.445789372002916</v>
      </c>
      <c r="BS73" s="22">
        <f t="shared" si="63"/>
        <v>43.562429959869277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150.219459</v>
      </c>
      <c r="CA73" s="13">
        <f t="shared" si="93"/>
        <v>38.628454221735403</v>
      </c>
      <c r="CB73" s="20">
        <f t="shared" si="64"/>
        <v>328.91011552785579</v>
      </c>
      <c r="CC73" s="59">
        <f t="shared" si="65"/>
        <v>622.24344886118911</v>
      </c>
      <c r="CD73" s="59">
        <f ca="1">AVERAGE(OFFSET($CC$3,0,0,'Données projet'!$E$12+1,1))-AVERAGE(OFFSET($H$3,0,0,'Données projet'!$E$12+1,1))</f>
        <v>510.71380643466227</v>
      </c>
      <c r="CE73" s="59">
        <f t="shared" si="94"/>
        <v>252.40654099948841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11.024083901522369</v>
      </c>
      <c r="CM73" s="21">
        <f>EXP(-LN(2)/2)*CM72+(1-EXP(-LN(2)/2))/(LN(2)/2)*CG73*CJ73*VLOOKUP('Données projet'!$B$12,Paramètres!$A$1:$I$89,3,0)*0.475*44/12</f>
        <v>7.3305746212249669</v>
      </c>
      <c r="CN73" s="22">
        <f t="shared" si="66"/>
        <v>18.354658522747336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9.65625</v>
      </c>
      <c r="CT73" s="12">
        <f>IF('Données projet'!$A$140&gt;35,CT72+CS73-DB72,IF(A73&lt;'Données projet'!$A$140,$CQ$205^A73,IF(A73='Données projet'!$A$140,'Données projet'!$B$140,CT72+CS73-DB72)))</f>
        <v>225.47874999999996</v>
      </c>
      <c r="CU73" s="17">
        <f>CT73*VLOOKUP('Données projet'!$B$13,Paramètres!$A$1:$I$89,3,0)*VLOOKUP('Données projet'!$B$13,Paramètres!$A$1:$I$89,5,0)</f>
        <v>242.70532649999993</v>
      </c>
      <c r="CV73" s="13">
        <f t="shared" si="95"/>
        <v>59.021214391355279</v>
      </c>
      <c r="CW73" s="20">
        <f t="shared" si="67"/>
        <v>525.50705871911032</v>
      </c>
      <c r="CX73" s="59">
        <f t="shared" si="68"/>
        <v>818.84039205244358</v>
      </c>
      <c r="CY73" s="59">
        <f ca="1">AVERAGE(OFFSET($CX$3,0,0,'Données projet'!$E$13+1,1))-AVERAGE(OFFSET($H$3,0,0,'Données projet'!$E$13+1,1))</f>
        <v>502.65044103360322</v>
      </c>
      <c r="CZ73" s="59">
        <f t="shared" si="96"/>
        <v>321.65762891855167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18.76936366071962</v>
      </c>
      <c r="DG73" s="21">
        <f>EXP(-LN(2)/25)*DG72+(1-EXP(-LN(2)/25))/(LN(2)/25)*Calculateur!DB73*Calculateur!DD73*VLOOKUP('Données projet'!$B$13,Paramètres!$A$1:$I$89,3,0)*0.475*44/12</f>
        <v>30.395544683612275</v>
      </c>
      <c r="DH73" s="21">
        <f>EXP(-LN(2)/2)*DH72+(1-EXP(-LN(2)/2))/(LN(2)/2)*DB73*DE73*VLOOKUP('Données projet'!$B$13,Paramètres!$A$1:$I$89,3,0)*0.475*44/12</f>
        <v>1.6321777477522625</v>
      </c>
      <c r="DI73" s="22">
        <f t="shared" si="69"/>
        <v>50.797086092084157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-25.899999999999977</v>
      </c>
      <c r="DP73" s="17">
        <f>DO73*VLOOKUP('Données projet'!$B$14,Paramètres!$A$1:$I$89,3,0)*VLOOKUP('Données projet'!$B$14,Paramètres!$A$1:$I$89,5,0)</f>
        <v>-13.171703999999989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63.94726564348116</v>
      </c>
      <c r="DU73" s="59">
        <f t="shared" si="98"/>
        <v>280.8165028422905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23.105746408707827</v>
      </c>
      <c r="EB73" s="21">
        <f>EXP(-LN(2)/25)*EB72+(1-EXP(-LN(2)/25))/(LN(2)/25)*Calculateur!DW73*Calculateur!DY73*VLOOKUP('Données projet'!$B$14,Paramètres!$A$1:$I$89,3,0)*0.475*44/12</f>
        <v>2.1435325994723962</v>
      </c>
      <c r="EC73" s="21">
        <f>EXP(-LN(2)/2)*EC72+(1-EXP(-LN(2)/2))/(LN(2)/2)*DW73*DZ73*VLOOKUP('Données projet'!$B$14,Paramètres!$A$1:$I$89,3,0)*0.475*44/12</f>
        <v>9.2666253717014841E-8</v>
      </c>
      <c r="ED73" s="22">
        <f t="shared" si="72"/>
        <v>25.249279100846479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6.613999999999999</v>
      </c>
      <c r="N74" s="13">
        <f>IF('Données projet'!$A$36&gt;35,N73+M74-V73,IF(A74&lt;'Données projet'!$A$36,$K$205^A74,IF(A74='Données projet'!$A$36,'Données projet'!$B$36,N73+M74-V73)))</f>
        <v>290.11399999999981</v>
      </c>
      <c r="O74" s="13">
        <f>N74*VLOOKUP('Données projet'!$B$9,Paramètres!$A$1:$I$89,3,0)*VLOOKUP('Données projet'!$B$9,Paramètres!$A$1:$I$89,5,0)</f>
        <v>165.94520799999989</v>
      </c>
      <c r="P74" s="13">
        <f t="shared" si="87"/>
        <v>42.180613079063932</v>
      </c>
      <c r="Q74" s="20">
        <f t="shared" si="54"/>
        <v>362.48580504603615</v>
      </c>
      <c r="R74" s="59">
        <f t="shared" si="55"/>
        <v>655.81913837936941</v>
      </c>
      <c r="S74" s="59">
        <f ca="1">AVERAGE(OFFSET($R$3,0,0,'Données projet'!$E$9+1,1))-AVERAGE(OFFSET($H$3,0,0,'Données projet'!$E$9+1,1))</f>
        <v>294.9631697747962</v>
      </c>
      <c r="T74" s="59">
        <f t="shared" si="88"/>
        <v>202.04924881627716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33.349353511818599</v>
      </c>
      <c r="AA74" s="21">
        <f>EXP(-LN(2)/25)*AA73+(1-EXP(-LN(2)/25))/(LN(2)/25)*Calculateur!V74*Calculateur!X74*VLOOKUP('Données projet'!$B$9,Paramètres!$A$1:$I$89,3,0)*0.475*44/12</f>
        <v>13.570196515896153</v>
      </c>
      <c r="AB74" s="21">
        <f>EXP(-LN(2)/2)*AB73+(1-EXP(-LN(2)/2))/(LN(2)/2)*V74*Y74*VLOOKUP('Données projet'!$B$9,Paramètres!$A$1:$I$89,3,0)*0.475*44/12</f>
        <v>4.7488216444119358</v>
      </c>
      <c r="AC74" s="22">
        <f t="shared" si="57"/>
        <v>51.668371672126682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9.7839999999999971</v>
      </c>
      <c r="AI74" s="13">
        <f>IF('Données projet'!$A$62&gt;35,AI73+AH74-AQ73,IF(A74&lt;'Données projet'!$A$62,$AF$205^A74,IF(A74='Données projet'!$A$62,'Données projet'!$B$62,AI73+AH74-AQ73)))</f>
        <v>431.97399999999976</v>
      </c>
      <c r="AJ74" s="13">
        <f>AI74*VLOOKUP('Données projet'!$B$10,Paramètres!$A$1:$I$89,3,0)*VLOOKUP('Données projet'!$B$10,Paramètres!$A$1:$I$89,5,0)</f>
        <v>258.32045199999988</v>
      </c>
      <c r="AK74" s="13">
        <f t="shared" si="89"/>
        <v>62.364231271731597</v>
      </c>
      <c r="AL74" s="20">
        <f t="shared" si="58"/>
        <v>558.52582336493231</v>
      </c>
      <c r="AM74" s="59">
        <f t="shared" si="59"/>
        <v>851.85915669826568</v>
      </c>
      <c r="AN74" s="59">
        <f ca="1">AVERAGE(OFFSET($AM$3,0,0,'Données projet'!$E$10+1,1))-AVERAGE(OFFSET($H$3,0,0,'Données projet'!$E$10+1,1))</f>
        <v>349.71285006949597</v>
      </c>
      <c r="AO74" s="59">
        <f t="shared" si="90"/>
        <v>258.51550516456842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50.055674330846486</v>
      </c>
      <c r="AV74" s="21">
        <f>EXP(-LN(2)/25)*AV73+(1-EXP(-LN(2)/25))/(LN(2)/25)*Calculateur!AQ74*Calculateur!AS74*VLOOKUP('Données projet'!$B$10,Paramètres!$A$1:$I$89,3,0)*0.475*44/12</f>
        <v>18.946772642357956</v>
      </c>
      <c r="AW74" s="21">
        <f>EXP(-LN(2)/2)*AW73+(1-EXP(-LN(2)/2))/(LN(2)/2)*AQ74*AT74*VLOOKUP('Données projet'!$B$10,Paramètres!$A$1:$I$89,3,0)*0.475*44/12</f>
        <v>6.7155753412215047</v>
      </c>
      <c r="AX74" s="21">
        <f t="shared" si="60"/>
        <v>75.718022314425951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8.2474999999999987</v>
      </c>
      <c r="BD74" s="12">
        <f>IF('Données projet'!$A$88&gt;35,BD73+BC74-BL73,IF(A74&lt;'Données projet'!$A$88,$BA$205^A74,IF(A74='Données projet'!$A$88,'Données projet'!$B$88,BD73+BC74-BL73)))</f>
        <v>221.90000000000026</v>
      </c>
      <c r="BE74" s="13">
        <f>BD74*VLOOKUP('Données projet'!$B$11,Paramètres!$A$1:$I$89,3,0)*VLOOKUP('Données projet'!$B$11,Paramètres!$A$1:$I$89,5,0)</f>
        <v>200.77512000000021</v>
      </c>
      <c r="BF74" s="13">
        <f t="shared" si="91"/>
        <v>49.914477272475111</v>
      </c>
      <c r="BG74" s="20">
        <f t="shared" si="61"/>
        <v>436.61771524956117</v>
      </c>
      <c r="BH74" s="59">
        <f t="shared" si="62"/>
        <v>729.95104858289449</v>
      </c>
      <c r="BI74" s="59">
        <f ca="1">AVERAGE(OFFSET($BH$3,0,0,'Données projet'!$E$11+1,1))-AVERAGE(OFFSET($H$3,0,0,'Données projet'!$E$11+1,1))</f>
        <v>490.06222615476065</v>
      </c>
      <c r="BJ74" s="59">
        <f t="shared" si="92"/>
        <v>310.43914804089906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12.403779718527106</v>
      </c>
      <c r="BQ74" s="21">
        <f>EXP(-LN(2)/25)*BQ73+(1-EXP(-LN(2)/25))/(LN(2)/25)*Calculateur!BL74*Calculateur!BN74*VLOOKUP('Données projet'!$B$11,Paramètres!$A$1:$I$89,3,0)*0.475*44/12</f>
        <v>28.659049755119668</v>
      </c>
      <c r="BR74" s="21">
        <f>EXP(-LN(2)/2)*BR73+(1-EXP(-LN(2)/2))/(LN(2)/2)*BL74*BO74*VLOOKUP('Données projet'!$B$11,Paramètres!$A$1:$I$89,3,0)*0.475*44/12</f>
        <v>1.022327469110702</v>
      </c>
      <c r="BS74" s="22">
        <f t="shared" si="63"/>
        <v>42.085156942757472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156.74201400000001</v>
      </c>
      <c r="CA74" s="13">
        <f t="shared" si="93"/>
        <v>40.106790036678284</v>
      </c>
      <c r="CB74" s="20">
        <f t="shared" si="64"/>
        <v>342.84500036388135</v>
      </c>
      <c r="CC74" s="59">
        <f t="shared" si="65"/>
        <v>636.17833369721461</v>
      </c>
      <c r="CD74" s="59">
        <f ca="1">AVERAGE(OFFSET($CC$3,0,0,'Données projet'!$E$12+1,1))-AVERAGE(OFFSET($H$3,0,0,'Données projet'!$E$12+1,1))</f>
        <v>510.71380643466227</v>
      </c>
      <c r="CE74" s="59">
        <f t="shared" si="94"/>
        <v>252.40654099948841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10.722629747503863</v>
      </c>
      <c r="CM74" s="21">
        <f>EXP(-LN(2)/2)*CM73+(1-EXP(-LN(2)/2))/(LN(2)/2)*CG74*CJ74*VLOOKUP('Données projet'!$B$12,Paramètres!$A$1:$I$89,3,0)*0.475*44/12</f>
        <v>5.1834990246621819</v>
      </c>
      <c r="CN74" s="22">
        <f t="shared" si="66"/>
        <v>15.906128772166046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9.65625</v>
      </c>
      <c r="CT74" s="12">
        <f>IF('Données projet'!$A$140&gt;35,CT73+CS74-DB73,IF(A74&lt;'Données projet'!$A$140,$CQ$205^A74,IF(A74='Données projet'!$A$140,'Données projet'!$B$140,CT73+CS74-DB73)))</f>
        <v>235.13499999999996</v>
      </c>
      <c r="CU74" s="17">
        <f>CT74*VLOOKUP('Données projet'!$B$13,Paramètres!$A$1:$I$89,3,0)*VLOOKUP('Données projet'!$B$13,Paramètres!$A$1:$I$89,5,0)</f>
        <v>253.09931399999994</v>
      </c>
      <c r="CV74" s="13">
        <f t="shared" si="95"/>
        <v>61.249135641102818</v>
      </c>
      <c r="CW74" s="20">
        <f t="shared" si="67"/>
        <v>547.49021645825394</v>
      </c>
      <c r="CX74" s="59">
        <f t="shared" si="68"/>
        <v>840.82354979158731</v>
      </c>
      <c r="CY74" s="59">
        <f ca="1">AVERAGE(OFFSET($CX$3,0,0,'Données projet'!$E$13+1,1))-AVERAGE(OFFSET($H$3,0,0,'Données projet'!$E$13+1,1))</f>
        <v>502.65044103360322</v>
      </c>
      <c r="CZ74" s="59">
        <f t="shared" si="96"/>
        <v>321.65762891855167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18.401307887514328</v>
      </c>
      <c r="DG74" s="21">
        <f>EXP(-LN(2)/25)*DG73+(1-EXP(-LN(2)/25))/(LN(2)/25)*Calculateur!DB74*Calculateur!DD74*VLOOKUP('Données projet'!$B$13,Paramètres!$A$1:$I$89,3,0)*0.475*44/12</f>
        <v>29.564376915806672</v>
      </c>
      <c r="DH74" s="21">
        <f>EXP(-LN(2)/2)*DH73+(1-EXP(-LN(2)/2))/(LN(2)/2)*DB74*DE74*VLOOKUP('Données projet'!$B$13,Paramètres!$A$1:$I$89,3,0)*0.475*44/12</f>
        <v>1.154123953537411</v>
      </c>
      <c r="DI74" s="22">
        <f t="shared" si="69"/>
        <v>49.119808756858404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-25.899999999999977</v>
      </c>
      <c r="DP74" s="17">
        <f>DO74*VLOOKUP('Données projet'!$B$14,Paramètres!$A$1:$I$89,3,0)*VLOOKUP('Données projet'!$B$14,Paramètres!$A$1:$I$89,5,0)</f>
        <v>-13.171703999999989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63.94726564348116</v>
      </c>
      <c r="DU74" s="59">
        <f t="shared" si="98"/>
        <v>280.8165028422905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22.652656814746795</v>
      </c>
      <c r="EB74" s="21">
        <f>EXP(-LN(2)/25)*EB73+(1-EXP(-LN(2)/25))/(LN(2)/25)*Calculateur!DW74*Calculateur!DY74*VLOOKUP('Données projet'!$B$14,Paramètres!$A$1:$I$89,3,0)*0.475*44/12</f>
        <v>2.0849175878163431</v>
      </c>
      <c r="EC74" s="21">
        <f>EXP(-LN(2)/2)*EC73+(1-EXP(-LN(2)/2))/(LN(2)/2)*DW74*DZ74*VLOOKUP('Données projet'!$B$14,Paramètres!$A$1:$I$89,3,0)*0.475*44/12</f>
        <v>6.5524936390454308E-8</v>
      </c>
      <c r="ED74" s="22">
        <f t="shared" si="72"/>
        <v>24.737574468088074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6.613999999999999</v>
      </c>
      <c r="N75" s="13">
        <f>IF('Données projet'!$A$36&gt;35,N74+M75-V74,IF(A75&lt;'Données projet'!$A$36,$K$205^A75,IF(A75='Données projet'!$A$36,'Données projet'!$B$36,N74+M75-V74)))</f>
        <v>296.72799999999978</v>
      </c>
      <c r="O75" s="13">
        <f>N75*VLOOKUP('Données projet'!$B$9,Paramètres!$A$1:$I$89,3,0)*VLOOKUP('Données projet'!$B$9,Paramètres!$A$1:$I$89,5,0)</f>
        <v>169.7284159999999</v>
      </c>
      <c r="P75" s="13">
        <f t="shared" si="87"/>
        <v>43.029192144930583</v>
      </c>
      <c r="Q75" s="20">
        <f t="shared" si="54"/>
        <v>370.55283418575391</v>
      </c>
      <c r="R75" s="59">
        <f t="shared" si="55"/>
        <v>663.88616751908717</v>
      </c>
      <c r="S75" s="59">
        <f ca="1">AVERAGE(OFFSET($R$3,0,0,'Données projet'!$E$9+1,1))-AVERAGE(OFFSET($H$3,0,0,'Données projet'!$E$9+1,1))</f>
        <v>294.9631697747962</v>
      </c>
      <c r="T75" s="59">
        <f t="shared" si="88"/>
        <v>202.04924881627716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32.695393030548964</v>
      </c>
      <c r="AA75" s="21">
        <f>EXP(-LN(2)/25)*AA74+(1-EXP(-LN(2)/25))/(LN(2)/25)*Calculateur!V75*Calculateur!X75*VLOOKUP('Données projet'!$B$9,Paramètres!$A$1:$I$89,3,0)*0.475*44/12</f>
        <v>13.199118778543353</v>
      </c>
      <c r="AB75" s="21">
        <f>EXP(-LN(2)/2)*AB74+(1-EXP(-LN(2)/2))/(LN(2)/2)*V75*Y75*VLOOKUP('Données projet'!$B$9,Paramètres!$A$1:$I$89,3,0)*0.475*44/12</f>
        <v>3.3579239874091318</v>
      </c>
      <c r="AC75" s="22">
        <f t="shared" si="57"/>
        <v>49.252435796501445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9.7839999999999971</v>
      </c>
      <c r="AI75" s="13">
        <f>IF('Données projet'!$A$62&gt;35,AI74+AH75-AQ74,IF(A75&lt;'Données projet'!$A$62,$AF$205^A75,IF(A75='Données projet'!$A$62,'Données projet'!$B$62,AI74+AH75-AQ74)))</f>
        <v>441.75799999999975</v>
      </c>
      <c r="AJ75" s="13">
        <f>AI75*VLOOKUP('Données projet'!$B$10,Paramètres!$A$1:$I$89,3,0)*VLOOKUP('Données projet'!$B$10,Paramètres!$A$1:$I$89,5,0)</f>
        <v>264.1712839999999</v>
      </c>
      <c r="AK75" s="13">
        <f t="shared" si="89"/>
        <v>63.610701832955151</v>
      </c>
      <c r="AL75" s="20">
        <f t="shared" si="58"/>
        <v>570.88695865906334</v>
      </c>
      <c r="AM75" s="59">
        <f t="shared" si="59"/>
        <v>864.2202919923966</v>
      </c>
      <c r="AN75" s="59">
        <f ca="1">AVERAGE(OFFSET($AM$3,0,0,'Données projet'!$E$10+1,1))-AVERAGE(OFFSET($H$3,0,0,'Données projet'!$E$10+1,1))</f>
        <v>349.71285006949597</v>
      </c>
      <c r="AO75" s="59">
        <f t="shared" si="90"/>
        <v>258.51550516456842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49.074113088165248</v>
      </c>
      <c r="AV75" s="21">
        <f>EXP(-LN(2)/25)*AV74+(1-EXP(-LN(2)/25))/(LN(2)/25)*Calculateur!AQ75*Calculateur!AS75*VLOOKUP('Données projet'!$B$10,Paramètres!$A$1:$I$89,3,0)*0.475*44/12</f>
        <v>18.428672148085209</v>
      </c>
      <c r="AW75" s="21">
        <f>EXP(-LN(2)/2)*AW74+(1-EXP(-LN(2)/2))/(LN(2)/2)*AQ75*AT75*VLOOKUP('Données projet'!$B$10,Paramètres!$A$1:$I$89,3,0)*0.475*44/12</f>
        <v>4.7486288633468892</v>
      </c>
      <c r="AX75" s="21">
        <f t="shared" si="60"/>
        <v>72.251414099597355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8.2474999999999987</v>
      </c>
      <c r="BD75" s="12">
        <f>IF('Données projet'!$A$88&gt;35,BD74+BC75-BL74,IF(A75&lt;'Données projet'!$A$88,$BA$205^A75,IF(A75='Données projet'!$A$88,'Données projet'!$B$88,BD74+BC75-BL74)))</f>
        <v>230.14750000000026</v>
      </c>
      <c r="BE75" s="13">
        <f>BD75*VLOOKUP('Données projet'!$B$11,Paramètres!$A$1:$I$89,3,0)*VLOOKUP('Données projet'!$B$11,Paramètres!$A$1:$I$89,5,0)</f>
        <v>208.2374580000002</v>
      </c>
      <c r="BF75" s="13">
        <f t="shared" si="91"/>
        <v>51.550237194862532</v>
      </c>
      <c r="BG75" s="20">
        <f t="shared" si="61"/>
        <v>452.46356913105257</v>
      </c>
      <c r="BH75" s="59">
        <f t="shared" si="62"/>
        <v>745.79690246438588</v>
      </c>
      <c r="BI75" s="59">
        <f ca="1">AVERAGE(OFFSET($BH$3,0,0,'Données projet'!$E$11+1,1))-AVERAGE(OFFSET($H$3,0,0,'Données projet'!$E$11+1,1))</f>
        <v>490.06222615476065</v>
      </c>
      <c r="BJ75" s="59">
        <f t="shared" si="92"/>
        <v>310.43914804089906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12.160549163805381</v>
      </c>
      <c r="BQ75" s="21">
        <f>EXP(-LN(2)/25)*BQ74+(1-EXP(-LN(2)/25))/(LN(2)/25)*Calculateur!BL75*Calculateur!BN75*VLOOKUP('Données projet'!$B$11,Paramètres!$A$1:$I$89,3,0)*0.475*44/12</f>
        <v>27.875366532451995</v>
      </c>
      <c r="BR75" s="21">
        <f>EXP(-LN(2)/2)*BR74+(1-EXP(-LN(2)/2))/(LN(2)/2)*BL75*BO75*VLOOKUP('Données projet'!$B$11,Paramètres!$A$1:$I$89,3,0)*0.475*44/12</f>
        <v>0.72289468600145812</v>
      </c>
      <c r="BS75" s="22">
        <f t="shared" si="63"/>
        <v>40.758810382258837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163.26456900000002</v>
      </c>
      <c r="CA75" s="13">
        <f t="shared" si="93"/>
        <v>41.577980240014099</v>
      </c>
      <c r="CB75" s="20">
        <f t="shared" si="64"/>
        <v>356.76743992635789</v>
      </c>
      <c r="CC75" s="59">
        <f t="shared" si="65"/>
        <v>650.10077325969121</v>
      </c>
      <c r="CD75" s="59">
        <f ca="1">AVERAGE(OFFSET($CC$3,0,0,'Données projet'!$E$12+1,1))-AVERAGE(OFFSET($H$3,0,0,'Données projet'!$E$12+1,1))</f>
        <v>510.71380643466227</v>
      </c>
      <c r="CE75" s="59">
        <f t="shared" si="94"/>
        <v>252.40654099948841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10.429418873179777</v>
      </c>
      <c r="CM75" s="21">
        <f>EXP(-LN(2)/2)*CM74+(1-EXP(-LN(2)/2))/(LN(2)/2)*CG75*CJ75*VLOOKUP('Données projet'!$B$12,Paramètres!$A$1:$I$89,3,0)*0.475*44/12</f>
        <v>3.6652873106124844</v>
      </c>
      <c r="CN75" s="22">
        <f t="shared" si="66"/>
        <v>14.094706183792262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9.65625</v>
      </c>
      <c r="CT75" s="12">
        <f>IF('Données projet'!$A$140&gt;35,CT74+CS75-DB74,IF(A75&lt;'Données projet'!$A$140,$CQ$205^A75,IF(A75='Données projet'!$A$140,'Données projet'!$B$140,CT74+CS75-DB74)))</f>
        <v>244.79124999999996</v>
      </c>
      <c r="CU75" s="17">
        <f>CT75*VLOOKUP('Données projet'!$B$13,Paramètres!$A$1:$I$89,3,0)*VLOOKUP('Données projet'!$B$13,Paramètres!$A$1:$I$89,5,0)</f>
        <v>263.49330149999992</v>
      </c>
      <c r="CV75" s="13">
        <f t="shared" si="95"/>
        <v>63.466429286235211</v>
      </c>
      <c r="CW75" s="20">
        <f t="shared" si="67"/>
        <v>569.45486445269285</v>
      </c>
      <c r="CX75" s="59">
        <f t="shared" si="68"/>
        <v>862.7881977860261</v>
      </c>
      <c r="CY75" s="59">
        <f ca="1">AVERAGE(OFFSET($CX$3,0,0,'Données projet'!$E$13+1,1))-AVERAGE(OFFSET($H$3,0,0,'Données projet'!$E$13+1,1))</f>
        <v>502.65044103360322</v>
      </c>
      <c r="CZ75" s="59">
        <f t="shared" si="96"/>
        <v>321.65762891855167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18.040469463529735</v>
      </c>
      <c r="DG75" s="21">
        <f>EXP(-LN(2)/25)*DG74+(1-EXP(-LN(2)/25))/(LN(2)/25)*Calculateur!DB75*Calculateur!DD75*VLOOKUP('Données projet'!$B$13,Paramètres!$A$1:$I$89,3,0)*0.475*44/12</f>
        <v>28.755937474320927</v>
      </c>
      <c r="DH75" s="21">
        <f>EXP(-LN(2)/2)*DH74+(1-EXP(-LN(2)/2))/(LN(2)/2)*DB75*DE75*VLOOKUP('Données projet'!$B$13,Paramètres!$A$1:$I$89,3,0)*0.475*44/12</f>
        <v>0.81608887387613127</v>
      </c>
      <c r="DI75" s="22">
        <f t="shared" si="69"/>
        <v>47.612495811726795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-25.899999999999977</v>
      </c>
      <c r="DP75" s="17">
        <f>DO75*VLOOKUP('Données projet'!$B$14,Paramètres!$A$1:$I$89,3,0)*VLOOKUP('Données projet'!$B$14,Paramètres!$A$1:$I$89,5,0)</f>
        <v>-13.171703999999989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63.94726564348116</v>
      </c>
      <c r="DU75" s="59">
        <f t="shared" si="98"/>
        <v>280.8165028422905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22.208452031365976</v>
      </c>
      <c r="EB75" s="21">
        <f>EXP(-LN(2)/25)*EB74+(1-EXP(-LN(2)/25))/(LN(2)/25)*Calculateur!DW75*Calculateur!DY75*VLOOKUP('Données projet'!$B$14,Paramètres!$A$1:$I$89,3,0)*0.475*44/12</f>
        <v>2.0279054067364544</v>
      </c>
      <c r="EC75" s="21">
        <f>EXP(-LN(2)/2)*EC74+(1-EXP(-LN(2)/2))/(LN(2)/2)*DW75*DZ75*VLOOKUP('Données projet'!$B$14,Paramètres!$A$1:$I$89,3,0)*0.475*44/12</f>
        <v>4.6333126858507421E-8</v>
      </c>
      <c r="ED75" s="22">
        <f t="shared" si="72"/>
        <v>24.236357484435558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6.613999999999999</v>
      </c>
      <c r="N76" s="13">
        <f>IF('Données projet'!$A$36&gt;35,N75+M76-V75,IF(A76&lt;'Données projet'!$A$36,$K$205^A76,IF(A76='Données projet'!$A$36,'Données projet'!$B$36,N75+M76-V75)))</f>
        <v>303.34199999999976</v>
      </c>
      <c r="O76" s="13">
        <f>N76*VLOOKUP('Données projet'!$B$9,Paramètres!$A$1:$I$89,3,0)*VLOOKUP('Données projet'!$B$9,Paramètres!$A$1:$I$89,5,0)</f>
        <v>173.51162399999987</v>
      </c>
      <c r="P76" s="13">
        <f t="shared" si="87"/>
        <v>43.875572208444616</v>
      </c>
      <c r="Q76" s="20">
        <f t="shared" si="54"/>
        <v>378.61603339637418</v>
      </c>
      <c r="R76" s="59">
        <f t="shared" si="55"/>
        <v>671.94936672970744</v>
      </c>
      <c r="S76" s="59">
        <f ca="1">AVERAGE(OFFSET($R$3,0,0,'Données projet'!$E$9+1,1))-AVERAGE(OFFSET($H$3,0,0,'Données projet'!$E$9+1,1))</f>
        <v>294.9631697747962</v>
      </c>
      <c r="T76" s="59">
        <f t="shared" si="88"/>
        <v>202.04924881627716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32.054256315440519</v>
      </c>
      <c r="AA76" s="21">
        <f>EXP(-LN(2)/25)*AA75+(1-EXP(-LN(2)/25))/(LN(2)/25)*Calculateur!V76*Calculateur!X76*VLOOKUP('Données projet'!$B$9,Paramètres!$A$1:$I$89,3,0)*0.475*44/12</f>
        <v>12.838188181432596</v>
      </c>
      <c r="AB76" s="21">
        <f>EXP(-LN(2)/2)*AB75+(1-EXP(-LN(2)/2))/(LN(2)/2)*V76*Y76*VLOOKUP('Données projet'!$B$9,Paramètres!$A$1:$I$89,3,0)*0.475*44/12</f>
        <v>2.3744108222059683</v>
      </c>
      <c r="AC76" s="22">
        <f t="shared" si="57"/>
        <v>47.266855319079077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9.7839999999999971</v>
      </c>
      <c r="AI76" s="13">
        <f>IF('Données projet'!$A$62&gt;35,AI75+AH76-AQ75,IF(A76&lt;'Données projet'!$A$62,$AF$205^A76,IF(A76='Données projet'!$A$62,'Données projet'!$B$62,AI75+AH76-AQ75)))</f>
        <v>451.54199999999975</v>
      </c>
      <c r="AJ76" s="13">
        <f>AI76*VLOOKUP('Données projet'!$B$10,Paramètres!$A$1:$I$89,3,0)*VLOOKUP('Données projet'!$B$10,Paramètres!$A$1:$I$89,5,0)</f>
        <v>270.02211599999987</v>
      </c>
      <c r="AK76" s="13">
        <f t="shared" si="89"/>
        <v>64.853962838834434</v>
      </c>
      <c r="AL76" s="20">
        <f t="shared" si="58"/>
        <v>583.24250397763637</v>
      </c>
      <c r="AM76" s="59">
        <f t="shared" si="59"/>
        <v>876.57583731096975</v>
      </c>
      <c r="AN76" s="59">
        <f ca="1">AVERAGE(OFFSET($AM$3,0,0,'Données projet'!$E$10+1,1))-AVERAGE(OFFSET($H$3,0,0,'Données projet'!$E$10+1,1))</f>
        <v>349.71285006949597</v>
      </c>
      <c r="AO76" s="59">
        <f t="shared" si="90"/>
        <v>258.51550516456842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48.111799662759744</v>
      </c>
      <c r="AV76" s="21">
        <f>EXP(-LN(2)/25)*AV75+(1-EXP(-LN(2)/25))/(LN(2)/25)*Calculateur!AQ76*Calculateur!AS76*VLOOKUP('Données projet'!$B$10,Paramètres!$A$1:$I$89,3,0)*0.475*44/12</f>
        <v>17.92473913907407</v>
      </c>
      <c r="AW76" s="21">
        <f>EXP(-LN(2)/2)*AW75+(1-EXP(-LN(2)/2))/(LN(2)/2)*AQ76*AT76*VLOOKUP('Données projet'!$B$10,Paramètres!$A$1:$I$89,3,0)*0.475*44/12</f>
        <v>3.3577876706107528</v>
      </c>
      <c r="AX76" s="21">
        <f t="shared" si="60"/>
        <v>69.394326472444561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8.2474999999999987</v>
      </c>
      <c r="BD76" s="12">
        <f>IF('Données projet'!$A$88&gt;35,BD75+BC76-BL75,IF(A76&lt;'Données projet'!$A$88,$BA$205^A76,IF(A76='Données projet'!$A$88,'Données projet'!$B$88,BD75+BC76-BL75)))</f>
        <v>238.39500000000027</v>
      </c>
      <c r="BE76" s="13">
        <f>BD76*VLOOKUP('Données projet'!$B$11,Paramètres!$A$1:$I$89,3,0)*VLOOKUP('Données projet'!$B$11,Paramètres!$A$1:$I$89,5,0)</f>
        <v>215.69979600000025</v>
      </c>
      <c r="BF76" s="13">
        <f t="shared" si="91"/>
        <v>53.179186580516586</v>
      </c>
      <c r="BG76" s="20">
        <f t="shared" si="61"/>
        <v>468.29756132773349</v>
      </c>
      <c r="BH76" s="59">
        <f t="shared" si="62"/>
        <v>761.6308946610668</v>
      </c>
      <c r="BI76" s="59">
        <f ca="1">AVERAGE(OFFSET($BH$3,0,0,'Données projet'!$E$11+1,1))-AVERAGE(OFFSET($H$3,0,0,'Données projet'!$E$11+1,1))</f>
        <v>490.06222615476065</v>
      </c>
      <c r="BJ76" s="59">
        <f t="shared" si="92"/>
        <v>310.43914804089906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11.922088211905759</v>
      </c>
      <c r="BQ76" s="21">
        <f>EXP(-LN(2)/25)*BQ75+(1-EXP(-LN(2)/25))/(LN(2)/25)*Calculateur!BL76*Calculateur!BN76*VLOOKUP('Données projet'!$B$11,Paramètres!$A$1:$I$89,3,0)*0.475*44/12</f>
        <v>27.113113168720279</v>
      </c>
      <c r="BR76" s="21">
        <f>EXP(-LN(2)/2)*BR75+(1-EXP(-LN(2)/2))/(LN(2)/2)*BL76*BO76*VLOOKUP('Données projet'!$B$11,Paramètres!$A$1:$I$89,3,0)*0.475*44/12</f>
        <v>0.51116373455535102</v>
      </c>
      <c r="BS76" s="22">
        <f t="shared" si="63"/>
        <v>39.546365115181388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169.78712400000001</v>
      </c>
      <c r="CA76" s="13">
        <f t="shared" si="93"/>
        <v>43.042342966500492</v>
      </c>
      <c r="CB76" s="20">
        <f t="shared" si="64"/>
        <v>370.67798829998833</v>
      </c>
      <c r="CC76" s="59">
        <f t="shared" si="65"/>
        <v>664.01132163332159</v>
      </c>
      <c r="CD76" s="59">
        <f ca="1">AVERAGE(OFFSET($CC$3,0,0,'Données projet'!$E$12+1,1))-AVERAGE(OFFSET($H$3,0,0,'Données projet'!$E$12+1,1))</f>
        <v>510.71380643466227</v>
      </c>
      <c r="CE76" s="59">
        <f t="shared" si="94"/>
        <v>252.40654099948841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10.144225865633375</v>
      </c>
      <c r="CM76" s="21">
        <f>EXP(-LN(2)/2)*CM75+(1-EXP(-LN(2)/2))/(LN(2)/2)*CG76*CJ76*VLOOKUP('Données projet'!$B$12,Paramètres!$A$1:$I$89,3,0)*0.475*44/12</f>
        <v>2.5917495123310914</v>
      </c>
      <c r="CN76" s="22">
        <f t="shared" si="66"/>
        <v>12.735975377964467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9.65625</v>
      </c>
      <c r="CT76" s="12">
        <f>IF('Données projet'!$A$140&gt;35,CT75+CS76-DB75,IF(A76&lt;'Données projet'!$A$140,$CQ$205^A76,IF(A76='Données projet'!$A$140,'Données projet'!$B$140,CT75+CS76-DB75)))</f>
        <v>254.44749999999996</v>
      </c>
      <c r="CU76" s="17">
        <f>CT76*VLOOKUP('Données projet'!$B$13,Paramètres!$A$1:$I$89,3,0)*VLOOKUP('Données projet'!$B$13,Paramètres!$A$1:$I$89,5,0)</f>
        <v>273.88728899999995</v>
      </c>
      <c r="CV76" s="13">
        <f t="shared" si="95"/>
        <v>65.673562524429713</v>
      </c>
      <c r="CW76" s="20">
        <f t="shared" si="67"/>
        <v>591.40181640504818</v>
      </c>
      <c r="CX76" s="59">
        <f t="shared" si="68"/>
        <v>884.73514973838155</v>
      </c>
      <c r="CY76" s="59">
        <f ca="1">AVERAGE(OFFSET($CX$3,0,0,'Données projet'!$E$13+1,1))-AVERAGE(OFFSET($H$3,0,0,'Données projet'!$E$13+1,1))</f>
        <v>502.65044103360322</v>
      </c>
      <c r="CZ76" s="59">
        <f t="shared" si="96"/>
        <v>321.65762891855167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17.686706860949776</v>
      </c>
      <c r="DG76" s="21">
        <f>EXP(-LN(2)/25)*DG75+(1-EXP(-LN(2)/25))/(LN(2)/25)*Calculateur!DB76*Calculateur!DD76*VLOOKUP('Données projet'!$B$13,Paramètres!$A$1:$I$89,3,0)*0.475*44/12</f>
        <v>27.969604851876593</v>
      </c>
      <c r="DH76" s="21">
        <f>EXP(-LN(2)/2)*DH75+(1-EXP(-LN(2)/2))/(LN(2)/2)*DB76*DE76*VLOOKUP('Données projet'!$B$13,Paramètres!$A$1:$I$89,3,0)*0.475*44/12</f>
        <v>0.57706197676870552</v>
      </c>
      <c r="DI76" s="22">
        <f t="shared" si="69"/>
        <v>46.233373689595069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-25.899999999999977</v>
      </c>
      <c r="DP76" s="17">
        <f>DO76*VLOOKUP('Données projet'!$B$14,Paramètres!$A$1:$I$89,3,0)*VLOOKUP('Données projet'!$B$14,Paramètres!$A$1:$I$89,5,0)</f>
        <v>-13.171703999999989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63.94726564348116</v>
      </c>
      <c r="DU76" s="59">
        <f t="shared" si="98"/>
        <v>280.8165028422905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21.772957832849091</v>
      </c>
      <c r="EB76" s="21">
        <f>EXP(-LN(2)/25)*EB75+(1-EXP(-LN(2)/25))/(LN(2)/25)*Calculateur!DW76*Calculateur!DY76*VLOOKUP('Données projet'!$B$14,Paramètres!$A$1:$I$89,3,0)*0.475*44/12</f>
        <v>1.9724522267463356</v>
      </c>
      <c r="EC76" s="21">
        <f>EXP(-LN(2)/2)*EC75+(1-EXP(-LN(2)/2))/(LN(2)/2)*DW76*DZ76*VLOOKUP('Données projet'!$B$14,Paramètres!$A$1:$I$89,3,0)*0.475*44/12</f>
        <v>3.2762468195227154E-8</v>
      </c>
      <c r="ED76" s="22">
        <f t="shared" si="72"/>
        <v>23.745410092357893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6.613999999999999</v>
      </c>
      <c r="N77" s="13">
        <f>IF('Données projet'!$A$36&gt;35,N76+M77-V76,IF(A77&lt;'Données projet'!$A$36,$K$205^A77,IF(A77='Données projet'!$A$36,'Données projet'!$B$36,N76+M77-V76)))</f>
        <v>309.95599999999973</v>
      </c>
      <c r="O77" s="13">
        <f>N77*VLOOKUP('Données projet'!$B$9,Paramètres!$A$1:$I$89,3,0)*VLOOKUP('Données projet'!$B$9,Paramètres!$A$1:$I$89,5,0)</f>
        <v>177.29483199999987</v>
      </c>
      <c r="P77" s="13">
        <f t="shared" si="87"/>
        <v>44.719806737821202</v>
      </c>
      <c r="Q77" s="20">
        <f t="shared" si="54"/>
        <v>386.67549580170504</v>
      </c>
      <c r="R77" s="59">
        <f t="shared" si="55"/>
        <v>680.00882913503835</v>
      </c>
      <c r="S77" s="59">
        <f ca="1">AVERAGE(OFFSET($R$3,0,0,'Données projet'!$E$9+1,1))-AVERAGE(OFFSET($H$3,0,0,'Données projet'!$E$9+1,1))</f>
        <v>294.9631697747962</v>
      </c>
      <c r="T77" s="59">
        <f t="shared" si="88"/>
        <v>202.04924881627716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31.425691900260563</v>
      </c>
      <c r="AA77" s="21">
        <f>EXP(-LN(2)/25)*AA76+(1-EXP(-LN(2)/25))/(LN(2)/25)*Calculateur!V77*Calculateur!X77*VLOOKUP('Données projet'!$B$9,Paramètres!$A$1:$I$89,3,0)*0.475*44/12</f>
        <v>12.487127250480347</v>
      </c>
      <c r="AB77" s="21">
        <f>EXP(-LN(2)/2)*AB76+(1-EXP(-LN(2)/2))/(LN(2)/2)*V77*Y77*VLOOKUP('Données projet'!$B$9,Paramètres!$A$1:$I$89,3,0)*0.475*44/12</f>
        <v>1.6789619937045661</v>
      </c>
      <c r="AC77" s="22">
        <f t="shared" si="57"/>
        <v>45.591781144445477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9.7839999999999971</v>
      </c>
      <c r="AI77" s="13">
        <f>IF('Données projet'!$A$62&gt;35,AI76+AH77-AQ76,IF(A77&lt;'Données projet'!$A$62,$AF$205^A77,IF(A77='Données projet'!$A$62,'Données projet'!$B$62,AI76+AH77-AQ76)))</f>
        <v>461.32599999999974</v>
      </c>
      <c r="AJ77" s="13">
        <f>AI77*VLOOKUP('Données projet'!$B$10,Paramètres!$A$1:$I$89,3,0)*VLOOKUP('Données projet'!$B$10,Paramètres!$A$1:$I$89,5,0)</f>
        <v>275.87294799999984</v>
      </c>
      <c r="AK77" s="13">
        <f t="shared" si="89"/>
        <v>66.094091843346078</v>
      </c>
      <c r="AL77" s="20">
        <f t="shared" si="58"/>
        <v>595.59259439382743</v>
      </c>
      <c r="AM77" s="59">
        <f t="shared" si="59"/>
        <v>888.9259277271608</v>
      </c>
      <c r="AN77" s="59">
        <f ca="1">AVERAGE(OFFSET($AM$3,0,0,'Données projet'!$E$10+1,1))-AVERAGE(OFFSET($H$3,0,0,'Données projet'!$E$10+1,1))</f>
        <v>349.71285006949597</v>
      </c>
      <c r="AO77" s="59">
        <f t="shared" si="90"/>
        <v>258.51550516456842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47.168356616673215</v>
      </c>
      <c r="AV77" s="21">
        <f>EXP(-LN(2)/25)*AV76+(1-EXP(-LN(2)/25))/(LN(2)/25)*Calculateur!AQ77*Calculateur!AS77*VLOOKUP('Données projet'!$B$10,Paramètres!$A$1:$I$89,3,0)*0.475*44/12</f>
        <v>17.434586204695027</v>
      </c>
      <c r="AW77" s="21">
        <f>EXP(-LN(2)/2)*AW76+(1-EXP(-LN(2)/2))/(LN(2)/2)*AQ77*AT77*VLOOKUP('Données projet'!$B$10,Paramètres!$A$1:$I$89,3,0)*0.475*44/12</f>
        <v>2.374314431673445</v>
      </c>
      <c r="AX77" s="21">
        <f t="shared" si="60"/>
        <v>66.977257253041685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8.2474999999999987</v>
      </c>
      <c r="BD77" s="12">
        <f>IF('Données projet'!$A$88&gt;35,BD76+BC77-BL76,IF(A77&lt;'Données projet'!$A$88,$BA$205^A77,IF(A77='Données projet'!$A$88,'Données projet'!$B$88,BD76+BC77-BL76)))</f>
        <v>246.64250000000027</v>
      </c>
      <c r="BE77" s="13">
        <f>BD77*VLOOKUP('Données projet'!$B$11,Paramètres!$A$1:$I$89,3,0)*VLOOKUP('Données projet'!$B$11,Paramètres!$A$1:$I$89,5,0)</f>
        <v>223.16213400000024</v>
      </c>
      <c r="BF77" s="13">
        <f t="shared" si="91"/>
        <v>54.801588049746073</v>
      </c>
      <c r="BG77" s="20">
        <f t="shared" si="61"/>
        <v>484.12014923664145</v>
      </c>
      <c r="BH77" s="59">
        <f t="shared" si="62"/>
        <v>777.45348256997477</v>
      </c>
      <c r="BI77" s="59">
        <f ca="1">AVERAGE(OFFSET($BH$3,0,0,'Données projet'!$E$11+1,1))-AVERAGE(OFFSET($H$3,0,0,'Données projet'!$E$11+1,1))</f>
        <v>490.06222615476065</v>
      </c>
      <c r="BJ77" s="59">
        <f t="shared" si="92"/>
        <v>310.43914804089906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11.68830333382607</v>
      </c>
      <c r="BQ77" s="21">
        <f>EXP(-LN(2)/25)*BQ76+(1-EXP(-LN(2)/25))/(LN(2)/25)*Calculateur!BL77*Calculateur!BN77*VLOOKUP('Données projet'!$B$11,Paramètres!$A$1:$I$89,3,0)*0.475*44/12</f>
        <v>26.37170366330497</v>
      </c>
      <c r="BR77" s="21">
        <f>EXP(-LN(2)/2)*BR76+(1-EXP(-LN(2)/2))/(LN(2)/2)*BL77*BO77*VLOOKUP('Données projet'!$B$11,Paramètres!$A$1:$I$89,3,0)*0.475*44/12</f>
        <v>0.36144734300072906</v>
      </c>
      <c r="BS77" s="22">
        <f t="shared" si="63"/>
        <v>38.421454340131767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176.30967900000002</v>
      </c>
      <c r="CA77" s="13">
        <f t="shared" si="93"/>
        <v>44.500170523659108</v>
      </c>
      <c r="CB77" s="20">
        <f t="shared" si="64"/>
        <v>384.57715458703962</v>
      </c>
      <c r="CC77" s="59">
        <f t="shared" si="65"/>
        <v>677.91048792037293</v>
      </c>
      <c r="CD77" s="59">
        <f ca="1">AVERAGE(OFFSET($CC$3,0,0,'Données projet'!$E$12+1,1))-AVERAGE(OFFSET($H$3,0,0,'Données projet'!$E$12+1,1))</f>
        <v>510.71380643466227</v>
      </c>
      <c r="CE77" s="59">
        <f t="shared" si="94"/>
        <v>252.40654099948841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9.8668314758759781</v>
      </c>
      <c r="CM77" s="21">
        <f>EXP(-LN(2)/2)*CM76+(1-EXP(-LN(2)/2))/(LN(2)/2)*CG77*CJ77*VLOOKUP('Données projet'!$B$12,Paramètres!$A$1:$I$89,3,0)*0.475*44/12</f>
        <v>1.8326436553062424</v>
      </c>
      <c r="CN77" s="22">
        <f t="shared" si="66"/>
        <v>11.69947513118222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9.65625</v>
      </c>
      <c r="CT77" s="12">
        <f>IF('Données projet'!$A$140&gt;35,CT76+CS77-DB76,IF(A77&lt;'Données projet'!$A$140,$CQ$205^A77,IF(A77='Données projet'!$A$140,'Données projet'!$B$140,CT76+CS77-DB76)))</f>
        <v>264.10374999999999</v>
      </c>
      <c r="CU77" s="17">
        <f>CT77*VLOOKUP('Données projet'!$B$13,Paramètres!$A$1:$I$89,3,0)*VLOOKUP('Données projet'!$B$13,Paramètres!$A$1:$I$89,5,0)</f>
        <v>284.28127649999999</v>
      </c>
      <c r="CV77" s="13">
        <f t="shared" si="95"/>
        <v>67.870965084671752</v>
      </c>
      <c r="CW77" s="20">
        <f t="shared" si="67"/>
        <v>613.3318207599699</v>
      </c>
      <c r="CX77" s="59">
        <f t="shared" si="68"/>
        <v>906.66515409330327</v>
      </c>
      <c r="CY77" s="59">
        <f ca="1">AVERAGE(OFFSET($CX$3,0,0,'Données projet'!$E$13+1,1))-AVERAGE(OFFSET($H$3,0,0,'Données projet'!$E$13+1,1))</f>
        <v>502.65044103360322</v>
      </c>
      <c r="CZ77" s="59">
        <f t="shared" si="96"/>
        <v>321.65762891855167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17.339881327232526</v>
      </c>
      <c r="DG77" s="21">
        <f>EXP(-LN(2)/25)*DG76+(1-EXP(-LN(2)/25))/(LN(2)/25)*Calculateur!DB77*Calculateur!DD77*VLOOKUP('Données projet'!$B$13,Paramètres!$A$1:$I$89,3,0)*0.475*44/12</f>
        <v>27.204774536344434</v>
      </c>
      <c r="DH77" s="21">
        <f>EXP(-LN(2)/2)*DH76+(1-EXP(-LN(2)/2))/(LN(2)/2)*DB77*DE77*VLOOKUP('Données projet'!$B$13,Paramètres!$A$1:$I$89,3,0)*0.475*44/12</f>
        <v>0.40804443693806564</v>
      </c>
      <c r="DI77" s="22">
        <f t="shared" si="69"/>
        <v>44.952700300515026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-25.899999999999977</v>
      </c>
      <c r="DP77" s="17">
        <f>DO77*VLOOKUP('Données projet'!$B$14,Paramètres!$A$1:$I$89,3,0)*VLOOKUP('Données projet'!$B$14,Paramètres!$A$1:$I$89,5,0)</f>
        <v>-13.171703999999989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63.94726564348116</v>
      </c>
      <c r="DU77" s="59">
        <f t="shared" si="98"/>
        <v>280.8165028422905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21.34600340993989</v>
      </c>
      <c r="EB77" s="21">
        <f>EXP(-LN(2)/25)*EB76+(1-EXP(-LN(2)/25))/(LN(2)/25)*Calculateur!DW77*Calculateur!DY77*VLOOKUP('Données projet'!$B$14,Paramètres!$A$1:$I$89,3,0)*0.475*44/12</f>
        <v>1.9185154168792025</v>
      </c>
      <c r="EC77" s="21">
        <f>EXP(-LN(2)/2)*EC76+(1-EXP(-LN(2)/2))/(LN(2)/2)*DW77*DZ77*VLOOKUP('Données projet'!$B$14,Paramètres!$A$1:$I$89,3,0)*0.475*44/12</f>
        <v>2.316656342925371E-8</v>
      </c>
      <c r="ED77" s="22">
        <f t="shared" si="72"/>
        <v>23.264518849985656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6.613999999999999</v>
      </c>
      <c r="N78" s="13">
        <f>IF('Données projet'!$A$36&gt;35,N77+M78-V77,IF(A78&lt;'Données projet'!$A$36,$K$205^A78,IF(A78='Données projet'!$A$36,'Données projet'!$B$36,N77+M78-V77)))</f>
        <v>316.56999999999971</v>
      </c>
      <c r="O78" s="13">
        <f>N78*VLOOKUP('Données projet'!$B$9,Paramètres!$A$1:$I$89,3,0)*VLOOKUP('Données projet'!$B$9,Paramètres!$A$1:$I$89,5,0)</f>
        <v>181.07803999999985</v>
      </c>
      <c r="P78" s="13">
        <f t="shared" si="87"/>
        <v>45.561946789053017</v>
      </c>
      <c r="Q78" s="20">
        <f t="shared" si="54"/>
        <v>394.73131032426704</v>
      </c>
      <c r="R78" s="59">
        <f t="shared" si="55"/>
        <v>688.0646436576003</v>
      </c>
      <c r="S78" s="59">
        <f ca="1">AVERAGE(OFFSET($R$3,0,0,'Données projet'!$E$9+1,1))-AVERAGE(OFFSET($H$3,0,0,'Données projet'!$E$9+1,1))</f>
        <v>294.9631697747962</v>
      </c>
      <c r="T78" s="59">
        <f t="shared" si="88"/>
        <v>202.04924881627716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30.809453249875851</v>
      </c>
      <c r="AA78" s="21">
        <f>EXP(-LN(2)/25)*AA77+(1-EXP(-LN(2)/25))/(LN(2)/25)*Calculateur!V78*Calculateur!X78*VLOOKUP('Données projet'!$B$9,Paramètres!$A$1:$I$89,3,0)*0.475*44/12</f>
        <v>12.14566609914648</v>
      </c>
      <c r="AB78" s="21">
        <f>EXP(-LN(2)/2)*AB77+(1-EXP(-LN(2)/2))/(LN(2)/2)*V78*Y78*VLOOKUP('Données projet'!$B$9,Paramètres!$A$1:$I$89,3,0)*0.475*44/12</f>
        <v>1.1872054111029844</v>
      </c>
      <c r="AC78" s="22">
        <f t="shared" si="57"/>
        <v>44.142324760125319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9.7839999999999971</v>
      </c>
      <c r="AI78" s="13">
        <f>IF('Données projet'!$A$62&gt;35,AI77+AH78-AQ77,IF(A78&lt;'Données projet'!$A$62,$AF$205^A78,IF(A78='Données projet'!$A$62,'Données projet'!$B$62,AI77+AH78-AQ77)))</f>
        <v>471.10999999999973</v>
      </c>
      <c r="AJ78" s="13">
        <f>AI78*VLOOKUP('Données projet'!$B$10,Paramètres!$A$1:$I$89,3,0)*VLOOKUP('Données projet'!$B$10,Paramètres!$A$1:$I$89,5,0)</f>
        <v>281.72377999999986</v>
      </c>
      <c r="AK78" s="13">
        <f t="shared" si="89"/>
        <v>67.331162922926637</v>
      </c>
      <c r="AL78" s="20">
        <f t="shared" si="58"/>
        <v>607.93735892409688</v>
      </c>
      <c r="AM78" s="59">
        <f t="shared" si="59"/>
        <v>901.27069225743026</v>
      </c>
      <c r="AN78" s="59">
        <f ca="1">AVERAGE(OFFSET($AM$3,0,0,'Données projet'!$E$10+1,1))-AVERAGE(OFFSET($H$3,0,0,'Données projet'!$E$10+1,1))</f>
        <v>349.71285006949597</v>
      </c>
      <c r="AO78" s="59">
        <f t="shared" si="90"/>
        <v>258.51550516456842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46.243413913277003</v>
      </c>
      <c r="AV78" s="21">
        <f>EXP(-LN(2)/25)*AV77+(1-EXP(-LN(2)/25))/(LN(2)/25)*Calculateur!AQ78*Calculateur!AS78*VLOOKUP('Données projet'!$B$10,Paramètres!$A$1:$I$89,3,0)*0.475*44/12</f>
        <v>16.957836528082598</v>
      </c>
      <c r="AW78" s="21">
        <f>EXP(-LN(2)/2)*AW77+(1-EXP(-LN(2)/2))/(LN(2)/2)*AQ78*AT78*VLOOKUP('Données projet'!$B$10,Paramètres!$A$1:$I$89,3,0)*0.475*44/12</f>
        <v>1.6788938353053768</v>
      </c>
      <c r="AX78" s="21">
        <f t="shared" si="60"/>
        <v>64.880144276664979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8.2474999999999987</v>
      </c>
      <c r="BC78" s="12">
        <f t="array" ref="BC78">INDEX(BB:BB,MIN(IF(ISNUMBER(BB78:BB274),ROW(BB78:BB274),"")))</f>
        <v>8.2474999999999987</v>
      </c>
      <c r="BD78" s="12">
        <f>IF('Données projet'!$A$88&gt;35,BD77+BC78-BL77,IF(A78&lt;'Données projet'!$A$88,$BA$205^A78,IF(A78='Données projet'!$A$88,'Données projet'!$B$88,BD77+BC78-BL77)))</f>
        <v>254.89000000000027</v>
      </c>
      <c r="BE78" s="13">
        <f>BD78*VLOOKUP('Données projet'!$B$11,Paramètres!$A$1:$I$89,3,0)*VLOOKUP('Données projet'!$B$11,Paramètres!$A$1:$I$89,5,0)</f>
        <v>230.62447200000022</v>
      </c>
      <c r="BF78" s="13">
        <f t="shared" si="91"/>
        <v>56.417685662698347</v>
      </c>
      <c r="BG78" s="20">
        <f t="shared" si="61"/>
        <v>499.93175792920005</v>
      </c>
      <c r="BH78" s="59">
        <f t="shared" si="62"/>
        <v>793.26509126253336</v>
      </c>
      <c r="BI78" s="59">
        <f ca="1">AVERAGE(OFFSET($BH$3,0,0,'Données projet'!$E$11+1,1))-AVERAGE(OFFSET($H$3,0,0,'Données projet'!$E$11+1,1))</f>
        <v>490.06222615476065</v>
      </c>
      <c r="BJ78" s="59">
        <f t="shared" si="92"/>
        <v>310.43914804089906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43.289999999999992</v>
      </c>
      <c r="BM78" s="16">
        <f>IF(ISNA(VLOOKUP(A78,'Données projet'!$A$87:$I$107,5,0)),0%,VLOOKUP(A78,'Données projet'!$A$87:$I$107,5,0)*VLOOKUP('Données projet'!$B$11,Paramètres!$A$1:$I$89,7,0))</f>
        <v>0.15049999999999999</v>
      </c>
      <c r="BN78" s="16">
        <f>IF(ISNA(VLOOKUP(A78,'Données projet'!$A$87:$I$107,6,0)),0%,VLOOKUP(A78,'Données projet'!$A$87:$I$107,6,0)*VLOOKUP('Données projet'!$B$11,Paramètres!$A$1:$I$89,7,0))</f>
        <v>8.6000000000000007E-2</v>
      </c>
      <c r="BO78" s="16">
        <f>IF(ISNA(VLOOKUP(A78,'Données projet'!$A$87:$I$107,7,0)),0%,VLOOKUP(A78,'Données projet'!$A$87:$I$107,7,0))</f>
        <v>0.1</v>
      </c>
      <c r="BP78" s="21">
        <f>EXP(-LN(2)/35)*BP77+(1-EXP(-LN(2)/35))/(LN(2)/35)*BL78*BM78*VLOOKUP('Données projet'!$B$11,Paramètres!$A$1:$I$89,3,0)*0.475*44/12</f>
        <v>17.975743708002948</v>
      </c>
      <c r="BQ78" s="21">
        <f>EXP(-LN(2)/25)*BQ77+(1-EXP(-LN(2)/25))/(LN(2)/25)*Calculateur!BL78*Calculateur!BN78*VLOOKUP('Données projet'!$B$11,Paramètres!$A$1:$I$89,3,0)*0.475*44/12</f>
        <v>29.359700825654979</v>
      </c>
      <c r="BR78" s="21">
        <f>EXP(-LN(2)/2)*BR77+(1-EXP(-LN(2)/2))/(LN(2)/2)*BL78*BO78*VLOOKUP('Données projet'!$B$11,Paramètres!$A$1:$I$89,3,0)*0.475*44/12</f>
        <v>3.9512628137356964</v>
      </c>
      <c r="BS78" s="22">
        <f t="shared" si="63"/>
        <v>51.286707347393623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182.83223400000003</v>
      </c>
      <c r="CA78" s="13">
        <f t="shared" si="93"/>
        <v>45.951732365807445</v>
      </c>
      <c r="CB78" s="20">
        <f t="shared" si="64"/>
        <v>398.46540808711467</v>
      </c>
      <c r="CC78" s="59">
        <f t="shared" si="65"/>
        <v>691.79874142044798</v>
      </c>
      <c r="CD78" s="59">
        <f ca="1">AVERAGE(OFFSET($CC$3,0,0,'Données projet'!$E$12+1,1))-AVERAGE(OFFSET($H$3,0,0,'Données projet'!$E$12+1,1))</f>
        <v>510.71380643466227</v>
      </c>
      <c r="CE78" s="59">
        <f t="shared" si="94"/>
        <v>252.40654099948841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9.5970224502940322</v>
      </c>
      <c r="CM78" s="21">
        <f>EXP(-LN(2)/2)*CM77+(1-EXP(-LN(2)/2))/(LN(2)/2)*CG78*CJ78*VLOOKUP('Données projet'!$B$12,Paramètres!$A$1:$I$89,3,0)*0.475*44/12</f>
        <v>1.2958747561655459</v>
      </c>
      <c r="CN78" s="22">
        <f t="shared" si="66"/>
        <v>10.892897206459578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273.76</v>
      </c>
      <c r="CR78" s="12">
        <f>VLOOKUP(A78,'Données projet'!$A$139:$I$159,9,0)</f>
        <v>9.65625</v>
      </c>
      <c r="CS78" s="12">
        <f t="array" ref="CS78">INDEX(CR:CR,MIN(IF(ISNUMBER(CR78:CR274),ROW(CR78:CR274),"")))</f>
        <v>9.65625</v>
      </c>
      <c r="CT78" s="12">
        <f>IF('Données projet'!$A$140&gt;35,CT77+CS78-DB77,IF(A78&lt;'Données projet'!$A$140,$CQ$205^A78,IF(A78='Données projet'!$A$140,'Données projet'!$B$140,CT77+CS78-DB77)))</f>
        <v>273.76</v>
      </c>
      <c r="CU78" s="17">
        <f>CT78*VLOOKUP('Données projet'!$B$13,Paramètres!$A$1:$I$89,3,0)*VLOOKUP('Données projet'!$B$13,Paramètres!$A$1:$I$89,5,0)</f>
        <v>294.67526399999997</v>
      </c>
      <c r="CV78" s="13">
        <f t="shared" si="95"/>
        <v>70.059033491377406</v>
      </c>
      <c r="CW78" s="20">
        <f t="shared" si="67"/>
        <v>635.24556813081563</v>
      </c>
      <c r="CX78" s="59">
        <f t="shared" si="68"/>
        <v>928.57890146414888</v>
      </c>
      <c r="CY78" s="59">
        <f ca="1">AVERAGE(OFFSET($CX$3,0,0,'Données projet'!$E$13+1,1))-AVERAGE(OFFSET($H$3,0,0,'Données projet'!$E$13+1,1))</f>
        <v>502.65044103360322</v>
      </c>
      <c r="CZ78" s="59">
        <f t="shared" si="96"/>
        <v>321.65762891855167</v>
      </c>
      <c r="DA78" s="15">
        <f>IF(ISNA(VLOOKUP(A78,'Données projet'!$A$139:$I$159,3,0)),0,VLOOKUP(A78,'Données projet'!$A$139:$I$159,3,0))</f>
        <v>6</v>
      </c>
      <c r="DB78" s="15">
        <f>IF(ISNA(VLOOKUP(A78,'Données projet'!$A$139:$I$159,4,0)),0,VLOOKUP(A78,'Données projet'!$A$139:$I$159,4,0))</f>
        <v>43.519999999999982</v>
      </c>
      <c r="DC78" s="16">
        <f>IF(ISNA(VLOOKUP(A78,'Données projet'!$A$139:$I$159,5,0)),0%,VLOOKUP(A78,'Données projet'!$A$139:$I$159,5,0)*VLOOKUP('Données projet'!$B$13,Paramètres!$A$1:$I$89,7,0))</f>
        <v>0.15049999999999999</v>
      </c>
      <c r="DD78" s="16">
        <f>IF(ISNA(VLOOKUP(A78,'Données projet'!$A$139:$I$159,6,0)),0%,VLOOKUP(A78,'Données projet'!$A$139:$I$159,6,0)*VLOOKUP('Données projet'!$B$13,Paramètres!$A$1:$I$89,7,0))</f>
        <v>8.6000000000000007E-2</v>
      </c>
      <c r="DE78" s="16">
        <f>IF(ISNA(VLOOKUP(A78,'Données projet'!$A$139:$I$159,7,0)),0%,VLOOKUP(A78,'Données projet'!$A$139:$I$159,7,0))</f>
        <v>0.1</v>
      </c>
      <c r="DF78" s="21">
        <f>EXP(-LN(2)/35)*DF77+(1-EXP(-LN(2)/35))/(LN(2)/35)*DB78*DC78*VLOOKUP('Données projet'!$B$13,Paramètres!$A$1:$I$89,3,0)*0.475*44/12</f>
        <v>24.793601721159515</v>
      </c>
      <c r="DG78" s="21">
        <f>EXP(-LN(2)/25)*DG77+(1-EXP(-LN(2)/25))/(LN(2)/25)*Calculateur!DB78*Calculateur!DD78*VLOOKUP('Données projet'!$B$13,Paramètres!$A$1:$I$89,3,0)*0.475*44/12</f>
        <v>30.896891658689654</v>
      </c>
      <c r="DH78" s="21">
        <f>EXP(-LN(2)/2)*DH77+(1-EXP(-LN(2)/2))/(LN(2)/2)*DB78*DE78*VLOOKUP('Données projet'!$B$13,Paramètres!$A$1:$I$89,3,0)*0.475*44/12</f>
        <v>4.7084760264595058</v>
      </c>
      <c r="DI78" s="22">
        <f t="shared" si="69"/>
        <v>60.39896940630868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-25.899999999999977</v>
      </c>
      <c r="DP78" s="17">
        <f>DO78*VLOOKUP('Données projet'!$B$14,Paramètres!$A$1:$I$89,3,0)*VLOOKUP('Données projet'!$B$14,Paramètres!$A$1:$I$89,5,0)</f>
        <v>-13.171703999999989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63.94726564348116</v>
      </c>
      <c r="DU78" s="59">
        <f t="shared" si="98"/>
        <v>280.8165028422905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20.927421302847453</v>
      </c>
      <c r="EB78" s="21">
        <f>EXP(-LN(2)/25)*EB77+(1-EXP(-LN(2)/25))/(LN(2)/25)*Calculateur!DW78*Calculateur!DY78*VLOOKUP('Données projet'!$B$14,Paramètres!$A$1:$I$89,3,0)*0.475*44/12</f>
        <v>1.8660535119142998</v>
      </c>
      <c r="EC78" s="21">
        <f>EXP(-LN(2)/2)*EC77+(1-EXP(-LN(2)/2))/(LN(2)/2)*DW78*DZ78*VLOOKUP('Données projet'!$B$14,Paramètres!$A$1:$I$89,3,0)*0.475*44/12</f>
        <v>1.6381234097613577E-8</v>
      </c>
      <c r="ED78" s="22">
        <f t="shared" si="72"/>
        <v>22.793474831142984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6.613999999999999</v>
      </c>
      <c r="N79" s="13">
        <f>IF('Données projet'!$A$36&gt;35,N78+M79-V78,IF(A79&lt;'Données projet'!$A$36,$K$205^A79,IF(A79='Données projet'!$A$36,'Données projet'!$B$36,N78+M79-V78)))</f>
        <v>323.18399999999968</v>
      </c>
      <c r="O79" s="13">
        <f>N79*VLOOKUP('Données projet'!$B$9,Paramètres!$A$1:$I$89,3,0)*VLOOKUP('Données projet'!$B$9,Paramètres!$A$1:$I$89,5,0)</f>
        <v>184.86124799999985</v>
      </c>
      <c r="P79" s="13">
        <f t="shared" si="87"/>
        <v>46.402041162825057</v>
      </c>
      <c r="Q79" s="20">
        <f t="shared" si="54"/>
        <v>402.78356195858669</v>
      </c>
      <c r="R79" s="59">
        <f t="shared" si="55"/>
        <v>696.11689529191995</v>
      </c>
      <c r="S79" s="59">
        <f ca="1">AVERAGE(OFFSET($R$3,0,0,'Données projet'!$E$9+1,1))-AVERAGE(OFFSET($H$3,0,0,'Données projet'!$E$9+1,1))</f>
        <v>294.9631697747962</v>
      </c>
      <c r="T79" s="59">
        <f t="shared" si="88"/>
        <v>202.04924881627716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30.205298663556722</v>
      </c>
      <c r="AA79" s="21">
        <f>EXP(-LN(2)/25)*AA78+(1-EXP(-LN(2)/25))/(LN(2)/25)*Calculateur!V79*Calculateur!X79*VLOOKUP('Données projet'!$B$9,Paramètres!$A$1:$I$89,3,0)*0.475*44/12</f>
        <v>11.813542220952499</v>
      </c>
      <c r="AB79" s="21">
        <f>EXP(-LN(2)/2)*AB78+(1-EXP(-LN(2)/2))/(LN(2)/2)*V79*Y79*VLOOKUP('Données projet'!$B$9,Paramètres!$A$1:$I$89,3,0)*0.475*44/12</f>
        <v>0.83948099685228328</v>
      </c>
      <c r="AC79" s="22">
        <f t="shared" si="57"/>
        <v>42.858321881361498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9.7839999999999971</v>
      </c>
      <c r="AI79" s="13">
        <f>IF('Données projet'!$A$62&gt;35,AI78+AH79-AQ78,IF(A79&lt;'Données projet'!$A$62,$AF$205^A79,IF(A79='Données projet'!$A$62,'Données projet'!$B$62,AI78+AH79-AQ78)))</f>
        <v>480.89399999999972</v>
      </c>
      <c r="AJ79" s="13">
        <f>AI79*VLOOKUP('Données projet'!$B$10,Paramètres!$A$1:$I$89,3,0)*VLOOKUP('Données projet'!$B$10,Paramètres!$A$1:$I$89,5,0)</f>
        <v>287.57461199999989</v>
      </c>
      <c r="AK79" s="13">
        <f t="shared" si="89"/>
        <v>68.565246901335968</v>
      </c>
      <c r="AL79" s="20">
        <f t="shared" si="58"/>
        <v>620.27692091982669</v>
      </c>
      <c r="AM79" s="59">
        <f t="shared" si="59"/>
        <v>913.61025425316006</v>
      </c>
      <c r="AN79" s="59">
        <f ca="1">AVERAGE(OFFSET($AM$3,0,0,'Données projet'!$E$10+1,1))-AVERAGE(OFFSET($H$3,0,0,'Données projet'!$E$10+1,1))</f>
        <v>349.71285006949597</v>
      </c>
      <c r="AO79" s="59">
        <f t="shared" si="90"/>
        <v>258.51550516456842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45.336608772135044</v>
      </c>
      <c r="AV79" s="21">
        <f>EXP(-LN(2)/25)*AV78+(1-EXP(-LN(2)/25))/(LN(2)/25)*Calculateur!AQ79*Calculateur!AS79*VLOOKUP('Données projet'!$B$10,Paramètres!$A$1:$I$89,3,0)*0.475*44/12</f>
        <v>16.494123596448315</v>
      </c>
      <c r="AW79" s="21">
        <f>EXP(-LN(2)/2)*AW78+(1-EXP(-LN(2)/2))/(LN(2)/2)*AQ79*AT79*VLOOKUP('Données projet'!$B$10,Paramètres!$A$1:$I$89,3,0)*0.475*44/12</f>
        <v>1.1871572158367227</v>
      </c>
      <c r="AX79" s="21">
        <f t="shared" si="60"/>
        <v>63.017889584420075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8.0188888888888883</v>
      </c>
      <c r="BD79" s="12">
        <f>IF('Données projet'!$A$88&gt;35,BD78+BC79-BL78,IF(A79&lt;'Données projet'!$A$88,$BA$205^A79,IF(A79='Données projet'!$A$88,'Données projet'!$B$88,BD78+BC79-BL78)))</f>
        <v>219.61888888888919</v>
      </c>
      <c r="BE79" s="13">
        <f>BD79*VLOOKUP('Données projet'!$B$11,Paramètres!$A$1:$I$89,3,0)*VLOOKUP('Données projet'!$B$11,Paramètres!$A$1:$I$89,5,0)</f>
        <v>198.71117066666693</v>
      </c>
      <c r="BF79" s="13">
        <f t="shared" si="91"/>
        <v>49.460815560173565</v>
      </c>
      <c r="BG79" s="20">
        <f t="shared" si="61"/>
        <v>432.23287601174712</v>
      </c>
      <c r="BH79" s="59">
        <f t="shared" si="62"/>
        <v>725.56620934508044</v>
      </c>
      <c r="BI79" s="59">
        <f ca="1">AVERAGE(OFFSET($BH$3,0,0,'Données projet'!$E$11+1,1))-AVERAGE(OFFSET($H$3,0,0,'Données projet'!$E$11+1,1))</f>
        <v>490.06222615476065</v>
      </c>
      <c r="BJ79" s="59">
        <f t="shared" si="92"/>
        <v>310.43914804089906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17.623250338010056</v>
      </c>
      <c r="BQ79" s="21">
        <f>EXP(-LN(2)/25)*BQ78+(1-EXP(-LN(2)/25))/(LN(2)/25)*Calculateur!BL79*Calculateur!BN79*VLOOKUP('Données projet'!$B$11,Paramètres!$A$1:$I$89,3,0)*0.475*44/12</f>
        <v>28.55685826261788</v>
      </c>
      <c r="BR79" s="21">
        <f>EXP(-LN(2)/2)*BR78+(1-EXP(-LN(2)/2))/(LN(2)/2)*BL79*BO79*VLOOKUP('Données projet'!$B$11,Paramètres!$A$1:$I$89,3,0)*0.475*44/12</f>
        <v>2.7939647298427492</v>
      </c>
      <c r="BS79" s="22">
        <f t="shared" si="63"/>
        <v>48.974073330470681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189.35478900000004</v>
      </c>
      <c r="CA79" s="13">
        <f t="shared" si="93"/>
        <v>47.39727763176937</v>
      </c>
      <c r="CB79" s="20">
        <f t="shared" si="64"/>
        <v>412.3431827169984</v>
      </c>
      <c r="CC79" s="59">
        <f t="shared" si="65"/>
        <v>705.67651605033166</v>
      </c>
      <c r="CD79" s="59">
        <f ca="1">AVERAGE(OFFSET($CC$3,0,0,'Données projet'!$E$12+1,1))-AVERAGE(OFFSET($H$3,0,0,'Données projet'!$E$12+1,1))</f>
        <v>510.71380643466227</v>
      </c>
      <c r="CE79" s="59">
        <f t="shared" si="94"/>
        <v>252.40654099948841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9.3345913667052649</v>
      </c>
      <c r="CM79" s="21">
        <f>EXP(-LN(2)/2)*CM78+(1-EXP(-LN(2)/2))/(LN(2)/2)*CG79*CJ79*VLOOKUP('Données projet'!$B$12,Paramètres!$A$1:$I$89,3,0)*0.475*44/12</f>
        <v>0.91632182765312142</v>
      </c>
      <c r="CN79" s="22">
        <f t="shared" si="66"/>
        <v>10.250913194358386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9.4837500000000006</v>
      </c>
      <c r="CT79" s="12">
        <f>IF('Données projet'!$A$140&gt;35,CT78+CS79-DB78,IF(A79&lt;'Données projet'!$A$140,$CQ$205^A79,IF(A79='Données projet'!$A$140,'Données projet'!$B$140,CT78+CS79-DB78)))</f>
        <v>239.72375</v>
      </c>
      <c r="CU79" s="17">
        <f>CT79*VLOOKUP('Données projet'!$B$13,Paramètres!$A$1:$I$89,3,0)*VLOOKUP('Données projet'!$B$13,Paramètres!$A$1:$I$89,5,0)</f>
        <v>258.03864449999998</v>
      </c>
      <c r="CV79" s="13">
        <f t="shared" si="95"/>
        <v>62.304112150988615</v>
      </c>
      <c r="CW79" s="20">
        <f t="shared" si="67"/>
        <v>557.9303011671384</v>
      </c>
      <c r="CX79" s="59">
        <f t="shared" si="68"/>
        <v>851.26363450047165</v>
      </c>
      <c r="CY79" s="59">
        <f ca="1">AVERAGE(OFFSET($CX$3,0,0,'Données projet'!$E$13+1,1))-AVERAGE(OFFSET($H$3,0,0,'Données projet'!$E$13+1,1))</f>
        <v>502.65044103360322</v>
      </c>
      <c r="CZ79" s="59">
        <f t="shared" si="96"/>
        <v>321.65762891855167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24.307414314011393</v>
      </c>
      <c r="DG79" s="21">
        <f>EXP(-LN(2)/25)*DG78+(1-EXP(-LN(2)/25))/(LN(2)/25)*Calculateur!DB79*Calculateur!DD79*VLOOKUP('Données projet'!$B$13,Paramètres!$A$1:$I$89,3,0)*0.475*44/12</f>
        <v>30.05201453148587</v>
      </c>
      <c r="DH79" s="21">
        <f>EXP(-LN(2)/2)*DH78+(1-EXP(-LN(2)/2))/(LN(2)/2)*DB79*DE79*VLOOKUP('Données projet'!$B$13,Paramètres!$A$1:$I$89,3,0)*0.475*44/12</f>
        <v>3.3293953273638066</v>
      </c>
      <c r="DI79" s="22">
        <f t="shared" si="69"/>
        <v>57.688824172861068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-25.899999999999977</v>
      </c>
      <c r="DP79" s="17">
        <f>DO79*VLOOKUP('Données projet'!$B$14,Paramètres!$A$1:$I$89,3,0)*VLOOKUP('Données projet'!$B$14,Paramètres!$A$1:$I$89,5,0)</f>
        <v>-13.171703999999989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63.94726564348116</v>
      </c>
      <c r="DU79" s="59">
        <f t="shared" si="98"/>
        <v>280.8165028422905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20.517047335565223</v>
      </c>
      <c r="EB79" s="21">
        <f>EXP(-LN(2)/25)*EB78+(1-EXP(-LN(2)/25))/(LN(2)/25)*Calculateur!DW79*Calculateur!DY79*VLOOKUP('Données projet'!$B$14,Paramètres!$A$1:$I$89,3,0)*0.475*44/12</f>
        <v>1.815026180499514</v>
      </c>
      <c r="EC79" s="21">
        <f>EXP(-LN(2)/2)*EC78+(1-EXP(-LN(2)/2))/(LN(2)/2)*DW79*DZ79*VLOOKUP('Données projet'!$B$14,Paramètres!$A$1:$I$89,3,0)*0.475*44/12</f>
        <v>1.1583281714626855E-8</v>
      </c>
      <c r="ED79" s="22">
        <f t="shared" si="72"/>
        <v>22.332073527648021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6.613999999999999</v>
      </c>
      <c r="N80" s="13">
        <f>IF('Données projet'!$A$36&gt;35,N79+M80-V79,IF(A80&lt;'Données projet'!$A$36,$K$205^A80,IF(A80='Données projet'!$A$36,'Données projet'!$B$36,N79+M80-V79)))</f>
        <v>329.79799999999966</v>
      </c>
      <c r="O80" s="13">
        <f>N80*VLOOKUP('Données projet'!$B$9,Paramètres!$A$1:$I$89,3,0)*VLOOKUP('Données projet'!$B$9,Paramètres!$A$1:$I$89,5,0)</f>
        <v>188.64445599999982</v>
      </c>
      <c r="P80" s="13">
        <f t="shared" si="87"/>
        <v>47.240136548221543</v>
      </c>
      <c r="Q80" s="20">
        <f t="shared" si="54"/>
        <v>410.83233202148546</v>
      </c>
      <c r="R80" s="59">
        <f t="shared" si="55"/>
        <v>704.16566535481877</v>
      </c>
      <c r="S80" s="59">
        <f ca="1">AVERAGE(OFFSET($R$3,0,0,'Données projet'!$E$9+1,1))-AVERAGE(OFFSET($H$3,0,0,'Données projet'!$E$9+1,1))</f>
        <v>294.9631697747962</v>
      </c>
      <c r="T80" s="59">
        <f t="shared" si="88"/>
        <v>202.04924881627716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29.612991180177399</v>
      </c>
      <c r="AA80" s="21">
        <f>EXP(-LN(2)/25)*AA79+(1-EXP(-LN(2)/25))/(LN(2)/25)*Calculateur!V80*Calculateur!X80*VLOOKUP('Données projet'!$B$9,Paramètres!$A$1:$I$89,3,0)*0.475*44/12</f>
        <v>11.490500287673367</v>
      </c>
      <c r="AB80" s="21">
        <f>EXP(-LN(2)/2)*AB79+(1-EXP(-LN(2)/2))/(LN(2)/2)*V80*Y80*VLOOKUP('Données projet'!$B$9,Paramètres!$A$1:$I$89,3,0)*0.475*44/12</f>
        <v>0.5936027055514923</v>
      </c>
      <c r="AC80" s="22">
        <f t="shared" si="57"/>
        <v>41.697094173402256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9.7839999999999971</v>
      </c>
      <c r="AI80" s="13">
        <f>IF('Données projet'!$A$62&gt;35,AI79+AH80-AQ79,IF(A80&lt;'Données projet'!$A$62,$AF$205^A80,IF(A80='Données projet'!$A$62,'Données projet'!$B$62,AI79+AH80-AQ79)))</f>
        <v>490.67799999999971</v>
      </c>
      <c r="AJ80" s="13">
        <f>AI80*VLOOKUP('Données projet'!$B$10,Paramètres!$A$1:$I$89,3,0)*VLOOKUP('Données projet'!$B$10,Paramètres!$A$1:$I$89,5,0)</f>
        <v>293.42544399999986</v>
      </c>
      <c r="AK80" s="13">
        <f t="shared" si="89"/>
        <v>69.796411555705205</v>
      </c>
      <c r="AL80" s="20">
        <f t="shared" si="58"/>
        <v>632.61139842618638</v>
      </c>
      <c r="AM80" s="59">
        <f t="shared" si="59"/>
        <v>925.94473175951975</v>
      </c>
      <c r="AN80" s="59">
        <f ca="1">AVERAGE(OFFSET($AM$3,0,0,'Données projet'!$E$10+1,1))-AVERAGE(OFFSET($H$3,0,0,'Données projet'!$E$10+1,1))</f>
        <v>349.71285006949597</v>
      </c>
      <c r="AO80" s="59">
        <f t="shared" si="90"/>
        <v>258.51550516456842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44.447585526714356</v>
      </c>
      <c r="AV80" s="21">
        <f>EXP(-LN(2)/25)*AV79+(1-EXP(-LN(2)/25))/(LN(2)/25)*Calculateur!AQ80*Calculateur!AS80*VLOOKUP('Données projet'!$B$10,Paramètres!$A$1:$I$89,3,0)*0.475*44/12</f>
        <v>16.043090919315173</v>
      </c>
      <c r="AW80" s="21">
        <f>EXP(-LN(2)/2)*AW79+(1-EXP(-LN(2)/2))/(LN(2)/2)*AQ80*AT80*VLOOKUP('Données projet'!$B$10,Paramètres!$A$1:$I$89,3,0)*0.475*44/12</f>
        <v>0.83944691765268853</v>
      </c>
      <c r="AX80" s="21">
        <f t="shared" si="60"/>
        <v>61.330123363682212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8.0188888888888883</v>
      </c>
      <c r="BD80" s="12">
        <f>IF('Données projet'!$A$88&gt;35,BD79+BC80-BL79,IF(A80&lt;'Données projet'!$A$88,$BA$205^A80,IF(A80='Données projet'!$A$88,'Données projet'!$B$88,BD79+BC80-BL79)))</f>
        <v>227.63777777777807</v>
      </c>
      <c r="BE80" s="13">
        <f>BD80*VLOOKUP('Données projet'!$B$11,Paramètres!$A$1:$I$89,3,0)*VLOOKUP('Données projet'!$B$11,Paramètres!$A$1:$I$89,5,0)</f>
        <v>205.96666133333358</v>
      </c>
      <c r="BF80" s="13">
        <f t="shared" si="91"/>
        <v>51.053207385228809</v>
      </c>
      <c r="BG80" s="20">
        <f t="shared" si="61"/>
        <v>447.64293801816285</v>
      </c>
      <c r="BH80" s="59">
        <f t="shared" si="62"/>
        <v>740.97627135149617</v>
      </c>
      <c r="BI80" s="59">
        <f ca="1">AVERAGE(OFFSET($BH$3,0,0,'Données projet'!$E$11+1,1))-AVERAGE(OFFSET($H$3,0,0,'Données projet'!$E$11+1,1))</f>
        <v>490.06222615476065</v>
      </c>
      <c r="BJ80" s="59">
        <f t="shared" si="92"/>
        <v>310.43914804089906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17.277669148002996</v>
      </c>
      <c r="BQ80" s="21">
        <f>EXP(-LN(2)/25)*BQ79+(1-EXP(-LN(2)/25))/(LN(2)/25)*Calculateur!BL80*Calculateur!BN80*VLOOKUP('Données projet'!$B$11,Paramètres!$A$1:$I$89,3,0)*0.475*44/12</f>
        <v>27.775969471686686</v>
      </c>
      <c r="BR80" s="21">
        <f>EXP(-LN(2)/2)*BR79+(1-EXP(-LN(2)/2))/(LN(2)/2)*BL80*BO80*VLOOKUP('Données projet'!$B$11,Paramètres!$A$1:$I$89,3,0)*0.475*44/12</f>
        <v>1.9756314068678484</v>
      </c>
      <c r="BS80" s="22">
        <f t="shared" si="63"/>
        <v>47.029270026557526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195.87734400000005</v>
      </c>
      <c r="CA80" s="13">
        <f t="shared" si="93"/>
        <v>48.8370373231038</v>
      </c>
      <c r="CB80" s="20">
        <f t="shared" si="64"/>
        <v>426.21088080440586</v>
      </c>
      <c r="CC80" s="59">
        <f t="shared" si="65"/>
        <v>719.54421413773912</v>
      </c>
      <c r="CD80" s="59">
        <f ca="1">AVERAGE(OFFSET($CC$3,0,0,'Données projet'!$E$12+1,1))-AVERAGE(OFFSET($H$3,0,0,'Données projet'!$E$12+1,1))</f>
        <v>510.71380643466227</v>
      </c>
      <c r="CE80" s="59">
        <f t="shared" si="94"/>
        <v>252.40654099948841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0.1075</v>
      </c>
      <c r="CJ80" s="16">
        <f>IF(ISNA(VLOOKUP(A80,'Données projet'!$A$113:$I$133,7,0)),0%,VLOOKUP(A80,'Données projet'!$A$113:$I$133,7,0))</f>
        <v>0.25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12.966190969115489</v>
      </c>
      <c r="CM80" s="21">
        <f>EXP(-LN(2)/2)*CM79+(1-EXP(-LN(2)/2))/(LN(2)/2)*CG80*CJ80*VLOOKUP('Données projet'!$B$12,Paramètres!$A$1:$I$89,3,0)*0.475*44/12</f>
        <v>8.3934536080390156</v>
      </c>
      <c r="CN80" s="22">
        <f t="shared" si="66"/>
        <v>21.359644577154505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9.4837500000000006</v>
      </c>
      <c r="CT80" s="12">
        <f>IF('Données projet'!$A$140&gt;35,CT79+CS80-DB79,IF(A80&lt;'Données projet'!$A$140,$CQ$205^A80,IF(A80='Données projet'!$A$140,'Données projet'!$B$140,CT79+CS80-DB79)))</f>
        <v>249.20749999999998</v>
      </c>
      <c r="CU80" s="17">
        <f>CT80*VLOOKUP('Données projet'!$B$13,Paramètres!$A$1:$I$89,3,0)*VLOOKUP('Données projet'!$B$13,Paramètres!$A$1:$I$89,5,0)</f>
        <v>268.24695299999996</v>
      </c>
      <c r="CV80" s="13">
        <f t="shared" si="95"/>
        <v>64.477087543228862</v>
      </c>
      <c r="CW80" s="20">
        <f t="shared" si="67"/>
        <v>579.49437061279025</v>
      </c>
      <c r="CX80" s="59">
        <f t="shared" si="68"/>
        <v>872.82770394612362</v>
      </c>
      <c r="CY80" s="59">
        <f ca="1">AVERAGE(OFFSET($CX$3,0,0,'Données projet'!$E$13+1,1))-AVERAGE(OFFSET($H$3,0,0,'Données projet'!$E$13+1,1))</f>
        <v>502.65044103360322</v>
      </c>
      <c r="CZ80" s="59">
        <f t="shared" si="96"/>
        <v>321.65762891855167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23.830760745372409</v>
      </c>
      <c r="DG80" s="21">
        <f>EXP(-LN(2)/25)*DG79+(1-EXP(-LN(2)/25))/(LN(2)/25)*Calculateur!DB80*Calculateur!DD80*VLOOKUP('Données projet'!$B$13,Paramètres!$A$1:$I$89,3,0)*0.475*44/12</f>
        <v>29.23024061375563</v>
      </c>
      <c r="DH80" s="21">
        <f>EXP(-LN(2)/2)*DH79+(1-EXP(-LN(2)/2))/(LN(2)/2)*DB80*DE80*VLOOKUP('Données projet'!$B$13,Paramètres!$A$1:$I$89,3,0)*0.475*44/12</f>
        <v>2.3542380132297533</v>
      </c>
      <c r="DI80" s="22">
        <f t="shared" si="69"/>
        <v>55.415239372357796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-25.899999999999977</v>
      </c>
      <c r="DP80" s="17">
        <f>DO80*VLOOKUP('Données projet'!$B$14,Paramètres!$A$1:$I$89,3,0)*VLOOKUP('Données projet'!$B$14,Paramètres!$A$1:$I$89,5,0)</f>
        <v>-13.171703999999989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63.94726564348116</v>
      </c>
      <c r="DU80" s="59">
        <f t="shared" si="98"/>
        <v>280.8165028422905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20.114720551477994</v>
      </c>
      <c r="EB80" s="21">
        <f>EXP(-LN(2)/25)*EB79+(1-EXP(-LN(2)/25))/(LN(2)/25)*Calculateur!DW80*Calculateur!DY80*VLOOKUP('Données projet'!$B$14,Paramètres!$A$1:$I$89,3,0)*0.475*44/12</f>
        <v>1.7653941941456763</v>
      </c>
      <c r="EC80" s="21">
        <f>EXP(-LN(2)/2)*EC79+(1-EXP(-LN(2)/2))/(LN(2)/2)*DW80*DZ80*VLOOKUP('Données projet'!$B$14,Paramètres!$A$1:$I$89,3,0)*0.475*44/12</f>
        <v>8.1906170488067885E-9</v>
      </c>
      <c r="ED80" s="22">
        <f t="shared" si="72"/>
        <v>21.88011475381429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6.613999999999999</v>
      </c>
      <c r="N81" s="13">
        <f>IF('Données projet'!$A$36&gt;35,N80+M81-V80,IF(A81&lt;'Données projet'!$A$36,$K$205^A81,IF(A81='Données projet'!$A$36,'Données projet'!$B$36,N80+M81-V80)))</f>
        <v>336.41199999999964</v>
      </c>
      <c r="O81" s="13">
        <f>N81*VLOOKUP('Données projet'!$B$9,Paramètres!$A$1:$I$89,3,0)*VLOOKUP('Données projet'!$B$9,Paramètres!$A$1:$I$89,5,0)</f>
        <v>192.42766399999982</v>
      </c>
      <c r="P81" s="13">
        <f t="shared" si="87"/>
        <v>48.076277654579201</v>
      </c>
      <c r="Q81" s="20">
        <f t="shared" si="54"/>
        <v>418.87769838172511</v>
      </c>
      <c r="R81" s="59">
        <f t="shared" si="55"/>
        <v>712.21103171505843</v>
      </c>
      <c r="S81" s="59">
        <f ca="1">AVERAGE(OFFSET($R$3,0,0,'Données projet'!$E$9+1,1))-AVERAGE(OFFSET($H$3,0,0,'Données projet'!$E$9+1,1))</f>
        <v>294.9631697747962</v>
      </c>
      <c r="T81" s="59">
        <f t="shared" si="88"/>
        <v>202.04924881627716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29.032298485275252</v>
      </c>
      <c r="AA81" s="21">
        <f>EXP(-LN(2)/25)*AA80+(1-EXP(-LN(2)/25))/(LN(2)/25)*Calculateur!V81*Calculateur!X81*VLOOKUP('Données projet'!$B$9,Paramètres!$A$1:$I$89,3,0)*0.475*44/12</f>
        <v>11.176291953047791</v>
      </c>
      <c r="AB81" s="21">
        <f>EXP(-LN(2)/2)*AB80+(1-EXP(-LN(2)/2))/(LN(2)/2)*V81*Y81*VLOOKUP('Données projet'!$B$9,Paramètres!$A$1:$I$89,3,0)*0.475*44/12</f>
        <v>0.41974049842614169</v>
      </c>
      <c r="AC81" s="22">
        <f t="shared" si="57"/>
        <v>40.628330936749187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9.7839999999999971</v>
      </c>
      <c r="AI81" s="13">
        <f>IF('Données projet'!$A$62&gt;35,AI80+AH81-AQ80,IF(A81&lt;'Données projet'!$A$62,$AF$205^A81,IF(A81='Données projet'!$A$62,'Données projet'!$B$62,AI80+AH81-AQ80)))</f>
        <v>500.4619999999997</v>
      </c>
      <c r="AJ81" s="13">
        <f>AI81*VLOOKUP('Données projet'!$B$10,Paramètres!$A$1:$I$89,3,0)*VLOOKUP('Données projet'!$B$10,Paramètres!$A$1:$I$89,5,0)</f>
        <v>299.27627599999983</v>
      </c>
      <c r="AK81" s="13">
        <f t="shared" si="89"/>
        <v>71.024721805685132</v>
      </c>
      <c r="AL81" s="20">
        <f t="shared" si="58"/>
        <v>644.94090451156796</v>
      </c>
      <c r="AM81" s="59">
        <f t="shared" si="59"/>
        <v>938.27423784490134</v>
      </c>
      <c r="AN81" s="59">
        <f ca="1">AVERAGE(OFFSET($AM$3,0,0,'Données projet'!$E$10+1,1))-AVERAGE(OFFSET($H$3,0,0,'Données projet'!$E$10+1,1))</f>
        <v>349.71285006949597</v>
      </c>
      <c r="AO81" s="59">
        <f t="shared" si="90"/>
        <v>258.51550516456842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43.57599548488573</v>
      </c>
      <c r="AV81" s="21">
        <f>EXP(-LN(2)/25)*AV80+(1-EXP(-LN(2)/25))/(LN(2)/25)*Calculateur!AQ81*Calculateur!AS81*VLOOKUP('Données projet'!$B$10,Paramètres!$A$1:$I$89,3,0)*0.475*44/12</f>
        <v>15.604391754457016</v>
      </c>
      <c r="AW81" s="21">
        <f>EXP(-LN(2)/2)*AW80+(1-EXP(-LN(2)/2))/(LN(2)/2)*AQ81*AT81*VLOOKUP('Données projet'!$B$10,Paramètres!$A$1:$I$89,3,0)*0.475*44/12</f>
        <v>0.59357860791836148</v>
      </c>
      <c r="AX81" s="21">
        <f t="shared" si="60"/>
        <v>59.77396584726111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8.0188888888888883</v>
      </c>
      <c r="BD81" s="12">
        <f>IF('Données projet'!$A$88&gt;35,BD80+BC81-BL80,IF(A81&lt;'Données projet'!$A$88,$BA$205^A81,IF(A81='Données projet'!$A$88,'Données projet'!$B$88,BD80+BC81-BL80)))</f>
        <v>235.65666666666695</v>
      </c>
      <c r="BE81" s="13">
        <f>BD81*VLOOKUP('Données projet'!$B$11,Paramètres!$A$1:$I$89,3,0)*VLOOKUP('Données projet'!$B$11,Paramètres!$A$1:$I$89,5,0)</f>
        <v>213.22215200000025</v>
      </c>
      <c r="BF81" s="13">
        <f t="shared" si="91"/>
        <v>52.639081762048846</v>
      </c>
      <c r="BG81" s="20">
        <f t="shared" si="61"/>
        <v>463.04164880223556</v>
      </c>
      <c r="BH81" s="59">
        <f t="shared" si="62"/>
        <v>756.37498213556887</v>
      </c>
      <c r="BI81" s="59">
        <f ca="1">AVERAGE(OFFSET($BH$3,0,0,'Données projet'!$E$11+1,1))-AVERAGE(OFFSET($H$3,0,0,'Données projet'!$E$11+1,1))</f>
        <v>490.06222615476065</v>
      </c>
      <c r="BJ81" s="59">
        <f t="shared" si="92"/>
        <v>310.43914804089906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16.938864594348264</v>
      </c>
      <c r="BQ81" s="21">
        <f>EXP(-LN(2)/25)*BQ80+(1-EXP(-LN(2)/25))/(LN(2)/25)*Calculateur!BL81*Calculateur!BN81*VLOOKUP('Données projet'!$B$11,Paramètres!$A$1:$I$89,3,0)*0.475*44/12</f>
        <v>27.016434125808662</v>
      </c>
      <c r="BR81" s="21">
        <f>EXP(-LN(2)/2)*BR80+(1-EXP(-LN(2)/2))/(LN(2)/2)*BL81*BO81*VLOOKUP('Données projet'!$B$11,Paramètres!$A$1:$I$89,3,0)*0.475*44/12</f>
        <v>1.3969823649213748</v>
      </c>
      <c r="BS81" s="22">
        <f t="shared" si="63"/>
        <v>45.352281085078303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169.5641306666667</v>
      </c>
      <c r="CA81" s="13">
        <f t="shared" si="93"/>
        <v>42.992388773200261</v>
      </c>
      <c r="CB81" s="20">
        <f t="shared" si="64"/>
        <v>370.20260469110161</v>
      </c>
      <c r="CC81" s="59">
        <f t="shared" si="65"/>
        <v>663.53593802443493</v>
      </c>
      <c r="CD81" s="59">
        <f ca="1">AVERAGE(OFFSET($CC$3,0,0,'Données projet'!$E$12+1,1))-AVERAGE(OFFSET($H$3,0,0,'Données projet'!$E$12+1,1))</f>
        <v>510.71380643466227</v>
      </c>
      <c r="CE81" s="59">
        <f t="shared" si="94"/>
        <v>252.40654099948841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12.611629795202678</v>
      </c>
      <c r="CM81" s="21">
        <f>EXP(-LN(2)/2)*CM80+(1-EXP(-LN(2)/2))/(LN(2)/2)*CG81*CJ81*VLOOKUP('Données projet'!$B$12,Paramètres!$A$1:$I$89,3,0)*0.475*44/12</f>
        <v>5.9350679638190824</v>
      </c>
      <c r="CN81" s="22">
        <f t="shared" si="66"/>
        <v>18.546697759021761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9.4837500000000006</v>
      </c>
      <c r="CT81" s="12">
        <f>IF('Données projet'!$A$140&gt;35,CT80+CS81-DB80,IF(A81&lt;'Données projet'!$A$140,$CQ$205^A81,IF(A81='Données projet'!$A$140,'Données projet'!$B$140,CT80+CS81-DB80)))</f>
        <v>258.69124999999997</v>
      </c>
      <c r="CU81" s="17">
        <f>CT81*VLOOKUP('Données projet'!$B$13,Paramètres!$A$1:$I$89,3,0)*VLOOKUP('Données projet'!$B$13,Paramètres!$A$1:$I$89,5,0)</f>
        <v>278.45526149999995</v>
      </c>
      <c r="CV81" s="13">
        <f t="shared" si="95"/>
        <v>66.640456196836567</v>
      </c>
      <c r="CW81" s="20">
        <f t="shared" si="67"/>
        <v>601.0417083219902</v>
      </c>
      <c r="CX81" s="59">
        <f t="shared" si="68"/>
        <v>894.37504165532346</v>
      </c>
      <c r="CY81" s="59">
        <f ca="1">AVERAGE(OFFSET($CX$3,0,0,'Données projet'!$E$13+1,1))-AVERAGE(OFFSET($H$3,0,0,'Données projet'!$E$13+1,1))</f>
        <v>502.65044103360322</v>
      </c>
      <c r="CZ81" s="59">
        <f t="shared" si="96"/>
        <v>321.65762891855167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23.363454062484465</v>
      </c>
      <c r="DG81" s="21">
        <f>EXP(-LN(2)/25)*DG80+(1-EXP(-LN(2)/25))/(LN(2)/25)*Calculateur!DB81*Calculateur!DD81*VLOOKUP('Données projet'!$B$13,Paramètres!$A$1:$I$89,3,0)*0.475*44/12</f>
        <v>28.430938147020935</v>
      </c>
      <c r="DH81" s="21">
        <f>EXP(-LN(2)/2)*DH80+(1-EXP(-LN(2)/2))/(LN(2)/2)*DB81*DE81*VLOOKUP('Données projet'!$B$13,Paramètres!$A$1:$I$89,3,0)*0.475*44/12</f>
        <v>1.6646976636819037</v>
      </c>
      <c r="DI81" s="22">
        <f t="shared" si="69"/>
        <v>53.45908987318731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-25.899999999999977</v>
      </c>
      <c r="DP81" s="17">
        <f>DO81*VLOOKUP('Données projet'!$B$14,Paramètres!$A$1:$I$89,3,0)*VLOOKUP('Données projet'!$B$14,Paramètres!$A$1:$I$89,5,0)</f>
        <v>-13.171703999999989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63.94726564348116</v>
      </c>
      <c r="DU81" s="59">
        <f t="shared" si="98"/>
        <v>280.8165028422905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19.720283150231605</v>
      </c>
      <c r="EB81" s="21">
        <f>EXP(-LN(2)/25)*EB80+(1-EXP(-LN(2)/25))/(LN(2)/25)*Calculateur!DW81*Calculateur!DY81*VLOOKUP('Données projet'!$B$14,Paramètres!$A$1:$I$89,3,0)*0.475*44/12</f>
        <v>1.7171193970687171</v>
      </c>
      <c r="EC81" s="21">
        <f>EXP(-LN(2)/2)*EC80+(1-EXP(-LN(2)/2))/(LN(2)/2)*DW81*DZ81*VLOOKUP('Données projet'!$B$14,Paramètres!$A$1:$I$89,3,0)*0.475*44/12</f>
        <v>5.7916408573134276E-9</v>
      </c>
      <c r="ED81" s="22">
        <f t="shared" si="72"/>
        <v>21.437402553091964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6.613999999999999</v>
      </c>
      <c r="N82" s="13">
        <f>IF('Données projet'!$A$36&gt;35,N81+M82-V81,IF(A82&lt;'Données projet'!$A$36,$K$205^A82,IF(A82='Données projet'!$A$36,'Données projet'!$B$36,N81+M82-V81)))</f>
        <v>343.02599999999961</v>
      </c>
      <c r="O82" s="13">
        <f>N82*VLOOKUP('Données projet'!$B$9,Paramètres!$A$1:$I$89,3,0)*VLOOKUP('Données projet'!$B$9,Paramètres!$A$1:$I$89,5,0)</f>
        <v>196.2108719999998</v>
      </c>
      <c r="P82" s="13">
        <f t="shared" si="87"/>
        <v>48.910507332678151</v>
      </c>
      <c r="Q82" s="20">
        <f t="shared" si="54"/>
        <v>426.91973567108079</v>
      </c>
      <c r="R82" s="59">
        <f t="shared" si="55"/>
        <v>720.2530690044141</v>
      </c>
      <c r="S82" s="59">
        <f ca="1">AVERAGE(OFFSET($R$3,0,0,'Données projet'!$E$9+1,1))-AVERAGE(OFFSET($H$3,0,0,'Données projet'!$E$9+1,1))</f>
        <v>294.9631697747962</v>
      </c>
      <c r="T82" s="59">
        <f t="shared" si="88"/>
        <v>202.04924881627716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28.462992819932566</v>
      </c>
      <c r="AA82" s="21">
        <f>EXP(-LN(2)/25)*AA81+(1-EXP(-LN(2)/25))/(LN(2)/25)*Calculateur!V82*Calculateur!X82*VLOOKUP('Données projet'!$B$9,Paramètres!$A$1:$I$89,3,0)*0.475*44/12</f>
        <v>10.870675661856049</v>
      </c>
      <c r="AB82" s="21">
        <f>EXP(-LN(2)/2)*AB81+(1-EXP(-LN(2)/2))/(LN(2)/2)*V82*Y82*VLOOKUP('Données projet'!$B$9,Paramètres!$A$1:$I$89,3,0)*0.475*44/12</f>
        <v>0.29680135277574621</v>
      </c>
      <c r="AC82" s="22">
        <f t="shared" si="57"/>
        <v>39.630469834564359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9.7839999999999971</v>
      </c>
      <c r="AI82" s="13">
        <f>IF('Données projet'!$A$62&gt;35,AI81+AH82-AQ81,IF(A82&lt;'Données projet'!$A$62,$AF$205^A82,IF(A82='Données projet'!$A$62,'Données projet'!$B$62,AI81+AH82-AQ81)))</f>
        <v>510.2459999999997</v>
      </c>
      <c r="AJ82" s="13">
        <f>AI82*VLOOKUP('Données projet'!$B$10,Paramètres!$A$1:$I$89,3,0)*VLOOKUP('Données projet'!$B$10,Paramètres!$A$1:$I$89,5,0)</f>
        <v>305.12710799999985</v>
      </c>
      <c r="AK82" s="13">
        <f t="shared" si="89"/>
        <v>72.25023988738603</v>
      </c>
      <c r="AL82" s="20">
        <f t="shared" si="58"/>
        <v>657.26554757053043</v>
      </c>
      <c r="AM82" s="59">
        <f t="shared" si="59"/>
        <v>950.5988809038638</v>
      </c>
      <c r="AN82" s="59">
        <f ca="1">AVERAGE(OFFSET($AM$3,0,0,'Données projet'!$E$10+1,1))-AVERAGE(OFFSET($H$3,0,0,'Données projet'!$E$10+1,1))</f>
        <v>349.71285006949597</v>
      </c>
      <c r="AO82" s="59">
        <f t="shared" si="90"/>
        <v>258.51550516456842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42.721496792159932</v>
      </c>
      <c r="AV82" s="21">
        <f>EXP(-LN(2)/25)*AV81+(1-EXP(-LN(2)/25))/(LN(2)/25)*Calculateur!AQ82*Calculateur!AS82*VLOOKUP('Données projet'!$B$10,Paramètres!$A$1:$I$89,3,0)*0.475*44/12</f>
        <v>15.17768884133209</v>
      </c>
      <c r="AW82" s="21">
        <f>EXP(-LN(2)/2)*AW81+(1-EXP(-LN(2)/2))/(LN(2)/2)*AQ82*AT82*VLOOKUP('Données projet'!$B$10,Paramètres!$A$1:$I$89,3,0)*0.475*44/12</f>
        <v>0.41972345882634432</v>
      </c>
      <c r="AX82" s="21">
        <f t="shared" si="60"/>
        <v>58.318909092318371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8.0188888888888883</v>
      </c>
      <c r="BD82" s="12">
        <f>IF('Données projet'!$A$88&gt;35,BD81+BC82-BL81,IF(A82&lt;'Données projet'!$A$88,$BA$205^A82,IF(A82='Données projet'!$A$88,'Données projet'!$B$88,BD81+BC82-BL81)))</f>
        <v>243.67555555555583</v>
      </c>
      <c r="BE82" s="13">
        <f>BD82*VLOOKUP('Données projet'!$B$11,Paramètres!$A$1:$I$89,3,0)*VLOOKUP('Données projet'!$B$11,Paramètres!$A$1:$I$89,5,0)</f>
        <v>220.4776426666669</v>
      </c>
      <c r="BF82" s="13">
        <f t="shared" si="91"/>
        <v>54.21868588718452</v>
      </c>
      <c r="BG82" s="20">
        <f t="shared" si="61"/>
        <v>478.42943889795788</v>
      </c>
      <c r="BH82" s="59">
        <f t="shared" si="62"/>
        <v>771.76277223129114</v>
      </c>
      <c r="BI82" s="59">
        <f ca="1">AVERAGE(OFFSET($BH$3,0,0,'Données projet'!$E$11+1,1))-AVERAGE(OFFSET($H$3,0,0,'Données projet'!$E$11+1,1))</f>
        <v>490.06222615476065</v>
      </c>
      <c r="BJ82" s="59">
        <f t="shared" si="92"/>
        <v>310.43914804089906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16.606703791340326</v>
      </c>
      <c r="BQ82" s="21">
        <f>EXP(-LN(2)/25)*BQ81+(1-EXP(-LN(2)/25))/(LN(2)/25)*Calculateur!BL82*Calculateur!BN82*VLOOKUP('Données projet'!$B$11,Paramètres!$A$1:$I$89,3,0)*0.475*44/12</f>
        <v>26.277668313905899</v>
      </c>
      <c r="BR82" s="21">
        <f>EXP(-LN(2)/2)*BR81+(1-EXP(-LN(2)/2))/(LN(2)/2)*BL82*BO82*VLOOKUP('Données projet'!$B$11,Paramètres!$A$1:$I$89,3,0)*0.475*44/12</f>
        <v>0.98781570343392433</v>
      </c>
      <c r="BS82" s="22">
        <f t="shared" si="63"/>
        <v>43.872187808680152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176.08735733333333</v>
      </c>
      <c r="CA82" s="13">
        <f t="shared" si="93"/>
        <v>44.450585000092076</v>
      </c>
      <c r="CB82" s="20">
        <f t="shared" si="64"/>
        <v>384.10358289738252</v>
      </c>
      <c r="CC82" s="59">
        <f t="shared" si="65"/>
        <v>677.43691623071584</v>
      </c>
      <c r="CD82" s="59">
        <f ca="1">AVERAGE(OFFSET($CC$3,0,0,'Données projet'!$E$12+1,1))-AVERAGE(OFFSET($H$3,0,0,'Données projet'!$E$12+1,1))</f>
        <v>510.71380643466227</v>
      </c>
      <c r="CE82" s="59">
        <f t="shared" si="94"/>
        <v>252.40654099948841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12.266764115236073</v>
      </c>
      <c r="CM82" s="21">
        <f>EXP(-LN(2)/2)*CM81+(1-EXP(-LN(2)/2))/(LN(2)/2)*CG82*CJ82*VLOOKUP('Données projet'!$B$12,Paramètres!$A$1:$I$89,3,0)*0.475*44/12</f>
        <v>4.1967268040195087</v>
      </c>
      <c r="CN82" s="22">
        <f t="shared" si="66"/>
        <v>16.463490919255584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9.4837500000000006</v>
      </c>
      <c r="CT82" s="12">
        <f>IF('Données projet'!$A$140&gt;35,CT81+CS82-DB81,IF(A82&lt;'Données projet'!$A$140,$CQ$205^A82,IF(A82='Données projet'!$A$140,'Données projet'!$B$140,CT81+CS82-DB81)))</f>
        <v>268.17499999999995</v>
      </c>
      <c r="CU82" s="17">
        <f>CT82*VLOOKUP('Données projet'!$B$13,Paramètres!$A$1:$I$89,3,0)*VLOOKUP('Données projet'!$B$13,Paramètres!$A$1:$I$89,5,0)</f>
        <v>288.66356999999994</v>
      </c>
      <c r="CV82" s="13">
        <f t="shared" si="95"/>
        <v>68.794610635457303</v>
      </c>
      <c r="CW82" s="20">
        <f t="shared" si="67"/>
        <v>622.57299794008793</v>
      </c>
      <c r="CX82" s="59">
        <f t="shared" si="68"/>
        <v>915.9063312734213</v>
      </c>
      <c r="CY82" s="59">
        <f ca="1">AVERAGE(OFFSET($CX$3,0,0,'Données projet'!$E$13+1,1))-AVERAGE(OFFSET($H$3,0,0,'Données projet'!$E$13+1,1))</f>
        <v>502.65044103360322</v>
      </c>
      <c r="CZ82" s="59">
        <f t="shared" si="96"/>
        <v>321.65762891855167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22.905310978619021</v>
      </c>
      <c r="DG82" s="21">
        <f>EXP(-LN(2)/25)*DG81+(1-EXP(-LN(2)/25))/(LN(2)/25)*Calculateur!DB82*Calculateur!DD82*VLOOKUP('Données projet'!$B$13,Paramètres!$A$1:$I$89,3,0)*0.475*44/12</f>
        <v>27.653492648272589</v>
      </c>
      <c r="DH82" s="21">
        <f>EXP(-LN(2)/2)*DH81+(1-EXP(-LN(2)/2))/(LN(2)/2)*DB82*DE82*VLOOKUP('Données projet'!$B$13,Paramètres!$A$1:$I$89,3,0)*0.475*44/12</f>
        <v>1.1771190066148769</v>
      </c>
      <c r="DI82" s="22">
        <f t="shared" si="69"/>
        <v>51.73592263350649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-25.899999999999977</v>
      </c>
      <c r="DP82" s="17">
        <f>DO82*VLOOKUP('Données projet'!$B$14,Paramètres!$A$1:$I$89,3,0)*VLOOKUP('Données projet'!$B$14,Paramètres!$A$1:$I$89,5,0)</f>
        <v>-13.171703999999989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63.94726564348116</v>
      </c>
      <c r="DU82" s="59">
        <f t="shared" si="98"/>
        <v>280.8165028422905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19.333580425840601</v>
      </c>
      <c r="EB82" s="21">
        <f>EXP(-LN(2)/25)*EB81+(1-EXP(-LN(2)/25))/(LN(2)/25)*Calculateur!DW82*Calculateur!DY82*VLOOKUP('Données projet'!$B$14,Paramètres!$A$1:$I$89,3,0)*0.475*44/12</f>
        <v>1.6701646768564884</v>
      </c>
      <c r="EC82" s="21">
        <f>EXP(-LN(2)/2)*EC81+(1-EXP(-LN(2)/2))/(LN(2)/2)*DW82*DZ82*VLOOKUP('Données projet'!$B$14,Paramètres!$A$1:$I$89,3,0)*0.475*44/12</f>
        <v>4.0953085244033943E-9</v>
      </c>
      <c r="ED82" s="22">
        <f t="shared" si="72"/>
        <v>21.003745106792397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349.64</v>
      </c>
      <c r="L83" s="12">
        <f>VLOOKUP(A83,'Données projet'!$A$35:$I$55,9,0)</f>
        <v>6.613999999999999</v>
      </c>
      <c r="M83" s="12">
        <f t="array" ref="M83">INDEX(L:L,MIN(IF(ISNUMBER(L83:L279),ROW(L83:L279),"")))</f>
        <v>6.613999999999999</v>
      </c>
      <c r="N83" s="13">
        <f>IF('Données projet'!$A$36&gt;35,N82+M83-V82,IF(A83&lt;'Données projet'!$A$36,$K$205^A83,IF(A83='Données projet'!$A$36,'Données projet'!$B$36,N82+M83-V82)))</f>
        <v>349.63999999999959</v>
      </c>
      <c r="O83" s="13">
        <f>N83*VLOOKUP('Données projet'!$B$9,Paramètres!$A$1:$I$89,3,0)*VLOOKUP('Données projet'!$B$9,Paramètres!$A$1:$I$89,5,0)</f>
        <v>199.9940799999998</v>
      </c>
      <c r="P83" s="13">
        <f t="shared" si="87"/>
        <v>49.74286668632238</v>
      </c>
      <c r="Q83" s="20">
        <f t="shared" si="54"/>
        <v>434.95851547867778</v>
      </c>
      <c r="R83" s="59">
        <f t="shared" si="55"/>
        <v>728.29184881201104</v>
      </c>
      <c r="S83" s="59">
        <f ca="1">AVERAGE(OFFSET($R$3,0,0,'Données projet'!$E$9+1,1))-AVERAGE(OFFSET($H$3,0,0,'Données projet'!$E$9+1,1))</f>
        <v>294.9631697747962</v>
      </c>
      <c r="T83" s="59">
        <f t="shared" si="88"/>
        <v>202.04924881627716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40.31</v>
      </c>
      <c r="W83" s="16">
        <f>IF(ISNA(VLOOKUP(A83,'Données projet'!$A$35:$I$55,5,0)),0%,VLOOKUP(A83,'Données projet'!$A$35:$I$55,5,0)*VLOOKUP('Données projet'!$B$9,Paramètres!$A$1:$I$89,7,0))</f>
        <v>0.27</v>
      </c>
      <c r="X83" s="16">
        <f>IF(ISNA(VLOOKUP(A83,'Données projet'!$A$35:$I$55,6,0)),0%,VLOOKUP(A83,'Données projet'!$A$35:$I$55,6,0)*VLOOKUP('Données projet'!$B$9,Paramètres!$A$1:$I$89,7,0))</f>
        <v>9.0000000000000011E-2</v>
      </c>
      <c r="Y83" s="16">
        <f>IF(ISNA(VLOOKUP(A83,'Données projet'!$A$35:$I$55,7,0)),0%,VLOOKUP(A83,'Données projet'!$A$35:$I$55,7,0))</f>
        <v>0.2</v>
      </c>
      <c r="Z83" s="21">
        <f>EXP(-LN(2)/35)*Z82+(1-EXP(-LN(2)/35))/(LN(2)/35)*V83*W83*VLOOKUP('Données projet'!$B$9,Paramètres!$A$1:$I$89,3,0)*0.475*44/12</f>
        <v>36.163346601862791</v>
      </c>
      <c r="AA83" s="21">
        <f>EXP(-LN(2)/25)*AA82+(1-EXP(-LN(2)/25))/(LN(2)/25)*Calculateur!V83*Calculateur!X83*VLOOKUP('Données projet'!$B$9,Paramètres!$A$1:$I$89,3,0)*0.475*44/12</f>
        <v>13.315409419576019</v>
      </c>
      <c r="AB83" s="21">
        <f>EXP(-LN(2)/2)*AB82+(1-EXP(-LN(2)/2))/(LN(2)/2)*V83*Y83*VLOOKUP('Données projet'!$B$9,Paramètres!$A$1:$I$89,3,0)*0.475*44/12</f>
        <v>5.431118728893658</v>
      </c>
      <c r="AC83" s="22">
        <f t="shared" si="57"/>
        <v>54.90987475033247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520.03</v>
      </c>
      <c r="AG83" s="12">
        <f>VLOOKUP(A83,'Données projet'!$A$61:$I$81,9,0)</f>
        <v>9.7839999999999971</v>
      </c>
      <c r="AH83" s="12">
        <f t="array" ref="AH83">INDEX(AG:AG,MIN(IF(ISNUMBER(AG83:AG279),ROW(AG83:AG279),"")))</f>
        <v>9.7839999999999971</v>
      </c>
      <c r="AI83" s="13">
        <f>IF('Données projet'!$A$62&gt;35,AI82+AH83-AQ82,IF(A83&lt;'Données projet'!$A$62,$AF$205^A83,IF(A83='Données projet'!$A$62,'Données projet'!$B$62,AI82+AH83-AQ82)))</f>
        <v>520.02999999999975</v>
      </c>
      <c r="AJ83" s="13">
        <f>AI83*VLOOKUP('Données projet'!$B$10,Paramètres!$A$1:$I$89,3,0)*VLOOKUP('Données projet'!$B$10,Paramètres!$A$1:$I$89,5,0)</f>
        <v>310.97793999999988</v>
      </c>
      <c r="AK83" s="13">
        <f t="shared" si="89"/>
        <v>73.473025513598785</v>
      </c>
      <c r="AL83" s="20">
        <f t="shared" si="58"/>
        <v>669.58543160285092</v>
      </c>
      <c r="AM83" s="59">
        <f t="shared" si="59"/>
        <v>962.91876493618429</v>
      </c>
      <c r="AN83" s="59">
        <f ca="1">AVERAGE(OFFSET($AM$3,0,0,'Données projet'!$E$10+1,1))-AVERAGE(OFFSET($H$3,0,0,'Données projet'!$E$10+1,1))</f>
        <v>349.71285006949597</v>
      </c>
      <c r="AO83" s="59">
        <f t="shared" si="90"/>
        <v>258.51550516456842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520.03</v>
      </c>
      <c r="AR83" s="16">
        <f>IF(ISNA(VLOOKUP(A83,'Données projet'!$A$61:$I$81,5,0)),0%,VLOOKUP(A83,'Données projet'!$A$61:$I$81,5,0)*VLOOKUP('Données projet'!$B$10,Paramètres!$A$1:$I$89,7,0))</f>
        <v>0.27</v>
      </c>
      <c r="AS83" s="16">
        <f>IF(ISNA(VLOOKUP(A83,'Données projet'!$A$61:$I$81,6,0)),0%,VLOOKUP(A83,'Données projet'!$A$61:$I$81,6,0)*VLOOKUP('Données projet'!$B$10,Paramètres!$A$1:$I$89,7,0))</f>
        <v>9.0000000000000011E-2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153.26747033765446</v>
      </c>
      <c r="AV83" s="21">
        <f>EXP(-LN(2)/25)*AV82+(1-EXP(-LN(2)/25))/(LN(2)/25)*Calculateur!AQ83*Calculateur!AS83*VLOOKUP('Données projet'!$B$10,Paramètres!$A$1:$I$89,3,0)*0.475*44/12</f>
        <v>51.744372778297887</v>
      </c>
      <c r="AW83" s="21">
        <f>EXP(-LN(2)/2)*AW82+(1-EXP(-LN(2)/2))/(LN(2)/2)*AQ83*AT83*VLOOKUP('Données projet'!$B$10,Paramètres!$A$1:$I$89,3,0)*0.475*44/12</f>
        <v>70.716642801208678</v>
      </c>
      <c r="AX83" s="21">
        <f t="shared" si="60"/>
        <v>275.72848591716104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8.0188888888888883</v>
      </c>
      <c r="BD83" s="12">
        <f>IF('Données projet'!$A$88&gt;35,BD82+BC83-BL82,IF(A83&lt;'Données projet'!$A$88,$BA$205^A83,IF(A83='Données projet'!$A$88,'Données projet'!$B$88,BD82+BC83-BL82)))</f>
        <v>251.69444444444471</v>
      </c>
      <c r="BE83" s="13">
        <f>BD83*VLOOKUP('Données projet'!$B$11,Paramètres!$A$1:$I$89,3,0)*VLOOKUP('Données projet'!$B$11,Paramètres!$A$1:$I$89,5,0)</f>
        <v>227.73313333333357</v>
      </c>
      <c r="BF83" s="13">
        <f t="shared" si="91"/>
        <v>55.792249764284776</v>
      </c>
      <c r="BG83" s="20">
        <f t="shared" si="61"/>
        <v>493.80670889501863</v>
      </c>
      <c r="BH83" s="59">
        <f t="shared" si="62"/>
        <v>787.14004222835194</v>
      </c>
      <c r="BI83" s="59">
        <f ca="1">AVERAGE(OFFSET($BH$3,0,0,'Données projet'!$E$11+1,1))-AVERAGE(OFFSET($H$3,0,0,'Données projet'!$E$11+1,1))</f>
        <v>490.06222615476065</v>
      </c>
      <c r="BJ83" s="59">
        <f t="shared" si="92"/>
        <v>310.43914804089906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16.281056459081292</v>
      </c>
      <c r="BQ83" s="21">
        <f>EXP(-LN(2)/25)*BQ82+(1-EXP(-LN(2)/25))/(LN(2)/25)*Calculateur!BL83*Calculateur!BN83*VLOOKUP('Données projet'!$B$11,Paramètres!$A$1:$I$89,3,0)*0.475*44/12</f>
        <v>25.559104091979624</v>
      </c>
      <c r="BR83" s="21">
        <f>EXP(-LN(2)/2)*BR82+(1-EXP(-LN(2)/2))/(LN(2)/2)*BL83*BO83*VLOOKUP('Données projet'!$B$11,Paramètres!$A$1:$I$89,3,0)*0.475*44/12</f>
        <v>0.69849118246068753</v>
      </c>
      <c r="BS83" s="22">
        <f t="shared" si="63"/>
        <v>42.538651733521604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182.61058400000002</v>
      </c>
      <c r="CA83" s="13">
        <f t="shared" si="93"/>
        <v>45.9025053826808</v>
      </c>
      <c r="CB83" s="20">
        <f t="shared" si="64"/>
        <v>397.99363067483574</v>
      </c>
      <c r="CC83" s="59">
        <f t="shared" si="65"/>
        <v>691.32696400816906</v>
      </c>
      <c r="CD83" s="59">
        <f ca="1">AVERAGE(OFFSET($CC$3,0,0,'Données projet'!$E$12+1,1))-AVERAGE(OFFSET($H$3,0,0,'Données projet'!$E$12+1,1))</f>
        <v>510.71380643466227</v>
      </c>
      <c r="CE83" s="59">
        <f t="shared" si="94"/>
        <v>252.40654099948841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11.931328805423854</v>
      </c>
      <c r="CM83" s="21">
        <f>EXP(-LN(2)/2)*CM82+(1-EXP(-LN(2)/2))/(LN(2)/2)*CG83*CJ83*VLOOKUP('Données projet'!$B$12,Paramètres!$A$1:$I$89,3,0)*0.475*44/12</f>
        <v>2.9675339819095417</v>
      </c>
      <c r="CN83" s="22">
        <f t="shared" si="66"/>
        <v>14.898862787333396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9.4837500000000006</v>
      </c>
      <c r="CT83" s="12">
        <f>IF('Données projet'!$A$140&gt;35,CT82+CS83-DB82,IF(A83&lt;'Données projet'!$A$140,$CQ$205^A83,IF(A83='Données projet'!$A$140,'Données projet'!$B$140,CT82+CS83-DB82)))</f>
        <v>277.65874999999994</v>
      </c>
      <c r="CU83" s="17">
        <f>CT83*VLOOKUP('Données projet'!$B$13,Paramètres!$A$1:$I$89,3,0)*VLOOKUP('Données projet'!$B$13,Paramètres!$A$1:$I$89,5,0)</f>
        <v>298.87187849999992</v>
      </c>
      <c r="CV83" s="13">
        <f t="shared" si="95"/>
        <v>70.939914046272307</v>
      </c>
      <c r="CW83" s="20">
        <f t="shared" si="67"/>
        <v>644.08887201809068</v>
      </c>
      <c r="CX83" s="59">
        <f t="shared" si="68"/>
        <v>937.42220535142405</v>
      </c>
      <c r="CY83" s="59">
        <f ca="1">AVERAGE(OFFSET($CX$3,0,0,'Données projet'!$E$13+1,1))-AVERAGE(OFFSET($H$3,0,0,'Données projet'!$E$13+1,1))</f>
        <v>502.65044103360322</v>
      </c>
      <c r="CZ83" s="59">
        <f t="shared" si="96"/>
        <v>321.65762891855167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22.45615180118849</v>
      </c>
      <c r="DG83" s="21">
        <f>EXP(-LN(2)/25)*DG82+(1-EXP(-LN(2)/25))/(LN(2)/25)*Calculateur!DB83*Calculateur!DD83*VLOOKUP('Données projet'!$B$13,Paramètres!$A$1:$I$89,3,0)*0.475*44/12</f>
        <v>26.897306437571601</v>
      </c>
      <c r="DH83" s="21">
        <f>EXP(-LN(2)/2)*DH82+(1-EXP(-LN(2)/2))/(LN(2)/2)*DB83*DE83*VLOOKUP('Données projet'!$B$13,Paramètres!$A$1:$I$89,3,0)*0.475*44/12</f>
        <v>0.83234883184095199</v>
      </c>
      <c r="DI83" s="22">
        <f t="shared" si="69"/>
        <v>50.185807070601044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-25.899999999999977</v>
      </c>
      <c r="DP83" s="17">
        <f>DO83*VLOOKUP('Données projet'!$B$14,Paramètres!$A$1:$I$89,3,0)*VLOOKUP('Données projet'!$B$14,Paramètres!$A$1:$I$89,5,0)</f>
        <v>-13.171703999999989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63.94726564348116</v>
      </c>
      <c r="DU83" s="59">
        <f t="shared" si="98"/>
        <v>280.8165028422905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18.954460706009531</v>
      </c>
      <c r="EB83" s="21">
        <f>EXP(-LN(2)/25)*EB82+(1-EXP(-LN(2)/25))/(LN(2)/25)*Calculateur!DW83*Calculateur!DY83*VLOOKUP('Données projet'!$B$14,Paramètres!$A$1:$I$89,3,0)*0.475*44/12</f>
        <v>1.6244939359377046</v>
      </c>
      <c r="EC83" s="21">
        <f>EXP(-LN(2)/2)*EC82+(1-EXP(-LN(2)/2))/(LN(2)/2)*DW83*DZ83*VLOOKUP('Données projet'!$B$14,Paramètres!$A$1:$I$89,3,0)*0.475*44/12</f>
        <v>2.8958204286567138E-9</v>
      </c>
      <c r="ED83" s="22">
        <f t="shared" si="72"/>
        <v>20.578954644843055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5.7259999999999991</v>
      </c>
      <c r="N84" s="13">
        <f>IF('Données projet'!$A$36&gt;35,N83+M84-V83,IF(A84&lt;'Données projet'!$A$36,$K$205^A84,IF(A84='Données projet'!$A$36,'Données projet'!$B$36,N83+M84-V83)))</f>
        <v>315.05599999999959</v>
      </c>
      <c r="O84" s="13">
        <f>N84*VLOOKUP('Données projet'!$B$9,Paramètres!$A$1:$I$89,3,0)*VLOOKUP('Données projet'!$B$9,Paramètres!$A$1:$I$89,5,0)</f>
        <v>180.21203199999979</v>
      </c>
      <c r="P84" s="13">
        <f t="shared" si="87"/>
        <v>45.369356147468316</v>
      </c>
      <c r="Q84" s="20">
        <f t="shared" si="54"/>
        <v>392.88758435684031</v>
      </c>
      <c r="R84" s="59">
        <f t="shared" si="55"/>
        <v>686.22091769017356</v>
      </c>
      <c r="S84" s="59">
        <f ca="1">AVERAGE(OFFSET($R$3,0,0,'Données projet'!$E$9+1,1))-AVERAGE(OFFSET($H$3,0,0,'Données projet'!$E$9+1,1))</f>
        <v>294.9631697747962</v>
      </c>
      <c r="T84" s="59">
        <f t="shared" si="88"/>
        <v>202.04924881627716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35.454205432463695</v>
      </c>
      <c r="AA84" s="21">
        <f>EXP(-LN(2)/25)*AA83+(1-EXP(-LN(2)/25))/(LN(2)/25)*Calculateur!V84*Calculateur!X84*VLOOKUP('Données projet'!$B$9,Paramètres!$A$1:$I$89,3,0)*0.475*44/12</f>
        <v>12.951298848770763</v>
      </c>
      <c r="AB84" s="21">
        <f>EXP(-LN(2)/2)*AB83+(1-EXP(-LN(2)/2))/(LN(2)/2)*V84*Y84*VLOOKUP('Données projet'!$B$9,Paramètres!$A$1:$I$89,3,0)*0.475*44/12</f>
        <v>3.8403808826299684</v>
      </c>
      <c r="AC84" s="22">
        <f t="shared" si="57"/>
        <v>52.245885163864422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349.71285006949597</v>
      </c>
      <c r="AO84" s="59">
        <f t="shared" si="90"/>
        <v>258.51550516456842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150.26198872825918</v>
      </c>
      <c r="AV84" s="21">
        <f>EXP(-LN(2)/25)*AV83+(1-EXP(-LN(2)/25))/(LN(2)/25)*Calculateur!AQ84*Calculateur!AS84*VLOOKUP('Données projet'!$B$10,Paramètres!$A$1:$I$89,3,0)*0.475*44/12</f>
        <v>50.329420183557033</v>
      </c>
      <c r="AW84" s="21">
        <f>EXP(-LN(2)/2)*AW83+(1-EXP(-LN(2)/2))/(LN(2)/2)*AQ84*AT84*VLOOKUP('Données projet'!$B$10,Paramètres!$A$1:$I$89,3,0)*0.475*44/12</f>
        <v>50.004217667481512</v>
      </c>
      <c r="AX84" s="21">
        <f t="shared" si="60"/>
        <v>250.59562657929774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8.0188888888888883</v>
      </c>
      <c r="BD84" s="12">
        <f>IF('Données projet'!$A$88&gt;35,BD83+BC84-BL83,IF(A84&lt;'Données projet'!$A$88,$BA$205^A84,IF(A84='Données projet'!$A$88,'Données projet'!$B$88,BD83+BC84-BL83)))</f>
        <v>259.71333333333359</v>
      </c>
      <c r="BE84" s="13">
        <f>BD84*VLOOKUP('Données projet'!$B$11,Paramètres!$A$1:$I$89,3,0)*VLOOKUP('Données projet'!$B$11,Paramètres!$A$1:$I$89,5,0)</f>
        <v>234.98862400000024</v>
      </c>
      <c r="BF84" s="13">
        <f t="shared" si="91"/>
        <v>57.359987909148515</v>
      </c>
      <c r="BG84" s="20">
        <f t="shared" si="61"/>
        <v>509.17383240843407</v>
      </c>
      <c r="BH84" s="59">
        <f t="shared" si="62"/>
        <v>802.50716574176738</v>
      </c>
      <c r="BI84" s="59">
        <f ca="1">AVERAGE(OFFSET($BH$3,0,0,'Données projet'!$E$11+1,1))-AVERAGE(OFFSET($H$3,0,0,'Données projet'!$E$11+1,1))</f>
        <v>490.06222615476065</v>
      </c>
      <c r="BJ84" s="59">
        <f t="shared" si="92"/>
        <v>310.43914804089906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15.961794872382596</v>
      </c>
      <c r="BQ84" s="21">
        <f>EXP(-LN(2)/25)*BQ83+(1-EXP(-LN(2)/25))/(LN(2)/25)*Calculateur!BL84*Calculateur!BN84*VLOOKUP('Données projet'!$B$11,Paramètres!$A$1:$I$89,3,0)*0.475*44/12</f>
        <v>24.860189046489573</v>
      </c>
      <c r="BR84" s="21">
        <f>EXP(-LN(2)/2)*BR83+(1-EXP(-LN(2)/2))/(LN(2)/2)*BL84*BO84*VLOOKUP('Données projet'!$B$11,Paramètres!$A$1:$I$89,3,0)*0.475*44/12</f>
        <v>0.49390785171696228</v>
      </c>
      <c r="BS84" s="22">
        <f t="shared" si="63"/>
        <v>41.315891770589133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189.13381066666668</v>
      </c>
      <c r="CA84" s="13">
        <f t="shared" si="93"/>
        <v>47.348399790775353</v>
      </c>
      <c r="CB84" s="20">
        <f t="shared" si="64"/>
        <v>411.87318321337824</v>
      </c>
      <c r="CC84" s="59">
        <f t="shared" si="65"/>
        <v>705.20651654671155</v>
      </c>
      <c r="CD84" s="59">
        <f ca="1">AVERAGE(OFFSET($CC$3,0,0,'Données projet'!$E$12+1,1))-AVERAGE(OFFSET($H$3,0,0,'Données projet'!$E$12+1,1))</f>
        <v>510.71380643466227</v>
      </c>
      <c r="CE84" s="59">
        <f t="shared" si="94"/>
        <v>252.40654099948841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11.605065991798227</v>
      </c>
      <c r="CM84" s="21">
        <f>EXP(-LN(2)/2)*CM83+(1-EXP(-LN(2)/2))/(LN(2)/2)*CG84*CJ84*VLOOKUP('Données projet'!$B$12,Paramètres!$A$1:$I$89,3,0)*0.475*44/12</f>
        <v>2.0983634020097544</v>
      </c>
      <c r="CN84" s="22">
        <f t="shared" si="66"/>
        <v>13.703429393807982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9.4837500000000006</v>
      </c>
      <c r="CT84" s="12">
        <f>IF('Données projet'!$A$140&gt;35,CT83+CS84-DB83,IF(A84&lt;'Données projet'!$A$140,$CQ$205^A84,IF(A84='Données projet'!$A$140,'Données projet'!$B$140,CT83+CS84-DB83)))</f>
        <v>287.14249999999993</v>
      </c>
      <c r="CU84" s="17">
        <f>CT84*VLOOKUP('Données projet'!$B$13,Paramètres!$A$1:$I$89,3,0)*VLOOKUP('Données projet'!$B$13,Paramètres!$A$1:$I$89,5,0)</f>
        <v>309.08018699999991</v>
      </c>
      <c r="CV84" s="13">
        <f t="shared" si="95"/>
        <v>73.076703398977713</v>
      </c>
      <c r="CW84" s="20">
        <f t="shared" si="67"/>
        <v>665.58991744488594</v>
      </c>
      <c r="CX84" s="59">
        <f t="shared" si="68"/>
        <v>958.9232507782192</v>
      </c>
      <c r="CY84" s="59">
        <f ca="1">AVERAGE(OFFSET($CX$3,0,0,'Données projet'!$E$13+1,1))-AVERAGE(OFFSET($H$3,0,0,'Données projet'!$E$13+1,1))</f>
        <v>502.65044103360322</v>
      </c>
      <c r="CZ84" s="59">
        <f t="shared" si="96"/>
        <v>321.65762891855167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22.015800361267324</v>
      </c>
      <c r="DG84" s="21">
        <f>EXP(-LN(2)/25)*DG83+(1-EXP(-LN(2)/25))/(LN(2)/25)*Calculateur!DB84*Calculateur!DD84*VLOOKUP('Données projet'!$B$13,Paramètres!$A$1:$I$89,3,0)*0.475*44/12</f>
        <v>26.161798178568333</v>
      </c>
      <c r="DH84" s="21">
        <f>EXP(-LN(2)/2)*DH83+(1-EXP(-LN(2)/2))/(LN(2)/2)*DB84*DE84*VLOOKUP('Données projet'!$B$13,Paramètres!$A$1:$I$89,3,0)*0.475*44/12</f>
        <v>0.58855950330743856</v>
      </c>
      <c r="DI84" s="22">
        <f t="shared" si="69"/>
        <v>48.766158043143093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-25.899999999999977</v>
      </c>
      <c r="DP84" s="17">
        <f>DO84*VLOOKUP('Données projet'!$B$14,Paramètres!$A$1:$I$89,3,0)*VLOOKUP('Données projet'!$B$14,Paramètres!$A$1:$I$89,5,0)</f>
        <v>-13.171703999999989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63.94726564348116</v>
      </c>
      <c r="DU84" s="59">
        <f t="shared" si="98"/>
        <v>280.8165028422905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18.582775292644154</v>
      </c>
      <c r="EB84" s="21">
        <f>EXP(-LN(2)/25)*EB83+(1-EXP(-LN(2)/25))/(LN(2)/25)*Calculateur!DW84*Calculateur!DY84*VLOOKUP('Données projet'!$B$14,Paramètres!$A$1:$I$89,3,0)*0.475*44/12</f>
        <v>1.5800720638310648</v>
      </c>
      <c r="EC84" s="21">
        <f>EXP(-LN(2)/2)*EC83+(1-EXP(-LN(2)/2))/(LN(2)/2)*DW84*DZ84*VLOOKUP('Données projet'!$B$14,Paramètres!$A$1:$I$89,3,0)*0.475*44/12</f>
        <v>2.0476542622016971E-9</v>
      </c>
      <c r="ED84" s="22">
        <f t="shared" si="72"/>
        <v>20.162847358522871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5.7259999999999991</v>
      </c>
      <c r="N85" s="13">
        <f>IF('Données projet'!$A$36&gt;35,N84+M85-V84,IF(A85&lt;'Données projet'!$A$36,$K$205^A85,IF(A85='Données projet'!$A$36,'Données projet'!$B$36,N84+M85-V84)))</f>
        <v>320.78199999999958</v>
      </c>
      <c r="O85" s="13">
        <f>N85*VLOOKUP('Données projet'!$B$9,Paramètres!$A$1:$I$89,3,0)*VLOOKUP('Données projet'!$B$9,Paramètres!$A$1:$I$89,5,0)</f>
        <v>183.4873039999998</v>
      </c>
      <c r="P85" s="13">
        <f t="shared" si="87"/>
        <v>46.097178469198838</v>
      </c>
      <c r="Q85" s="20">
        <f t="shared" si="54"/>
        <v>399.85964030052088</v>
      </c>
      <c r="R85" s="59">
        <f t="shared" si="55"/>
        <v>693.19297363385419</v>
      </c>
      <c r="S85" s="59">
        <f ca="1">AVERAGE(OFFSET($R$3,0,0,'Données projet'!$E$9+1,1))-AVERAGE(OFFSET($H$3,0,0,'Données projet'!$E$9+1,1))</f>
        <v>294.9631697747962</v>
      </c>
      <c r="T85" s="59">
        <f t="shared" si="88"/>
        <v>202.04924881627716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34.758970088863109</v>
      </c>
      <c r="AA85" s="21">
        <f>EXP(-LN(2)/25)*AA84+(1-EXP(-LN(2)/25))/(LN(2)/25)*Calculateur!V85*Calculateur!X85*VLOOKUP('Données projet'!$B$9,Paramètres!$A$1:$I$89,3,0)*0.475*44/12</f>
        <v>12.597144900671921</v>
      </c>
      <c r="AB85" s="21">
        <f>EXP(-LN(2)/2)*AB84+(1-EXP(-LN(2)/2))/(LN(2)/2)*V85*Y85*VLOOKUP('Données projet'!$B$9,Paramètres!$A$1:$I$89,3,0)*0.475*44/12</f>
        <v>2.7155593644468294</v>
      </c>
      <c r="AC85" s="22">
        <f t="shared" si="57"/>
        <v>50.071674353981862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349.71285006949597</v>
      </c>
      <c r="AO85" s="59">
        <f t="shared" si="90"/>
        <v>258.51550516456842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147.31544278006137</v>
      </c>
      <c r="AV85" s="21">
        <f>EXP(-LN(2)/25)*AV84+(1-EXP(-LN(2)/25))/(LN(2)/25)*Calculateur!AQ85*Calculateur!AS85*VLOOKUP('Données projet'!$B$10,Paramètres!$A$1:$I$89,3,0)*0.475*44/12</f>
        <v>48.953159541928486</v>
      </c>
      <c r="AW85" s="21">
        <f>EXP(-LN(2)/2)*AW84+(1-EXP(-LN(2)/2))/(LN(2)/2)*AQ85*AT85*VLOOKUP('Données projet'!$B$10,Paramètres!$A$1:$I$89,3,0)*0.475*44/12</f>
        <v>35.358321400604346</v>
      </c>
      <c r="AX85" s="21">
        <f t="shared" si="60"/>
        <v>231.62692372259423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8.0188888888888883</v>
      </c>
      <c r="BD85" s="12">
        <f>IF('Données projet'!$A$88&gt;35,BD84+BC85-BL84,IF(A85&lt;'Données projet'!$A$88,$BA$205^A85,IF(A85='Données projet'!$A$88,'Données projet'!$B$88,BD84+BC85-BL84)))</f>
        <v>267.7322222222225</v>
      </c>
      <c r="BE85" s="13">
        <f>BD85*VLOOKUP('Données projet'!$B$11,Paramètres!$A$1:$I$89,3,0)*VLOOKUP('Données projet'!$B$11,Paramètres!$A$1:$I$89,5,0)</f>
        <v>242.24411466666692</v>
      </c>
      <c r="BF85" s="13">
        <f t="shared" si="91"/>
        <v>58.922100838280507</v>
      </c>
      <c r="BG85" s="20">
        <f t="shared" si="61"/>
        <v>524.53115867111683</v>
      </c>
      <c r="BH85" s="59">
        <f t="shared" si="62"/>
        <v>817.86449200445009</v>
      </c>
      <c r="BI85" s="59">
        <f ca="1">AVERAGE(OFFSET($BH$3,0,0,'Données projet'!$E$11+1,1))-AVERAGE(OFFSET($H$3,0,0,'Données projet'!$E$11+1,1))</f>
        <v>490.06222615476065</v>
      </c>
      <c r="BJ85" s="59">
        <f t="shared" si="92"/>
        <v>310.43914804089906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15.648793810668721</v>
      </c>
      <c r="BQ85" s="21">
        <f>EXP(-LN(2)/25)*BQ84+(1-EXP(-LN(2)/25))/(LN(2)/25)*Calculateur!BL85*Calculateur!BN85*VLOOKUP('Données projet'!$B$11,Paramètres!$A$1:$I$89,3,0)*0.475*44/12</f>
        <v>24.180385869672794</v>
      </c>
      <c r="BR85" s="21">
        <f>EXP(-LN(2)/2)*BR84+(1-EXP(-LN(2)/2))/(LN(2)/2)*BL85*BO85*VLOOKUP('Données projet'!$B$11,Paramètres!$A$1:$I$89,3,0)*0.475*44/12</f>
        <v>0.34924559123034382</v>
      </c>
      <c r="BS85" s="22">
        <f t="shared" si="63"/>
        <v>40.178425271571854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195.65703733333334</v>
      </c>
      <c r="CA85" s="13">
        <f t="shared" si="93"/>
        <v>48.788499880593612</v>
      </c>
      <c r="CB85" s="20">
        <f t="shared" si="64"/>
        <v>425.74264398092276</v>
      </c>
      <c r="CC85" s="59">
        <f t="shared" si="65"/>
        <v>719.07597731425608</v>
      </c>
      <c r="CD85" s="59">
        <f ca="1">AVERAGE(OFFSET($CC$3,0,0,'Données projet'!$E$12+1,1))-AVERAGE(OFFSET($H$3,0,0,'Données projet'!$E$12+1,1))</f>
        <v>510.71380643466227</v>
      </c>
      <c r="CE85" s="59">
        <f t="shared" si="94"/>
        <v>252.40654099948841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11.287724851968608</v>
      </c>
      <c r="CM85" s="21">
        <f>EXP(-LN(2)/2)*CM84+(1-EXP(-LN(2)/2))/(LN(2)/2)*CG85*CJ85*VLOOKUP('Données projet'!$B$12,Paramètres!$A$1:$I$89,3,0)*0.475*44/12</f>
        <v>1.4837669909547708</v>
      </c>
      <c r="CN85" s="22">
        <f t="shared" si="66"/>
        <v>12.771491842923378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9.4837500000000006</v>
      </c>
      <c r="CT85" s="12">
        <f>IF('Données projet'!$A$140&gt;35,CT84+CS85-DB84,IF(A85&lt;'Données projet'!$A$140,$CQ$205^A85,IF(A85='Données projet'!$A$140,'Données projet'!$B$140,CT84+CS85-DB84)))</f>
        <v>296.62624999999991</v>
      </c>
      <c r="CU85" s="17">
        <f>CT85*VLOOKUP('Données projet'!$B$13,Paramètres!$A$1:$I$89,3,0)*VLOOKUP('Données projet'!$B$13,Paramètres!$A$1:$I$89,5,0)</f>
        <v>319.2884954999999</v>
      </c>
      <c r="CV85" s="13">
        <f t="shared" si="95"/>
        <v>75.205292141133469</v>
      </c>
      <c r="CW85" s="20">
        <f t="shared" si="67"/>
        <v>687.07668014164062</v>
      </c>
      <c r="CX85" s="59">
        <f t="shared" si="68"/>
        <v>980.41001347497399</v>
      </c>
      <c r="CY85" s="59">
        <f ca="1">AVERAGE(OFFSET($CX$3,0,0,'Données projet'!$E$13+1,1))-AVERAGE(OFFSET($H$3,0,0,'Données projet'!$E$13+1,1))</f>
        <v>502.65044103360322</v>
      </c>
      <c r="CZ85" s="59">
        <f t="shared" si="96"/>
        <v>321.65762891855167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21.584083944495156</v>
      </c>
      <c r="DG85" s="21">
        <f>EXP(-LN(2)/25)*DG84+(1-EXP(-LN(2)/25))/(LN(2)/25)*Calculateur!DB85*Calculateur!DD85*VLOOKUP('Données projet'!$B$13,Paramètres!$A$1:$I$89,3,0)*0.475*44/12</f>
        <v>25.446402431586208</v>
      </c>
      <c r="DH85" s="21">
        <f>EXP(-LN(2)/2)*DH84+(1-EXP(-LN(2)/2))/(LN(2)/2)*DB85*DE85*VLOOKUP('Données projet'!$B$13,Paramètres!$A$1:$I$89,3,0)*0.475*44/12</f>
        <v>0.4161744159204761</v>
      </c>
      <c r="DI85" s="22">
        <f t="shared" si="69"/>
        <v>47.446660792001836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-25.899999999999977</v>
      </c>
      <c r="DP85" s="17">
        <f>DO85*VLOOKUP('Données projet'!$B$14,Paramètres!$A$1:$I$89,3,0)*VLOOKUP('Données projet'!$B$14,Paramètres!$A$1:$I$89,5,0)</f>
        <v>-13.171703999999989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63.94726564348116</v>
      </c>
      <c r="DU85" s="59">
        <f t="shared" si="98"/>
        <v>280.8165028422905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18.218378403529154</v>
      </c>
      <c r="EB85" s="21">
        <f>EXP(-LN(2)/25)*EB84+(1-EXP(-LN(2)/25))/(LN(2)/25)*Calculateur!DW85*Calculateur!DY85*VLOOKUP('Données projet'!$B$14,Paramètres!$A$1:$I$89,3,0)*0.475*44/12</f>
        <v>1.5368649101532259</v>
      </c>
      <c r="EC85" s="21">
        <f>EXP(-LN(2)/2)*EC84+(1-EXP(-LN(2)/2))/(LN(2)/2)*DW85*DZ85*VLOOKUP('Données projet'!$B$14,Paramètres!$A$1:$I$89,3,0)*0.475*44/12</f>
        <v>1.4479102143283569E-9</v>
      </c>
      <c r="ED85" s="22">
        <f t="shared" si="72"/>
        <v>19.75524331513029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5.7259999999999991</v>
      </c>
      <c r="N86" s="13">
        <f>IF('Données projet'!$A$36&gt;35,N85+M86-V85,IF(A86&lt;'Données projet'!$A$36,$K$205^A86,IF(A86='Données projet'!$A$36,'Données projet'!$B$36,N85+M86-V85)))</f>
        <v>326.50799999999958</v>
      </c>
      <c r="O86" s="13">
        <f>N86*VLOOKUP('Données projet'!$B$9,Paramètres!$A$1:$I$89,3,0)*VLOOKUP('Données projet'!$B$9,Paramètres!$A$1:$I$89,5,0)</f>
        <v>186.76257599999977</v>
      </c>
      <c r="P86" s="13">
        <f t="shared" si="87"/>
        <v>46.823490039596884</v>
      </c>
      <c r="Q86" s="20">
        <f t="shared" si="54"/>
        <v>406.82906501896417</v>
      </c>
      <c r="R86" s="59">
        <f t="shared" si="55"/>
        <v>700.16239835229749</v>
      </c>
      <c r="S86" s="59">
        <f ca="1">AVERAGE(OFFSET($R$3,0,0,'Données projet'!$E$9+1,1))-AVERAGE(OFFSET($H$3,0,0,'Données projet'!$E$9+1,1))</f>
        <v>294.9631697747962</v>
      </c>
      <c r="T86" s="59">
        <f t="shared" si="88"/>
        <v>202.04924881627716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34.077367886298845</v>
      </c>
      <c r="AA86" s="21">
        <f>EXP(-LN(2)/25)*AA85+(1-EXP(-LN(2)/25))/(LN(2)/25)*Calculateur!V86*Calculateur!X86*VLOOKUP('Données projet'!$B$9,Paramètres!$A$1:$I$89,3,0)*0.475*44/12</f>
        <v>12.252675310907989</v>
      </c>
      <c r="AB86" s="21">
        <f>EXP(-LN(2)/2)*AB85+(1-EXP(-LN(2)/2))/(LN(2)/2)*V86*Y86*VLOOKUP('Données projet'!$B$9,Paramètres!$A$1:$I$89,3,0)*0.475*44/12</f>
        <v>1.9201904413149844</v>
      </c>
      <c r="AC86" s="22">
        <f t="shared" si="57"/>
        <v>48.25023363852182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349.71285006949597</v>
      </c>
      <c r="AO86" s="59">
        <f t="shared" si="90"/>
        <v>258.51550516456842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144.42667680069218</v>
      </c>
      <c r="AV86" s="21">
        <f>EXP(-LN(2)/25)*AV85+(1-EXP(-LN(2)/25))/(LN(2)/25)*Calculateur!AQ86*Calculateur!AS86*VLOOKUP('Données projet'!$B$10,Paramètres!$A$1:$I$89,3,0)*0.475*44/12</f>
        <v>47.614532819919674</v>
      </c>
      <c r="AW86" s="21">
        <f>EXP(-LN(2)/2)*AW85+(1-EXP(-LN(2)/2))/(LN(2)/2)*AQ86*AT86*VLOOKUP('Données projet'!$B$10,Paramètres!$A$1:$I$89,3,0)*0.475*44/12</f>
        <v>25.00210883374076</v>
      </c>
      <c r="AX86" s="21">
        <f t="shared" si="60"/>
        <v>217.0433184543526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8.0188888888888883</v>
      </c>
      <c r="BD86" s="12">
        <f>IF('Données projet'!$A$88&gt;35,BD85+BC86-BL85,IF(A86&lt;'Données projet'!$A$88,$BA$205^A86,IF(A86='Données projet'!$A$88,'Données projet'!$B$88,BD85+BC86-BL85)))</f>
        <v>275.75111111111141</v>
      </c>
      <c r="BE86" s="13">
        <f>BD86*VLOOKUP('Données projet'!$B$11,Paramètres!$A$1:$I$89,3,0)*VLOOKUP('Données projet'!$B$11,Paramètres!$A$1:$I$89,5,0)</f>
        <v>249.49960533333362</v>
      </c>
      <c r="BF86" s="13">
        <f t="shared" si="91"/>
        <v>60.478776374100285</v>
      </c>
      <c r="BG86" s="20">
        <f t="shared" si="61"/>
        <v>539.879014807114</v>
      </c>
      <c r="BH86" s="59">
        <f t="shared" si="62"/>
        <v>833.21234814044738</v>
      </c>
      <c r="BI86" s="59">
        <f ca="1">AVERAGE(OFFSET($BH$3,0,0,'Données projet'!$E$11+1,1))-AVERAGE(OFFSET($H$3,0,0,'Données projet'!$E$11+1,1))</f>
        <v>490.06222615476065</v>
      </c>
      <c r="BJ86" s="59">
        <f t="shared" si="92"/>
        <v>310.43914804089906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15.341930508863259</v>
      </c>
      <c r="BQ86" s="21">
        <f>EXP(-LN(2)/25)*BQ85+(1-EXP(-LN(2)/25))/(LN(2)/25)*Calculateur!BL86*Calculateur!BN86*VLOOKUP('Données projet'!$B$11,Paramètres!$A$1:$I$89,3,0)*0.475*44/12</f>
        <v>23.519171946475364</v>
      </c>
      <c r="BR86" s="21">
        <f>EXP(-LN(2)/2)*BR85+(1-EXP(-LN(2)/2))/(LN(2)/2)*BL86*BO86*VLOOKUP('Données projet'!$B$11,Paramètres!$A$1:$I$89,3,0)*0.475*44/12</f>
        <v>0.24695392585848117</v>
      </c>
      <c r="BS86" s="22">
        <f t="shared" si="63"/>
        <v>39.108056381197109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202.18026399999999</v>
      </c>
      <c r="CA86" s="13">
        <f t="shared" si="93"/>
        <v>50.223020984939033</v>
      </c>
      <c r="CB86" s="20">
        <f t="shared" si="64"/>
        <v>439.60238801543551</v>
      </c>
      <c r="CC86" s="59">
        <f t="shared" si="65"/>
        <v>732.93572134876877</v>
      </c>
      <c r="CD86" s="59">
        <f ca="1">AVERAGE(OFFSET($CC$3,0,0,'Données projet'!$E$12+1,1))-AVERAGE(OFFSET($H$3,0,0,'Données projet'!$E$12+1,1))</f>
        <v>510.71380643466227</v>
      </c>
      <c r="CE86" s="59">
        <f t="shared" si="94"/>
        <v>252.40654099948841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10.979061422295874</v>
      </c>
      <c r="CM86" s="21">
        <f>EXP(-LN(2)/2)*CM85+(1-EXP(-LN(2)/2))/(LN(2)/2)*CG86*CJ86*VLOOKUP('Données projet'!$B$12,Paramètres!$A$1:$I$89,3,0)*0.475*44/12</f>
        <v>1.0491817010048772</v>
      </c>
      <c r="CN86" s="22">
        <f t="shared" si="66"/>
        <v>12.028243123300751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>
        <f>VLOOKUP(A86,'Données projet'!$A$139:$I$159,2,0)</f>
        <v>306.11</v>
      </c>
      <c r="CR86" s="12">
        <f>VLOOKUP(A86,'Données projet'!$A$139:$I$159,9,0)</f>
        <v>9.4837500000000006</v>
      </c>
      <c r="CS86" s="12">
        <f t="array" ref="CS86">INDEX(CR:CR,MIN(IF(ISNUMBER(CR86:CR282),ROW(CR86:CR282),"")))</f>
        <v>9.4837500000000006</v>
      </c>
      <c r="CT86" s="12">
        <f>IF('Données projet'!$A$140&gt;35,CT85+CS86-DB85,IF(A86&lt;'Données projet'!$A$140,$CQ$205^A86,IF(A86='Données projet'!$A$140,'Données projet'!$B$140,CT85+CS86-DB85)))</f>
        <v>306.1099999999999</v>
      </c>
      <c r="CU86" s="17">
        <f>CT86*VLOOKUP('Données projet'!$B$13,Paramètres!$A$1:$I$89,3,0)*VLOOKUP('Données projet'!$B$13,Paramètres!$A$1:$I$89,5,0)</f>
        <v>329.49680399999988</v>
      </c>
      <c r="CV86" s="13">
        <f t="shared" si="95"/>
        <v>77.325972539126184</v>
      </c>
      <c r="CW86" s="20">
        <f t="shared" si="67"/>
        <v>708.54966913897795</v>
      </c>
      <c r="CX86" s="59">
        <f t="shared" si="68"/>
        <v>1001.8830024723113</v>
      </c>
      <c r="CY86" s="59">
        <f ca="1">AVERAGE(OFFSET($CX$3,0,0,'Données projet'!$E$13+1,1))-AVERAGE(OFFSET($H$3,0,0,'Données projet'!$E$13+1,1))</f>
        <v>502.65044103360322</v>
      </c>
      <c r="CZ86" s="59">
        <f t="shared" si="96"/>
        <v>321.65762891855167</v>
      </c>
      <c r="DA86" s="15">
        <f>IF(ISNA(VLOOKUP(A86,'Données projet'!$A$139:$I$159,3,0)),0,VLOOKUP(A86,'Données projet'!$A$139:$I$159,3,0))</f>
        <v>7</v>
      </c>
      <c r="DB86" s="15">
        <f>IF(ISNA(VLOOKUP(A86,'Données projet'!$A$139:$I$159,4,0)),0,VLOOKUP(A86,'Données projet'!$A$139:$I$159,4,0))</f>
        <v>49.980000000000018</v>
      </c>
      <c r="DC86" s="16">
        <f>IF(ISNA(VLOOKUP(A86,'Données projet'!$A$139:$I$159,5,0)),0%,VLOOKUP(A86,'Données projet'!$A$139:$I$159,5,0)*VLOOKUP('Données projet'!$B$13,Paramètres!$A$1:$I$89,7,0))</f>
        <v>0.15049999999999999</v>
      </c>
      <c r="DD86" s="16">
        <f>IF(ISNA(VLOOKUP(A86,'Données projet'!$A$139:$I$159,6,0)),0%,VLOOKUP(A86,'Données projet'!$A$139:$I$159,6,0)*VLOOKUP('Données projet'!$B$13,Paramètres!$A$1:$I$89,7,0))</f>
        <v>8.6000000000000007E-2</v>
      </c>
      <c r="DE86" s="16">
        <f>IF(ISNA(VLOOKUP(A86,'Données projet'!$A$139:$I$159,7,0)),0%,VLOOKUP(A86,'Données projet'!$A$139:$I$159,7,0))</f>
        <v>0.1</v>
      </c>
      <c r="DF86" s="21">
        <f>EXP(-LN(2)/35)*DF85+(1-EXP(-LN(2)/35))/(LN(2)/35)*DB86*DC86*VLOOKUP('Données projet'!$B$13,Paramètres!$A$1:$I$89,3,0)*0.475*44/12</f>
        <v>30.111462120984861</v>
      </c>
      <c r="DG86" s="21">
        <f>EXP(-LN(2)/25)*DG85+(1-EXP(-LN(2)/25))/(LN(2)/25)*Calculateur!DB86*Calculateur!DD86*VLOOKUP('Données projet'!$B$13,Paramètres!$A$1:$I$89,3,0)*0.475*44/12</f>
        <v>29.845075996768024</v>
      </c>
      <c r="DH86" s="21">
        <f>EXP(-LN(2)/2)*DH85+(1-EXP(-LN(2)/2))/(LN(2)/2)*DB86*DE86*VLOOKUP('Données projet'!$B$13,Paramètres!$A$1:$I$89,3,0)*0.475*44/12</f>
        <v>5.3703103813181592</v>
      </c>
      <c r="DI86" s="22">
        <f t="shared" si="69"/>
        <v>65.326848499071048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-25.899999999999977</v>
      </c>
      <c r="DP86" s="17">
        <f>DO86*VLOOKUP('Données projet'!$B$14,Paramètres!$A$1:$I$89,3,0)*VLOOKUP('Données projet'!$B$14,Paramètres!$A$1:$I$89,5,0)</f>
        <v>-13.171703999999989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63.94726564348116</v>
      </c>
      <c r="DU86" s="59">
        <f t="shared" si="98"/>
        <v>280.8165028422905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17.861127115149543</v>
      </c>
      <c r="EB86" s="21">
        <f>EXP(-LN(2)/25)*EB85+(1-EXP(-LN(2)/25))/(LN(2)/25)*Calculateur!DW86*Calculateur!DY86*VLOOKUP('Données projet'!$B$14,Paramètres!$A$1:$I$89,3,0)*0.475*44/12</f>
        <v>1.4948392583648729</v>
      </c>
      <c r="EC86" s="21">
        <f>EXP(-LN(2)/2)*EC85+(1-EXP(-LN(2)/2))/(LN(2)/2)*DW86*DZ86*VLOOKUP('Données projet'!$B$14,Paramètres!$A$1:$I$89,3,0)*0.475*44/12</f>
        <v>1.0238271311008486E-9</v>
      </c>
      <c r="ED86" s="22">
        <f t="shared" si="72"/>
        <v>19.355966374538244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5.7259999999999991</v>
      </c>
      <c r="N87" s="13">
        <f>IF('Données projet'!$A$36&gt;35,N86+M87-V86,IF(A87&lt;'Données projet'!$A$36,$K$205^A87,IF(A87='Données projet'!$A$36,'Données projet'!$B$36,N86+M87-V86)))</f>
        <v>332.23399999999958</v>
      </c>
      <c r="O87" s="13">
        <f>N87*VLOOKUP('Données projet'!$B$9,Paramètres!$A$1:$I$89,3,0)*VLOOKUP('Données projet'!$B$9,Paramètres!$A$1:$I$89,5,0)</f>
        <v>190.03784799999977</v>
      </c>
      <c r="P87" s="13">
        <f t="shared" si="87"/>
        <v>47.54832040965124</v>
      </c>
      <c r="Q87" s="20">
        <f t="shared" si="54"/>
        <v>413.79590998014214</v>
      </c>
      <c r="R87" s="59">
        <f t="shared" si="55"/>
        <v>707.1292433134754</v>
      </c>
      <c r="S87" s="59">
        <f ca="1">AVERAGE(OFFSET($R$3,0,0,'Données projet'!$E$9+1,1))-AVERAGE(OFFSET($H$3,0,0,'Données projet'!$E$9+1,1))</f>
        <v>294.9631697747962</v>
      </c>
      <c r="T87" s="59">
        <f t="shared" si="88"/>
        <v>202.04924881627716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33.409131487190571</v>
      </c>
      <c r="AA87" s="21">
        <f>EXP(-LN(2)/25)*AA86+(1-EXP(-LN(2)/25))/(LN(2)/25)*Calculateur!V87*Calculateur!X87*VLOOKUP('Données projet'!$B$9,Paramètres!$A$1:$I$89,3,0)*0.475*44/12</f>
        <v>11.91762526019102</v>
      </c>
      <c r="AB87" s="21">
        <f>EXP(-LN(2)/2)*AB86+(1-EXP(-LN(2)/2))/(LN(2)/2)*V87*Y87*VLOOKUP('Données projet'!$B$9,Paramètres!$A$1:$I$89,3,0)*0.475*44/12</f>
        <v>1.3577796822234149</v>
      </c>
      <c r="AC87" s="22">
        <f t="shared" si="57"/>
        <v>46.684536429605011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349.71285006949597</v>
      </c>
      <c r="AO87" s="59">
        <f t="shared" si="90"/>
        <v>258.51550516456842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141.59455776020513</v>
      </c>
      <c r="AV87" s="21">
        <f>EXP(-LN(2)/25)*AV86+(1-EXP(-LN(2)/25))/(LN(2)/25)*Calculateur!AQ87*Calculateur!AS87*VLOOKUP('Données projet'!$B$10,Paramètres!$A$1:$I$89,3,0)*0.475*44/12</f>
        <v>46.312510916019512</v>
      </c>
      <c r="AW87" s="21">
        <f>EXP(-LN(2)/2)*AW86+(1-EXP(-LN(2)/2))/(LN(2)/2)*AQ87*AT87*VLOOKUP('Données projet'!$B$10,Paramètres!$A$1:$I$89,3,0)*0.475*44/12</f>
        <v>17.679160700302177</v>
      </c>
      <c r="AX87" s="21">
        <f t="shared" si="60"/>
        <v>205.58622937652683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8.0188888888888883</v>
      </c>
      <c r="BC87" s="12">
        <f t="array" ref="BC87">INDEX(BB:BB,MIN(IF(ISNUMBER(BB87:BB283),ROW(BB87:BB283),"")))</f>
        <v>8.0188888888888883</v>
      </c>
      <c r="BD87" s="12">
        <f>IF('Données projet'!$A$88&gt;35,BD86+BC87-BL86,IF(A87&lt;'Données projet'!$A$88,$BA$205^A87,IF(A87='Données projet'!$A$88,'Données projet'!$B$88,BD86+BC87-BL86)))</f>
        <v>283.77000000000032</v>
      </c>
      <c r="BE87" s="13">
        <f>BD87*VLOOKUP('Données projet'!$B$11,Paramètres!$A$1:$I$89,3,0)*VLOOKUP('Données projet'!$B$11,Paramètres!$A$1:$I$89,5,0)</f>
        <v>256.75509600000026</v>
      </c>
      <c r="BF87" s="13">
        <f t="shared" si="91"/>
        <v>62.030190794062349</v>
      </c>
      <c r="BG87" s="20">
        <f t="shared" si="61"/>
        <v>555.21770783299235</v>
      </c>
      <c r="BH87" s="59">
        <f t="shared" si="62"/>
        <v>848.5510411663256</v>
      </c>
      <c r="BI87" s="59">
        <f ca="1">AVERAGE(OFFSET($BH$3,0,0,'Données projet'!$E$11+1,1))-AVERAGE(OFFSET($H$3,0,0,'Données projet'!$E$11+1,1))</f>
        <v>490.06222615476065</v>
      </c>
      <c r="BJ87" s="59">
        <f t="shared" si="92"/>
        <v>310.43914804089906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49.669999999999987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22.518135941679432</v>
      </c>
      <c r="BQ87" s="21">
        <f>EXP(-LN(2)/25)*BQ86+(1-EXP(-LN(2)/25))/(LN(2)/25)*Calculateur!BL87*Calculateur!BN87*VLOOKUP('Données projet'!$B$11,Paramètres!$A$1:$I$89,3,0)*0.475*44/12</f>
        <v>27.131816856988426</v>
      </c>
      <c r="BR87" s="21">
        <f>EXP(-LN(2)/2)*BR86+(1-EXP(-LN(2)/2))/(LN(2)/2)*BL87*BO87*VLOOKUP('Données projet'!$B$11,Paramètres!$A$1:$I$89,3,0)*0.475*44/12</f>
        <v>4.4149663532628933</v>
      </c>
      <c r="BS87" s="22">
        <f t="shared" si="63"/>
        <v>54.064919151930745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208.70349066666665</v>
      </c>
      <c r="CA87" s="13">
        <f t="shared" si="93"/>
        <v>51.652163752582879</v>
      </c>
      <c r="CB87" s="20">
        <f t="shared" si="64"/>
        <v>453.45276478019287</v>
      </c>
      <c r="CC87" s="59">
        <f t="shared" si="65"/>
        <v>746.78609811352612</v>
      </c>
      <c r="CD87" s="59">
        <f ca="1">AVERAGE(OFFSET($CC$3,0,0,'Données projet'!$E$12+1,1))-AVERAGE(OFFSET($H$3,0,0,'Données projet'!$E$12+1,1))</f>
        <v>510.71380643466227</v>
      </c>
      <c r="CE87" s="59">
        <f t="shared" si="94"/>
        <v>252.40654099948841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10.678838410339447</v>
      </c>
      <c r="CM87" s="21">
        <f>EXP(-LN(2)/2)*CM86+(1-EXP(-LN(2)/2))/(LN(2)/2)*CG87*CJ87*VLOOKUP('Données projet'!$B$12,Paramètres!$A$1:$I$89,3,0)*0.475*44/12</f>
        <v>0.74188349547738541</v>
      </c>
      <c r="CN87" s="22">
        <f t="shared" si="66"/>
        <v>11.420721905816832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9.2740000000000009</v>
      </c>
      <c r="CT87" s="12">
        <f>IF('Données projet'!$A$140&gt;35,CT86+CS87-DB86,IF(A87&lt;'Données projet'!$A$140,$CQ$205^A87,IF(A87='Données projet'!$A$140,'Données projet'!$B$140,CT86+CS87-DB86)))</f>
        <v>265.40399999999988</v>
      </c>
      <c r="CU87" s="17">
        <f>CT87*VLOOKUP('Données projet'!$B$13,Paramètres!$A$1:$I$89,3,0)*VLOOKUP('Données projet'!$B$13,Paramètres!$A$1:$I$89,5,0)</f>
        <v>285.68086559999989</v>
      </c>
      <c r="CV87" s="13">
        <f t="shared" si="95"/>
        <v>68.166132081271343</v>
      </c>
      <c r="CW87" s="20">
        <f t="shared" si="67"/>
        <v>616.28352096154731</v>
      </c>
      <c r="CX87" s="59">
        <f t="shared" si="68"/>
        <v>909.61685429488057</v>
      </c>
      <c r="CY87" s="59">
        <f ca="1">AVERAGE(OFFSET($CX$3,0,0,'Données projet'!$E$13+1,1))-AVERAGE(OFFSET($H$3,0,0,'Données projet'!$E$13+1,1))</f>
        <v>502.65044103360322</v>
      </c>
      <c r="CZ87" s="59">
        <f t="shared" si="96"/>
        <v>321.65762891855167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29.520994714970733</v>
      </c>
      <c r="DG87" s="21">
        <f>EXP(-LN(2)/25)*DG86+(1-EXP(-LN(2)/25))/(LN(2)/25)*Calculateur!DB87*Calculateur!DD87*VLOOKUP('Données projet'!$B$13,Paramètres!$A$1:$I$89,3,0)*0.475*44/12</f>
        <v>29.028960824152069</v>
      </c>
      <c r="DH87" s="21">
        <f>EXP(-LN(2)/2)*DH86+(1-EXP(-LN(2)/2))/(LN(2)/2)*DB87*DE87*VLOOKUP('Données projet'!$B$13,Paramètres!$A$1:$I$89,3,0)*0.475*44/12</f>
        <v>3.7973828877065845</v>
      </c>
      <c r="DI87" s="22">
        <f t="shared" si="69"/>
        <v>62.347338426829388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-25.899999999999977</v>
      </c>
      <c r="DP87" s="17">
        <f>DO87*VLOOKUP('Données projet'!$B$14,Paramètres!$A$1:$I$89,3,0)*VLOOKUP('Données projet'!$B$14,Paramètres!$A$1:$I$89,5,0)</f>
        <v>-13.171703999999989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63.94726564348116</v>
      </c>
      <c r="DU87" s="59">
        <f t="shared" si="98"/>
        <v>280.8165028422905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17.510881306633287</v>
      </c>
      <c r="EB87" s="21">
        <f>EXP(-LN(2)/25)*EB86+(1-EXP(-LN(2)/25))/(LN(2)/25)*Calculateur!DW87*Calculateur!DY87*VLOOKUP('Données projet'!$B$14,Paramètres!$A$1:$I$89,3,0)*0.475*44/12</f>
        <v>1.4539628002347054</v>
      </c>
      <c r="EC87" s="21">
        <f>EXP(-LN(2)/2)*EC86+(1-EXP(-LN(2)/2))/(LN(2)/2)*DW87*DZ87*VLOOKUP('Données projet'!$B$14,Paramètres!$A$1:$I$89,3,0)*0.475*44/12</f>
        <v>7.2395510716417845E-10</v>
      </c>
      <c r="ED87" s="22">
        <f t="shared" si="72"/>
        <v>18.964844107591947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5.7259999999999991</v>
      </c>
      <c r="N88" s="13">
        <f>IF('Données projet'!$A$36&gt;35,N87+M88-V87,IF(A88&lt;'Données projet'!$A$36,$K$205^A88,IF(A88='Données projet'!$A$36,'Données projet'!$B$36,N87+M88-V87)))</f>
        <v>337.95999999999958</v>
      </c>
      <c r="O88" s="13">
        <f>N88*VLOOKUP('Données projet'!$B$9,Paramètres!$A$1:$I$89,3,0)*VLOOKUP('Données projet'!$B$9,Paramètres!$A$1:$I$89,5,0)</f>
        <v>193.31311999999977</v>
      </c>
      <c r="P88" s="13">
        <f t="shared" si="87"/>
        <v>48.271698053375566</v>
      </c>
      <c r="Q88" s="20">
        <f t="shared" si="54"/>
        <v>420.76022477629539</v>
      </c>
      <c r="R88" s="59">
        <f t="shared" si="55"/>
        <v>714.0935581096287</v>
      </c>
      <c r="S88" s="59">
        <f ca="1">AVERAGE(OFFSET($R$3,0,0,'Données projet'!$E$9+1,1))-AVERAGE(OFFSET($H$3,0,0,'Données projet'!$E$9+1,1))</f>
        <v>294.9631697747962</v>
      </c>
      <c r="T88" s="59">
        <f t="shared" si="88"/>
        <v>202.04924881627716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32.753998796284854</v>
      </c>
      <c r="AA88" s="21">
        <f>EXP(-LN(2)/25)*AA87+(1-EXP(-LN(2)/25))/(LN(2)/25)*Calculateur!V88*Calculateur!X88*VLOOKUP('Données projet'!$B$9,Paramètres!$A$1:$I$89,3,0)*0.475*44/12</f>
        <v>11.591737170730422</v>
      </c>
      <c r="AB88" s="21">
        <f>EXP(-LN(2)/2)*AB87+(1-EXP(-LN(2)/2))/(LN(2)/2)*V88*Y88*VLOOKUP('Données projet'!$B$9,Paramètres!$A$1:$I$89,3,0)*0.475*44/12</f>
        <v>0.96009522065749242</v>
      </c>
      <c r="AC88" s="22">
        <f t="shared" si="57"/>
        <v>45.305831187672766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349.71285006949597</v>
      </c>
      <c r="AO88" s="59">
        <f t="shared" si="90"/>
        <v>258.51550516456842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138.81797484667999</v>
      </c>
      <c r="AV88" s="21">
        <f>EXP(-LN(2)/25)*AV87+(1-EXP(-LN(2)/25))/(LN(2)/25)*Calculateur!AQ88*Calculateur!AS88*VLOOKUP('Données projet'!$B$10,Paramètres!$A$1:$I$89,3,0)*0.475*44/12</f>
        <v>45.046092869551856</v>
      </c>
      <c r="AW88" s="21">
        <f>EXP(-LN(2)/2)*AW87+(1-EXP(-LN(2)/2))/(LN(2)/2)*AQ88*AT88*VLOOKUP('Données projet'!$B$10,Paramètres!$A$1:$I$89,3,0)*0.475*44/12</f>
        <v>12.501054416870382</v>
      </c>
      <c r="AX88" s="21">
        <f t="shared" si="60"/>
        <v>196.3651221331022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7.6966666666666681</v>
      </c>
      <c r="BD88" s="12">
        <f>IF('Données projet'!$A$88&gt;35,BD87+BC88-BL87,IF(A88&lt;'Données projet'!$A$88,$BA$205^A88,IF(A88='Données projet'!$A$88,'Données projet'!$B$88,BD87+BC88-BL87)))</f>
        <v>241.79666666666699</v>
      </c>
      <c r="BE88" s="13">
        <f>BD88*VLOOKUP('Données projet'!$B$11,Paramètres!$A$1:$I$89,3,0)*VLOOKUP('Données projet'!$B$11,Paramètres!$A$1:$I$89,5,0)</f>
        <v>218.77762400000032</v>
      </c>
      <c r="BF88" s="13">
        <f t="shared" si="91"/>
        <v>53.849122245192362</v>
      </c>
      <c r="BG88" s="20">
        <f t="shared" si="61"/>
        <v>474.82491637704396</v>
      </c>
      <c r="BH88" s="59">
        <f t="shared" si="62"/>
        <v>768.15824971037728</v>
      </c>
      <c r="BI88" s="59">
        <f ca="1">AVERAGE(OFFSET($BH$3,0,0,'Données projet'!$E$11+1,1))-AVERAGE(OFFSET($H$3,0,0,'Données projet'!$E$11+1,1))</f>
        <v>490.06222615476065</v>
      </c>
      <c r="BJ88" s="59">
        <f t="shared" si="92"/>
        <v>310.43914804089906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22.076569030569832</v>
      </c>
      <c r="BQ88" s="21">
        <f>EXP(-LN(2)/25)*BQ87+(1-EXP(-LN(2)/25))/(LN(2)/25)*Calculateur!BL88*Calculateur!BN88*VLOOKUP('Données projet'!$B$11,Paramètres!$A$1:$I$89,3,0)*0.475*44/12</f>
        <v>26.389895898233839</v>
      </c>
      <c r="BR88" s="21">
        <f>EXP(-LN(2)/2)*BR87+(1-EXP(-LN(2)/2))/(LN(2)/2)*BL88*BO88*VLOOKUP('Données projet'!$B$11,Paramètres!$A$1:$I$89,3,0)*0.475*44/12</f>
        <v>3.1218526471026347</v>
      </c>
      <c r="BS88" s="22">
        <f t="shared" si="63"/>
        <v>51.588317575906309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215.22671733333331</v>
      </c>
      <c r="CA88" s="13">
        <f t="shared" si="93"/>
        <v>53.076115576927016</v>
      </c>
      <c r="CB88" s="20">
        <f t="shared" si="64"/>
        <v>467.29410065203678</v>
      </c>
      <c r="CC88" s="59">
        <f t="shared" si="65"/>
        <v>760.62743398537009</v>
      </c>
      <c r="CD88" s="59">
        <f ca="1">AVERAGE(OFFSET($CC$3,0,0,'Données projet'!$E$12+1,1))-AVERAGE(OFFSET($H$3,0,0,'Données projet'!$E$12+1,1))</f>
        <v>510.71380643466227</v>
      </c>
      <c r="CE88" s="59">
        <f t="shared" si="94"/>
        <v>252.40654099948841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10.386825012433009</v>
      </c>
      <c r="CM88" s="21">
        <f>EXP(-LN(2)/2)*CM87+(1-EXP(-LN(2)/2))/(LN(2)/2)*CG88*CJ88*VLOOKUP('Données projet'!$B$12,Paramètres!$A$1:$I$89,3,0)*0.475*44/12</f>
        <v>0.52459085050243859</v>
      </c>
      <c r="CN88" s="22">
        <f t="shared" si="66"/>
        <v>10.911415862935447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9.2740000000000009</v>
      </c>
      <c r="CT88" s="12">
        <f>IF('Données projet'!$A$140&gt;35,CT87+CS88-DB87,IF(A88&lt;'Données projet'!$A$140,$CQ$205^A88,IF(A88='Données projet'!$A$140,'Données projet'!$B$140,CT87+CS88-DB87)))</f>
        <v>274.67799999999988</v>
      </c>
      <c r="CU88" s="17">
        <f>CT88*VLOOKUP('Données projet'!$B$13,Paramètres!$A$1:$I$89,3,0)*VLOOKUP('Données projet'!$B$13,Paramètres!$A$1:$I$89,5,0)</f>
        <v>295.66339919999984</v>
      </c>
      <c r="CV88" s="13">
        <f t="shared" si="95"/>
        <v>70.266576389697462</v>
      </c>
      <c r="CW88" s="20">
        <f t="shared" si="67"/>
        <v>637.3280408187228</v>
      </c>
      <c r="CX88" s="59">
        <f t="shared" si="68"/>
        <v>930.66137415205617</v>
      </c>
      <c r="CY88" s="59">
        <f ca="1">AVERAGE(OFFSET($CX$3,0,0,'Données projet'!$E$13+1,1))-AVERAGE(OFFSET($H$3,0,0,'Données projet'!$E$13+1,1))</f>
        <v>502.65044103360322</v>
      </c>
      <c r="CZ88" s="59">
        <f t="shared" si="96"/>
        <v>321.65762891855167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28.942106014638984</v>
      </c>
      <c r="DG88" s="21">
        <f>EXP(-LN(2)/25)*DG87+(1-EXP(-LN(2)/25))/(LN(2)/25)*Calculateur!DB88*Calculateur!DD88*VLOOKUP('Données projet'!$B$13,Paramètres!$A$1:$I$89,3,0)*0.475*44/12</f>
        <v>28.235162363848929</v>
      </c>
      <c r="DH88" s="21">
        <f>EXP(-LN(2)/2)*DH87+(1-EXP(-LN(2)/2))/(LN(2)/2)*DB88*DE88*VLOOKUP('Données projet'!$B$13,Paramètres!$A$1:$I$89,3,0)*0.475*44/12</f>
        <v>2.68515519065908</v>
      </c>
      <c r="DI88" s="22">
        <f t="shared" si="69"/>
        <v>59.862423569146991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-25.899999999999977</v>
      </c>
      <c r="DP88" s="17">
        <f>DO88*VLOOKUP('Données projet'!$B$14,Paramètres!$A$1:$I$89,3,0)*VLOOKUP('Données projet'!$B$14,Paramètres!$A$1:$I$89,5,0)</f>
        <v>-13.171703999999989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63.94726564348116</v>
      </c>
      <c r="DU88" s="59">
        <f t="shared" si="98"/>
        <v>280.8165028422905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17.167503604793186</v>
      </c>
      <c r="EB88" s="21">
        <f>EXP(-LN(2)/25)*EB87+(1-EXP(-LN(2)/25))/(LN(2)/25)*Calculateur!DW88*Calculateur!DY88*VLOOKUP('Données projet'!$B$14,Paramètres!$A$1:$I$89,3,0)*0.475*44/12</f>
        <v>1.4142041110017067</v>
      </c>
      <c r="EC88" s="21">
        <f>EXP(-LN(2)/2)*EC87+(1-EXP(-LN(2)/2))/(LN(2)/2)*DW88*DZ88*VLOOKUP('Données projet'!$B$14,Paramètres!$A$1:$I$89,3,0)*0.475*44/12</f>
        <v>5.1191356555042428E-10</v>
      </c>
      <c r="ED88" s="22">
        <f t="shared" si="72"/>
        <v>18.581707716306806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5.7259999999999991</v>
      </c>
      <c r="N89" s="13">
        <f>IF('Données projet'!$A$36&gt;35,N88+M89-V88,IF(A89&lt;'Données projet'!$A$36,$K$205^A89,IF(A89='Données projet'!$A$36,'Données projet'!$B$36,N88+M89-V88)))</f>
        <v>343.68599999999958</v>
      </c>
      <c r="O89" s="13">
        <f>N89*VLOOKUP('Données projet'!$B$9,Paramètres!$A$1:$I$89,3,0)*VLOOKUP('Données projet'!$B$9,Paramètres!$A$1:$I$89,5,0)</f>
        <v>196.58839199999977</v>
      </c>
      <c r="P89" s="13">
        <f t="shared" si="87"/>
        <v>48.993650424627496</v>
      </c>
      <c r="Q89" s="20">
        <f t="shared" si="54"/>
        <v>427.72205722289249</v>
      </c>
      <c r="R89" s="59">
        <f t="shared" si="55"/>
        <v>721.0553905562258</v>
      </c>
      <c r="S89" s="59">
        <f ca="1">AVERAGE(OFFSET($R$3,0,0,'Données projet'!$E$9+1,1))-AVERAGE(OFFSET($H$3,0,0,'Données projet'!$E$9+1,1))</f>
        <v>294.9631697747962</v>
      </c>
      <c r="T89" s="59">
        <f t="shared" si="88"/>
        <v>202.04924881627716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32.111712857856311</v>
      </c>
      <c r="AA89" s="21">
        <f>EXP(-LN(2)/25)*AA88+(1-EXP(-LN(2)/25))/(LN(2)/25)*Calculateur!V89*Calculateur!X89*VLOOKUP('Données projet'!$B$9,Paramètres!$A$1:$I$89,3,0)*0.475*44/12</f>
        <v>11.274760508213834</v>
      </c>
      <c r="AB89" s="21">
        <f>EXP(-LN(2)/2)*AB88+(1-EXP(-LN(2)/2))/(LN(2)/2)*V89*Y89*VLOOKUP('Données projet'!$B$9,Paramètres!$A$1:$I$89,3,0)*0.475*44/12</f>
        <v>0.67888984111170758</v>
      </c>
      <c r="AC89" s="22">
        <f t="shared" si="57"/>
        <v>44.065363207181854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349.71285006949597</v>
      </c>
      <c r="AO89" s="59">
        <f t="shared" si="90"/>
        <v>258.51550516456842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136.09583903054073</v>
      </c>
      <c r="AV89" s="21">
        <f>EXP(-LN(2)/25)*AV88+(1-EXP(-LN(2)/25))/(LN(2)/25)*Calculateur!AQ89*Calculateur!AS89*VLOOKUP('Données projet'!$B$10,Paramètres!$A$1:$I$89,3,0)*0.475*44/12</f>
        <v>43.814305091162893</v>
      </c>
      <c r="AW89" s="21">
        <f>EXP(-LN(2)/2)*AW88+(1-EXP(-LN(2)/2))/(LN(2)/2)*AQ89*AT89*VLOOKUP('Données projet'!$B$10,Paramètres!$A$1:$I$89,3,0)*0.475*44/12</f>
        <v>8.8395803501510883</v>
      </c>
      <c r="AX89" s="21">
        <f t="shared" si="60"/>
        <v>188.74972447185473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7.6966666666666681</v>
      </c>
      <c r="BD89" s="12">
        <f>IF('Données projet'!$A$88&gt;35,BD88+BC89-BL88,IF(A89&lt;'Données projet'!$A$88,$BA$205^A89,IF(A89='Données projet'!$A$88,'Données projet'!$B$88,BD88+BC89-BL88)))</f>
        <v>249.49333333333365</v>
      </c>
      <c r="BE89" s="13">
        <f>BD89*VLOOKUP('Données projet'!$B$11,Paramètres!$A$1:$I$89,3,0)*VLOOKUP('Données projet'!$B$11,Paramètres!$A$1:$I$89,5,0)</f>
        <v>225.74156800000026</v>
      </c>
      <c r="BF89" s="13">
        <f t="shared" si="91"/>
        <v>55.360909871129053</v>
      </c>
      <c r="BG89" s="20">
        <f t="shared" si="61"/>
        <v>489.58681562555012</v>
      </c>
      <c r="BH89" s="59">
        <f t="shared" si="62"/>
        <v>782.92014895888337</v>
      </c>
      <c r="BI89" s="59">
        <f ca="1">AVERAGE(OFFSET($BH$3,0,0,'Données projet'!$E$11+1,1))-AVERAGE(OFFSET($H$3,0,0,'Données projet'!$E$11+1,1))</f>
        <v>490.06222615476065</v>
      </c>
      <c r="BJ89" s="59">
        <f t="shared" si="92"/>
        <v>310.43914804089906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21.64366097725787</v>
      </c>
      <c r="BQ89" s="21">
        <f>EXP(-LN(2)/25)*BQ88+(1-EXP(-LN(2)/25))/(LN(2)/25)*Calculateur!BL89*Calculateur!BN89*VLOOKUP('Données projet'!$B$11,Paramètres!$A$1:$I$89,3,0)*0.475*44/12</f>
        <v>25.668262807112324</v>
      </c>
      <c r="BR89" s="21">
        <f>EXP(-LN(2)/2)*BR88+(1-EXP(-LN(2)/2))/(LN(2)/2)*BL89*BO89*VLOOKUP('Données projet'!$B$11,Paramètres!$A$1:$I$89,3,0)*0.475*44/12</f>
        <v>2.2074831766314471</v>
      </c>
      <c r="BS89" s="22">
        <f t="shared" si="63"/>
        <v>49.519406961001643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221.74994399999997</v>
      </c>
      <c r="CA89" s="13">
        <f t="shared" si="93"/>
        <v>54.495051846596574</v>
      </c>
      <c r="CB89" s="20">
        <f t="shared" si="64"/>
        <v>481.12670109948903</v>
      </c>
      <c r="CC89" s="59">
        <f t="shared" si="65"/>
        <v>774.46003443282234</v>
      </c>
      <c r="CD89" s="59">
        <f ca="1">AVERAGE(OFFSET($CC$3,0,0,'Données projet'!$E$12+1,1))-AVERAGE(OFFSET($H$3,0,0,'Données projet'!$E$12+1,1))</f>
        <v>510.71380643466227</v>
      </c>
      <c r="CE89" s="59">
        <f t="shared" si="94"/>
        <v>252.40654099948841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0.1075</v>
      </c>
      <c r="CI89" s="16">
        <f>IF(ISNA(VLOOKUP(A89,'Données projet'!$A$113:$I$133,6,0)),0%,VLOOKUP(A89,'Données projet'!$A$113:$I$133,6,0)*VLOOKUP('Données projet'!$B$12,Paramètres!$A$1:$I$89,7,0))</f>
        <v>0.1075</v>
      </c>
      <c r="CJ89" s="16">
        <f>IF(ISNA(VLOOKUP(A89,'Données projet'!$A$113:$I$133,7,0)),0%,VLOOKUP(A89,'Données projet'!$A$113:$I$133,7,0))</f>
        <v>0.25</v>
      </c>
      <c r="CK89" s="21">
        <f>EXP(-LN(2)/35)*CK88+(1-EXP(-LN(2)/35))/(LN(2)/35)*CG89*CH89*VLOOKUP('Données projet'!$B$12,Paramètres!$A$1:$I$89,3,0)*0.475*44/12</f>
        <v>4.3148542536481251</v>
      </c>
      <c r="CL89" s="21">
        <f>EXP(-LN(2)/25)*CL88+(1-EXP(-LN(2)/25))/(LN(2)/25)*Calculateur!CG89*Calculateur!CI89*VLOOKUP('Données projet'!$B$12,Paramètres!$A$1:$I$89,3,0)*0.475*44/12</f>
        <v>14.400661764611787</v>
      </c>
      <c r="CM89" s="21">
        <f>EXP(-LN(2)/2)*CM88+(1-EXP(-LN(2)/2))/(LN(2)/2)*CG89*CJ89*VLOOKUP('Données projet'!$B$12,Paramètres!$A$1:$I$89,3,0)*0.475*44/12</f>
        <v>8.9354978382411172</v>
      </c>
      <c r="CN89" s="22">
        <f t="shared" si="66"/>
        <v>27.651013856501031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9.2740000000000009</v>
      </c>
      <c r="CT89" s="12">
        <f>IF('Données projet'!$A$140&gt;35,CT88+CS89-DB88,IF(A89&lt;'Données projet'!$A$140,$CQ$205^A89,IF(A89='Données projet'!$A$140,'Données projet'!$B$140,CT88+CS89-DB88)))</f>
        <v>283.95199999999988</v>
      </c>
      <c r="CU89" s="17">
        <f>CT89*VLOOKUP('Données projet'!$B$13,Paramètres!$A$1:$I$89,3,0)*VLOOKUP('Données projet'!$B$13,Paramètres!$A$1:$I$89,5,0)</f>
        <v>305.64593279999985</v>
      </c>
      <c r="CV89" s="13">
        <f t="shared" si="95"/>
        <v>72.358780428424367</v>
      </c>
      <c r="CW89" s="20">
        <f t="shared" si="67"/>
        <v>658.35820887283887</v>
      </c>
      <c r="CX89" s="59">
        <f t="shared" si="68"/>
        <v>951.69154220617224</v>
      </c>
      <c r="CY89" s="59">
        <f ca="1">AVERAGE(OFFSET($CX$3,0,0,'Données projet'!$E$13+1,1))-AVERAGE(OFFSET($H$3,0,0,'Données projet'!$E$13+1,1))</f>
        <v>502.65044103360322</v>
      </c>
      <c r="CZ89" s="59">
        <f t="shared" si="96"/>
        <v>321.65762891855167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28.374568968633501</v>
      </c>
      <c r="DG89" s="21">
        <f>EXP(-LN(2)/25)*DG88+(1-EXP(-LN(2)/25))/(LN(2)/25)*Calculateur!DB89*Calculateur!DD89*VLOOKUP('Données projet'!$B$13,Paramètres!$A$1:$I$89,3,0)*0.475*44/12</f>
        <v>27.463070364186823</v>
      </c>
      <c r="DH89" s="21">
        <f>EXP(-LN(2)/2)*DH88+(1-EXP(-LN(2)/2))/(LN(2)/2)*DB89*DE89*VLOOKUP('Données projet'!$B$13,Paramètres!$A$1:$I$89,3,0)*0.475*44/12</f>
        <v>1.8986914438532925</v>
      </c>
      <c r="DI89" s="22">
        <f t="shared" si="69"/>
        <v>57.736330776673618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-25.899999999999977</v>
      </c>
      <c r="DP89" s="17">
        <f>DO89*VLOOKUP('Données projet'!$B$14,Paramètres!$A$1:$I$89,3,0)*VLOOKUP('Données projet'!$B$14,Paramètres!$A$1:$I$89,5,0)</f>
        <v>-13.171703999999989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63.94726564348116</v>
      </c>
      <c r="DU89" s="59">
        <f t="shared" si="98"/>
        <v>280.8165028422905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16.830859330246451</v>
      </c>
      <c r="EB89" s="21">
        <f>EXP(-LN(2)/25)*EB88+(1-EXP(-LN(2)/25))/(LN(2)/25)*Calculateur!DW89*Calculateur!DY89*VLOOKUP('Données projet'!$B$14,Paramètres!$A$1:$I$89,3,0)*0.475*44/12</f>
        <v>1.3755326252166031</v>
      </c>
      <c r="EC89" s="21">
        <f>EXP(-LN(2)/2)*EC88+(1-EXP(-LN(2)/2))/(LN(2)/2)*DW89*DZ89*VLOOKUP('Données projet'!$B$14,Paramètres!$A$1:$I$89,3,0)*0.475*44/12</f>
        <v>3.6197755358208922E-10</v>
      </c>
      <c r="ED89" s="22">
        <f t="shared" si="72"/>
        <v>18.206391955825033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5.7259999999999991</v>
      </c>
      <c r="N90" s="13">
        <f>IF('Données projet'!$A$36&gt;35,N89+M90-V89,IF(A90&lt;'Données projet'!$A$36,$K$205^A90,IF(A90='Données projet'!$A$36,'Données projet'!$B$36,N89+M90-V89)))</f>
        <v>349.41199999999958</v>
      </c>
      <c r="O90" s="13">
        <f>N90*VLOOKUP('Données projet'!$B$9,Paramètres!$A$1:$I$89,3,0)*VLOOKUP('Données projet'!$B$9,Paramètres!$A$1:$I$89,5,0)</f>
        <v>199.86366399999977</v>
      </c>
      <c r="P90" s="13">
        <f t="shared" si="87"/>
        <v>49.714204010035132</v>
      </c>
      <c r="Q90" s="20">
        <f t="shared" si="54"/>
        <v>434.68145345081075</v>
      </c>
      <c r="R90" s="59">
        <f t="shared" si="55"/>
        <v>728.01478678414401</v>
      </c>
      <c r="S90" s="59">
        <f ca="1">AVERAGE(OFFSET($R$3,0,0,'Données projet'!$E$9+1,1))-AVERAGE(OFFSET($H$3,0,0,'Données projet'!$E$9+1,1))</f>
        <v>294.9631697747962</v>
      </c>
      <c r="T90" s="59">
        <f t="shared" si="88"/>
        <v>202.04924881627716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31.482021754924613</v>
      </c>
      <c r="AA90" s="21">
        <f>EXP(-LN(2)/25)*AA89+(1-EXP(-LN(2)/25))/(LN(2)/25)*Calculateur!V90*Calculateur!X90*VLOOKUP('Données projet'!$B$9,Paramètres!$A$1:$I$89,3,0)*0.475*44/12</f>
        <v>10.96645158920284</v>
      </c>
      <c r="AB90" s="21">
        <f>EXP(-LN(2)/2)*AB89+(1-EXP(-LN(2)/2))/(LN(2)/2)*V90*Y90*VLOOKUP('Données projet'!$B$9,Paramètres!$A$1:$I$89,3,0)*0.475*44/12</f>
        <v>0.48004761032874627</v>
      </c>
      <c r="AC90" s="22">
        <f t="shared" si="57"/>
        <v>42.928520954456197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349.71285006949597</v>
      </c>
      <c r="AO90" s="59">
        <f t="shared" si="90"/>
        <v>258.51550516456842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133.42708263741704</v>
      </c>
      <c r="AV90" s="21">
        <f>EXP(-LN(2)/25)*AV89+(1-EXP(-LN(2)/25))/(LN(2)/25)*Calculateur!AQ90*Calculateur!AS90*VLOOKUP('Données projet'!$B$10,Paramètres!$A$1:$I$89,3,0)*0.475*44/12</f>
        <v>42.61620061435088</v>
      </c>
      <c r="AW90" s="21">
        <f>EXP(-LN(2)/2)*AW89+(1-EXP(-LN(2)/2))/(LN(2)/2)*AQ90*AT90*VLOOKUP('Données projet'!$B$10,Paramètres!$A$1:$I$89,3,0)*0.475*44/12</f>
        <v>6.2505272084351908</v>
      </c>
      <c r="AX90" s="21">
        <f t="shared" si="60"/>
        <v>182.2938104602031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7.6966666666666681</v>
      </c>
      <c r="BD90" s="12">
        <f>IF('Données projet'!$A$88&gt;35,BD89+BC90-BL89,IF(A90&lt;'Données projet'!$A$88,$BA$205^A90,IF(A90='Données projet'!$A$88,'Données projet'!$B$88,BD89+BC90-BL89)))</f>
        <v>257.19000000000034</v>
      </c>
      <c r="BE90" s="13">
        <f>BD90*VLOOKUP('Données projet'!$B$11,Paramètres!$A$1:$I$89,3,0)*VLOOKUP('Données projet'!$B$11,Paramètres!$A$1:$I$89,5,0)</f>
        <v>232.70551200000031</v>
      </c>
      <c r="BF90" s="13">
        <f t="shared" si="91"/>
        <v>56.867277728071947</v>
      </c>
      <c r="BG90" s="20">
        <f t="shared" si="61"/>
        <v>504.33927544305925</v>
      </c>
      <c r="BH90" s="59">
        <f t="shared" si="62"/>
        <v>797.67260877639251</v>
      </c>
      <c r="BI90" s="59">
        <f ca="1">AVERAGE(OFFSET($BH$3,0,0,'Données projet'!$E$11+1,1))-AVERAGE(OFFSET($H$3,0,0,'Données projet'!$E$11+1,1))</f>
        <v>490.06222615476065</v>
      </c>
      <c r="BJ90" s="59">
        <f t="shared" si="92"/>
        <v>310.43914804089906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21.219241986823516</v>
      </c>
      <c r="BQ90" s="21">
        <f>EXP(-LN(2)/25)*BQ89+(1-EXP(-LN(2)/25))/(LN(2)/25)*Calculateur!BL90*Calculateur!BN90*VLOOKUP('Données projet'!$B$11,Paramètres!$A$1:$I$89,3,0)*0.475*44/12</f>
        <v>24.966362810816563</v>
      </c>
      <c r="BR90" s="21">
        <f>EXP(-LN(2)/2)*BR89+(1-EXP(-LN(2)/2))/(LN(2)/2)*BL90*BO90*VLOOKUP('Données projet'!$B$11,Paramètres!$A$1:$I$89,3,0)*0.475*44/12</f>
        <v>1.5609263235513176</v>
      </c>
      <c r="BS90" s="22">
        <f t="shared" si="63"/>
        <v>47.746531121191396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191.97952799999996</v>
      </c>
      <c r="CA90" s="13">
        <f t="shared" si="93"/>
        <v>47.977334038454906</v>
      </c>
      <c r="CB90" s="20">
        <f t="shared" si="64"/>
        <v>417.92486805030893</v>
      </c>
      <c r="CC90" s="59">
        <f t="shared" si="65"/>
        <v>711.25820138364224</v>
      </c>
      <c r="CD90" s="59">
        <f ca="1">AVERAGE(OFFSET($CC$3,0,0,'Données projet'!$E$12+1,1))-AVERAGE(OFFSET($H$3,0,0,'Données projet'!$E$12+1,1))</f>
        <v>510.71380643466227</v>
      </c>
      <c r="CE90" s="59">
        <f t="shared" si="94"/>
        <v>252.40654099948841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4.2302425935353112</v>
      </c>
      <c r="CL90" s="21">
        <f>EXP(-LN(2)/25)*CL89+(1-EXP(-LN(2)/25))/(LN(2)/25)*Calculateur!CG90*Calculateur!CI90*VLOOKUP('Données projet'!$B$12,Paramètres!$A$1:$I$89,3,0)*0.475*44/12</f>
        <v>14.006874911360589</v>
      </c>
      <c r="CM90" s="21">
        <f>EXP(-LN(2)/2)*CM89+(1-EXP(-LN(2)/2))/(LN(2)/2)*CG90*CJ90*VLOOKUP('Données projet'!$B$12,Paramètres!$A$1:$I$89,3,0)*0.475*44/12</f>
        <v>6.3183511146980305</v>
      </c>
      <c r="CN90" s="22">
        <f t="shared" si="66"/>
        <v>24.555468619593931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9.2740000000000009</v>
      </c>
      <c r="CT90" s="12">
        <f>IF('Données projet'!$A$140&gt;35,CT89+CS90-DB89,IF(A90&lt;'Données projet'!$A$140,$CQ$205^A90,IF(A90='Données projet'!$A$140,'Données projet'!$B$140,CT89+CS90-DB89)))</f>
        <v>293.22599999999989</v>
      </c>
      <c r="CU90" s="17">
        <f>CT90*VLOOKUP('Données projet'!$B$13,Paramètres!$A$1:$I$89,3,0)*VLOOKUP('Données projet'!$B$13,Paramètres!$A$1:$I$89,5,0)</f>
        <v>315.62846639999987</v>
      </c>
      <c r="CV90" s="13">
        <f t="shared" si="95"/>
        <v>74.443044193100945</v>
      </c>
      <c r="CW90" s="20">
        <f t="shared" si="67"/>
        <v>679.37454761631727</v>
      </c>
      <c r="CX90" s="59">
        <f t="shared" si="68"/>
        <v>972.70788094965064</v>
      </c>
      <c r="CY90" s="59">
        <f ca="1">AVERAGE(OFFSET($CX$3,0,0,'Données projet'!$E$13+1,1))-AVERAGE(OFFSET($H$3,0,0,'Données projet'!$E$13+1,1))</f>
        <v>502.65044103360322</v>
      </c>
      <c r="CZ90" s="59">
        <f t="shared" si="96"/>
        <v>321.65762891855167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27.818160977936767</v>
      </c>
      <c r="DG90" s="21">
        <f>EXP(-LN(2)/25)*DG89+(1-EXP(-LN(2)/25))/(LN(2)/25)*Calculateur!DB90*Calculateur!DD90*VLOOKUP('Données projet'!$B$13,Paramètres!$A$1:$I$89,3,0)*0.475*44/12</f>
        <v>26.712091260858031</v>
      </c>
      <c r="DH90" s="21">
        <f>EXP(-LN(2)/2)*DH89+(1-EXP(-LN(2)/2))/(LN(2)/2)*DB90*DE90*VLOOKUP('Données projet'!$B$13,Paramètres!$A$1:$I$89,3,0)*0.475*44/12</f>
        <v>1.3425775953295402</v>
      </c>
      <c r="DI90" s="22">
        <f t="shared" si="69"/>
        <v>55.872829834124339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-25.899999999999977</v>
      </c>
      <c r="DP90" s="17">
        <f>DO90*VLOOKUP('Données projet'!$B$14,Paramètres!$A$1:$I$89,3,0)*VLOOKUP('Données projet'!$B$14,Paramètres!$A$1:$I$89,5,0)</f>
        <v>-13.171703999999989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63.94726564348116</v>
      </c>
      <c r="DU90" s="59">
        <f t="shared" si="98"/>
        <v>280.8165028422905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16.500816444590846</v>
      </c>
      <c r="EB90" s="21">
        <f>EXP(-LN(2)/25)*EB89+(1-EXP(-LN(2)/25))/(LN(2)/25)*Calculateur!DW90*Calculateur!DY90*VLOOKUP('Données projet'!$B$14,Paramètres!$A$1:$I$89,3,0)*0.475*44/12</f>
        <v>1.3379186132439382</v>
      </c>
      <c r="EC90" s="21">
        <f>EXP(-LN(2)/2)*EC89+(1-EXP(-LN(2)/2))/(LN(2)/2)*DW90*DZ90*VLOOKUP('Données projet'!$B$14,Paramètres!$A$1:$I$89,3,0)*0.475*44/12</f>
        <v>2.5595678277521214E-10</v>
      </c>
      <c r="ED90" s="22">
        <f t="shared" si="72"/>
        <v>17.838735058090741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5.7259999999999991</v>
      </c>
      <c r="N91" s="13">
        <f>IF('Données projet'!$A$36&gt;35,N90+M91-V90,IF(A91&lt;'Données projet'!$A$36,$K$205^A91,IF(A91='Données projet'!$A$36,'Données projet'!$B$36,N90+M91-V90)))</f>
        <v>355.13799999999958</v>
      </c>
      <c r="O91" s="13">
        <f>N91*VLOOKUP('Données projet'!$B$9,Paramètres!$A$1:$I$89,3,0)*VLOOKUP('Données projet'!$B$9,Paramètres!$A$1:$I$89,5,0)</f>
        <v>203.13893599999977</v>
      </c>
      <c r="P91" s="13">
        <f t="shared" si="87"/>
        <v>50.433384378355015</v>
      </c>
      <c r="Q91" s="20">
        <f t="shared" si="54"/>
        <v>441.63845799230126</v>
      </c>
      <c r="R91" s="59">
        <f t="shared" si="55"/>
        <v>734.97179132563451</v>
      </c>
      <c r="S91" s="59">
        <f ca="1">AVERAGE(OFFSET($R$3,0,0,'Données projet'!$E$9+1,1))-AVERAGE(OFFSET($H$3,0,0,'Données projet'!$E$9+1,1))</f>
        <v>294.9631697747962</v>
      </c>
      <c r="T91" s="59">
        <f t="shared" si="88"/>
        <v>202.04924881627716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30.86467851044776</v>
      </c>
      <c r="AA91" s="21">
        <f>EXP(-LN(2)/25)*AA90+(1-EXP(-LN(2)/25))/(LN(2)/25)*Calculateur!V91*Calculateur!X91*VLOOKUP('Données projet'!$B$9,Paramètres!$A$1:$I$89,3,0)*0.475*44/12</f>
        <v>10.666573393795463</v>
      </c>
      <c r="AB91" s="21">
        <f>EXP(-LN(2)/2)*AB90+(1-EXP(-LN(2)/2))/(LN(2)/2)*V91*Y91*VLOOKUP('Données projet'!$B$9,Paramètres!$A$1:$I$89,3,0)*0.475*44/12</f>
        <v>0.33944492055585385</v>
      </c>
      <c r="AC91" s="22">
        <f t="shared" si="57"/>
        <v>41.870696824799076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349.71285006949597</v>
      </c>
      <c r="AO91" s="59">
        <f t="shared" si="90"/>
        <v>258.51550516456842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130.81065892938184</v>
      </c>
      <c r="AV91" s="21">
        <f>EXP(-LN(2)/25)*AV90+(1-EXP(-LN(2)/25))/(LN(2)/25)*Calculateur!AQ91*Calculateur!AS91*VLOOKUP('Données projet'!$B$10,Paramètres!$A$1:$I$89,3,0)*0.475*44/12</f>
        <v>41.450858367462864</v>
      </c>
      <c r="AW91" s="21">
        <f>EXP(-LN(2)/2)*AW90+(1-EXP(-LN(2)/2))/(LN(2)/2)*AQ91*AT91*VLOOKUP('Données projet'!$B$10,Paramètres!$A$1:$I$89,3,0)*0.475*44/12</f>
        <v>4.4197901750755442</v>
      </c>
      <c r="AX91" s="21">
        <f t="shared" si="60"/>
        <v>176.68130747192026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7.6966666666666681</v>
      </c>
      <c r="BD91" s="12">
        <f>IF('Données projet'!$A$88&gt;35,BD90+BC91-BL90,IF(A91&lt;'Données projet'!$A$88,$BA$205^A91,IF(A91='Données projet'!$A$88,'Données projet'!$B$88,BD90+BC91-BL90)))</f>
        <v>264.886666666667</v>
      </c>
      <c r="BE91" s="13">
        <f>BD91*VLOOKUP('Données projet'!$B$11,Paramètres!$A$1:$I$89,3,0)*VLOOKUP('Données projet'!$B$11,Paramètres!$A$1:$I$89,5,0)</f>
        <v>239.66945600000031</v>
      </c>
      <c r="BF91" s="13">
        <f t="shared" si="91"/>
        <v>58.368406626869316</v>
      </c>
      <c r="BG91" s="20">
        <f t="shared" si="61"/>
        <v>519.08261074179791</v>
      </c>
      <c r="BH91" s="59">
        <f t="shared" si="62"/>
        <v>812.41594407513116</v>
      </c>
      <c r="BI91" s="59">
        <f ca="1">AVERAGE(OFFSET($BH$3,0,0,'Données projet'!$E$11+1,1))-AVERAGE(OFFSET($H$3,0,0,'Données projet'!$E$11+1,1))</f>
        <v>490.06222615476065</v>
      </c>
      <c r="BJ91" s="59">
        <f t="shared" si="92"/>
        <v>310.43914804089906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20.803145593921556</v>
      </c>
      <c r="BQ91" s="21">
        <f>EXP(-LN(2)/25)*BQ90+(1-EXP(-LN(2)/25))/(LN(2)/25)*Calculateur!BL91*Calculateur!BN91*VLOOKUP('Données projet'!$B$11,Paramètres!$A$1:$I$89,3,0)*0.475*44/12</f>
        <v>24.283656306830824</v>
      </c>
      <c r="BR91" s="21">
        <f>EXP(-LN(2)/2)*BR90+(1-EXP(-LN(2)/2))/(LN(2)/2)*BL91*BO91*VLOOKUP('Données projet'!$B$11,Paramètres!$A$1:$I$89,3,0)*0.475*44/12</f>
        <v>1.1037415883157236</v>
      </c>
      <c r="BS91" s="22">
        <f t="shared" si="63"/>
        <v>46.190543489068098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198.51779999999997</v>
      </c>
      <c r="CA91" s="13">
        <f t="shared" si="93"/>
        <v>49.418284138701907</v>
      </c>
      <c r="CB91" s="20">
        <f t="shared" si="64"/>
        <v>431.82201320823901</v>
      </c>
      <c r="CC91" s="59">
        <f t="shared" si="65"/>
        <v>725.15534654157227</v>
      </c>
      <c r="CD91" s="59">
        <f ca="1">AVERAGE(OFFSET($CC$3,0,0,'Données projet'!$E$12+1,1))-AVERAGE(OFFSET($H$3,0,0,'Données projet'!$E$12+1,1))</f>
        <v>510.71380643466227</v>
      </c>
      <c r="CE91" s="59">
        <f t="shared" si="94"/>
        <v>252.40654099948841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4.1472901164692928</v>
      </c>
      <c r="CL91" s="21">
        <f>EXP(-LN(2)/25)*CL90+(1-EXP(-LN(2)/25))/(LN(2)/25)*Calculateur!CG91*Calculateur!CI91*VLOOKUP('Données projet'!$B$12,Paramètres!$A$1:$I$89,3,0)*0.475*44/12</f>
        <v>13.623856180319894</v>
      </c>
      <c r="CM91" s="21">
        <f>EXP(-LN(2)/2)*CM90+(1-EXP(-LN(2)/2))/(LN(2)/2)*CG91*CJ91*VLOOKUP('Données projet'!$B$12,Paramètres!$A$1:$I$89,3,0)*0.475*44/12</f>
        <v>4.4677489191205595</v>
      </c>
      <c r="CN91" s="22">
        <f t="shared" si="66"/>
        <v>22.238895215909746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9.2740000000000009</v>
      </c>
      <c r="CT91" s="12">
        <f>IF('Données projet'!$A$140&gt;35,CT90+CS91-DB90,IF(A91&lt;'Données projet'!$A$140,$CQ$205^A91,IF(A91='Données projet'!$A$140,'Données projet'!$B$140,CT90+CS91-DB90)))</f>
        <v>302.49999999999989</v>
      </c>
      <c r="CU91" s="17">
        <f>CT91*VLOOKUP('Données projet'!$B$13,Paramètres!$A$1:$I$89,3,0)*VLOOKUP('Données projet'!$B$13,Paramètres!$A$1:$I$89,5,0)</f>
        <v>325.61099999999988</v>
      </c>
      <c r="CV91" s="13">
        <f t="shared" si="95"/>
        <v>76.519647625515432</v>
      </c>
      <c r="CW91" s="20">
        <f t="shared" si="67"/>
        <v>700.3775446144391</v>
      </c>
      <c r="CX91" s="59">
        <f t="shared" si="68"/>
        <v>993.71087794777236</v>
      </c>
      <c r="CY91" s="59">
        <f ca="1">AVERAGE(OFFSET($CX$3,0,0,'Données projet'!$E$13+1,1))-AVERAGE(OFFSET($H$3,0,0,'Données projet'!$E$13+1,1))</f>
        <v>502.65044103360322</v>
      </c>
      <c r="CZ91" s="59">
        <f t="shared" si="96"/>
        <v>321.65762891855167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27.272663808562232</v>
      </c>
      <c r="DG91" s="21">
        <f>EXP(-LN(2)/25)*DG90+(1-EXP(-LN(2)/25))/(LN(2)/25)*Calculateur!DB91*Calculateur!DD91*VLOOKUP('Données projet'!$B$13,Paramètres!$A$1:$I$89,3,0)*0.475*44/12</f>
        <v>25.981647720602041</v>
      </c>
      <c r="DH91" s="21">
        <f>EXP(-LN(2)/2)*DH90+(1-EXP(-LN(2)/2))/(LN(2)/2)*DB91*DE91*VLOOKUP('Données projet'!$B$13,Paramètres!$A$1:$I$89,3,0)*0.475*44/12</f>
        <v>0.94934572192664646</v>
      </c>
      <c r="DI91" s="22">
        <f t="shared" si="69"/>
        <v>54.203657251090917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-25.899999999999977</v>
      </c>
      <c r="DP91" s="17">
        <f>DO91*VLOOKUP('Données projet'!$B$14,Paramètres!$A$1:$I$89,3,0)*VLOOKUP('Données projet'!$B$14,Paramètres!$A$1:$I$89,5,0)</f>
        <v>-13.171703999999989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63.94726564348116</v>
      </c>
      <c r="DU91" s="59">
        <f t="shared" si="98"/>
        <v>280.8165028422905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16.177245498616664</v>
      </c>
      <c r="EB91" s="21">
        <f>EXP(-LN(2)/25)*EB90+(1-EXP(-LN(2)/25))/(LN(2)/25)*Calculateur!DW91*Calculateur!DY91*VLOOKUP('Données projet'!$B$14,Paramètres!$A$1:$I$89,3,0)*0.475*44/12</f>
        <v>1.3013331584067007</v>
      </c>
      <c r="EC91" s="21">
        <f>EXP(-LN(2)/2)*EC90+(1-EXP(-LN(2)/2))/(LN(2)/2)*DW91*DZ91*VLOOKUP('Données projet'!$B$14,Paramètres!$A$1:$I$89,3,0)*0.475*44/12</f>
        <v>1.8098877679104461E-10</v>
      </c>
      <c r="ED91" s="22">
        <f t="shared" si="72"/>
        <v>17.478578657204352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5.7259999999999991</v>
      </c>
      <c r="N92" s="13">
        <f>IF('Données projet'!$A$36&gt;35,N91+M92-V91,IF(A92&lt;'Données projet'!$A$36,$K$205^A92,IF(A92='Données projet'!$A$36,'Données projet'!$B$36,N91+M92-V91)))</f>
        <v>360.86399999999958</v>
      </c>
      <c r="O92" s="13">
        <f>N92*VLOOKUP('Données projet'!$B$9,Paramètres!$A$1:$I$89,3,0)*VLOOKUP('Données projet'!$B$9,Paramètres!$A$1:$I$89,5,0)</f>
        <v>206.41420799999977</v>
      </c>
      <c r="P92" s="13">
        <f t="shared" si="87"/>
        <v>51.151216226556663</v>
      </c>
      <c r="Q92" s="20">
        <f t="shared" si="54"/>
        <v>448.59311386125245</v>
      </c>
      <c r="R92" s="59">
        <f t="shared" si="55"/>
        <v>741.92644719458576</v>
      </c>
      <c r="S92" s="59">
        <f ca="1">AVERAGE(OFFSET($R$3,0,0,'Données projet'!$E$9+1,1))-AVERAGE(OFFSET($H$3,0,0,'Données projet'!$E$9+1,1))</f>
        <v>294.9631697747962</v>
      </c>
      <c r="T92" s="59">
        <f t="shared" si="88"/>
        <v>202.04924881627716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30.259440990452898</v>
      </c>
      <c r="AA92" s="21">
        <f>EXP(-LN(2)/25)*AA91+(1-EXP(-LN(2)/25))/(LN(2)/25)*Calculateur!V92*Calculateur!X92*VLOOKUP('Données projet'!$B$9,Paramètres!$A$1:$I$89,3,0)*0.475*44/12</f>
        <v>10.37489538341141</v>
      </c>
      <c r="AB92" s="21">
        <f>EXP(-LN(2)/2)*AB91+(1-EXP(-LN(2)/2))/(LN(2)/2)*V92*Y92*VLOOKUP('Données projet'!$B$9,Paramètres!$A$1:$I$89,3,0)*0.475*44/12</f>
        <v>0.24002380516437316</v>
      </c>
      <c r="AC92" s="22">
        <f t="shared" si="57"/>
        <v>40.874360179028677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349.71285006949597</v>
      </c>
      <c r="AO92" s="59">
        <f t="shared" si="90"/>
        <v>258.51550516456842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128.24554169440034</v>
      </c>
      <c r="AV92" s="21">
        <f>EXP(-LN(2)/25)*AV91+(1-EXP(-LN(2)/25))/(LN(2)/25)*Calculateur!AQ92*Calculateur!AS92*VLOOKUP('Données projet'!$B$10,Paramètres!$A$1:$I$89,3,0)*0.475*44/12</f>
        <v>40.317382465598691</v>
      </c>
      <c r="AW92" s="21">
        <f>EXP(-LN(2)/2)*AW91+(1-EXP(-LN(2)/2))/(LN(2)/2)*AQ92*AT92*VLOOKUP('Données projet'!$B$10,Paramètres!$A$1:$I$89,3,0)*0.475*44/12</f>
        <v>3.1252636042175954</v>
      </c>
      <c r="AX92" s="21">
        <f t="shared" si="60"/>
        <v>171.68818776421662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7.6966666666666681</v>
      </c>
      <c r="BD92" s="12">
        <f>IF('Données projet'!$A$88&gt;35,BD91+BC92-BL91,IF(A92&lt;'Données projet'!$A$88,$BA$205^A92,IF(A92='Données projet'!$A$88,'Données projet'!$B$88,BD91+BC92-BL91)))</f>
        <v>272.58333333333366</v>
      </c>
      <c r="BE92" s="13">
        <f>BD92*VLOOKUP('Données projet'!$B$11,Paramètres!$A$1:$I$89,3,0)*VLOOKUP('Données projet'!$B$11,Paramètres!$A$1:$I$89,5,0)</f>
        <v>246.63340000000028</v>
      </c>
      <c r="BF92" s="13">
        <f t="shared" si="91"/>
        <v>59.864466273444549</v>
      </c>
      <c r="BG92" s="20">
        <f t="shared" si="61"/>
        <v>533.81711709291642</v>
      </c>
      <c r="BH92" s="59">
        <f t="shared" si="62"/>
        <v>827.15045042624979</v>
      </c>
      <c r="BI92" s="59">
        <f ca="1">AVERAGE(OFFSET($BH$3,0,0,'Données projet'!$E$11+1,1))-AVERAGE(OFFSET($H$3,0,0,'Données projet'!$E$11+1,1))</f>
        <v>490.06222615476065</v>
      </c>
      <c r="BJ92" s="59">
        <f t="shared" si="92"/>
        <v>310.43914804089906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20.395208597490665</v>
      </c>
      <c r="BQ92" s="21">
        <f>EXP(-LN(2)/25)*BQ91+(1-EXP(-LN(2)/25))/(LN(2)/25)*Calculateur!BL92*Calculateur!BN92*VLOOKUP('Données projet'!$B$11,Paramètres!$A$1:$I$89,3,0)*0.475*44/12</f>
        <v>23.619618448098553</v>
      </c>
      <c r="BR92" s="21">
        <f>EXP(-LN(2)/2)*BR91+(1-EXP(-LN(2)/2))/(LN(2)/2)*BL92*BO92*VLOOKUP('Données projet'!$B$11,Paramètres!$A$1:$I$89,3,0)*0.475*44/12</f>
        <v>0.78046316177565878</v>
      </c>
      <c r="BS92" s="22">
        <f t="shared" si="63"/>
        <v>44.795290207364872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205.05607199999992</v>
      </c>
      <c r="CA92" s="13">
        <f t="shared" si="93"/>
        <v>50.853719611219461</v>
      </c>
      <c r="CB92" s="20">
        <f t="shared" si="64"/>
        <v>445.70955372287375</v>
      </c>
      <c r="CC92" s="59">
        <f t="shared" si="65"/>
        <v>739.04288705620706</v>
      </c>
      <c r="CD92" s="59">
        <f ca="1">AVERAGE(OFFSET($CC$3,0,0,'Données projet'!$E$12+1,1))-AVERAGE(OFFSET($H$3,0,0,'Données projet'!$E$12+1,1))</f>
        <v>510.71380643466227</v>
      </c>
      <c r="CE92" s="59">
        <f t="shared" si="94"/>
        <v>252.40654099948841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4.0659642868825241</v>
      </c>
      <c r="CL92" s="21">
        <f>EXP(-LN(2)/25)*CL91+(1-EXP(-LN(2)/25))/(LN(2)/25)*Calculateur!CG92*Calculateur!CI92*VLOOKUP('Données projet'!$B$12,Paramètres!$A$1:$I$89,3,0)*0.475*44/12</f>
        <v>13.251311116621588</v>
      </c>
      <c r="CM92" s="21">
        <f>EXP(-LN(2)/2)*CM91+(1-EXP(-LN(2)/2))/(LN(2)/2)*CG92*CJ92*VLOOKUP('Données projet'!$B$12,Paramètres!$A$1:$I$89,3,0)*0.475*44/12</f>
        <v>3.1591755573490157</v>
      </c>
      <c r="CN92" s="22">
        <f t="shared" si="66"/>
        <v>20.476450960853128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9.2740000000000009</v>
      </c>
      <c r="CT92" s="12">
        <f>IF('Données projet'!$A$140&gt;35,CT91+CS92-DB91,IF(A92&lt;'Données projet'!$A$140,$CQ$205^A92,IF(A92='Données projet'!$A$140,'Données projet'!$B$140,CT91+CS92-DB91)))</f>
        <v>311.77399999999989</v>
      </c>
      <c r="CU92" s="17">
        <f>CT92*VLOOKUP('Données projet'!$B$13,Paramètres!$A$1:$I$89,3,0)*VLOOKUP('Données projet'!$B$13,Paramètres!$A$1:$I$89,5,0)</f>
        <v>335.59353359999983</v>
      </c>
      <c r="CV92" s="13">
        <f t="shared" si="95"/>
        <v>78.588852527390316</v>
      </c>
      <c r="CW92" s="20">
        <f t="shared" si="67"/>
        <v>721.36765583853776</v>
      </c>
      <c r="CX92" s="59">
        <f t="shared" si="68"/>
        <v>1014.700989171871</v>
      </c>
      <c r="CY92" s="59">
        <f ca="1">AVERAGE(OFFSET($CX$3,0,0,'Données projet'!$E$13+1,1))-AVERAGE(OFFSET($H$3,0,0,'Données projet'!$E$13+1,1))</f>
        <v>502.65044103360322</v>
      </c>
      <c r="CZ92" s="59">
        <f t="shared" si="96"/>
        <v>321.65762891855167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26.73786350595871</v>
      </c>
      <c r="DG92" s="21">
        <f>EXP(-LN(2)/25)*DG91+(1-EXP(-LN(2)/25))/(LN(2)/25)*Calculateur!DB92*Calculateur!DD92*VLOOKUP('Données projet'!$B$13,Paramètres!$A$1:$I$89,3,0)*0.475*44/12</f>
        <v>25.271178197366705</v>
      </c>
      <c r="DH92" s="21">
        <f>EXP(-LN(2)/2)*DH91+(1-EXP(-LN(2)/2))/(LN(2)/2)*DB92*DE92*VLOOKUP('Données projet'!$B$13,Paramètres!$A$1:$I$89,3,0)*0.475*44/12</f>
        <v>0.67128879766477023</v>
      </c>
      <c r="DI92" s="22">
        <f t="shared" si="69"/>
        <v>52.680330500990188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-25.899999999999977</v>
      </c>
      <c r="DP92" s="17">
        <f>DO92*VLOOKUP('Données projet'!$B$14,Paramètres!$A$1:$I$89,3,0)*VLOOKUP('Données projet'!$B$14,Paramètres!$A$1:$I$89,5,0)</f>
        <v>-13.171703999999989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63.94726564348116</v>
      </c>
      <c r="DU92" s="59">
        <f t="shared" si="98"/>
        <v>280.8165028422905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15.860019581534246</v>
      </c>
      <c r="EB92" s="21">
        <f>EXP(-LN(2)/25)*EB91+(1-EXP(-LN(2)/25))/(LN(2)/25)*Calculateur!DW92*Calculateur!DY92*VLOOKUP('Données projet'!$B$14,Paramètres!$A$1:$I$89,3,0)*0.475*44/12</f>
        <v>1.265748134755933</v>
      </c>
      <c r="EC92" s="21">
        <f>EXP(-LN(2)/2)*EC91+(1-EXP(-LN(2)/2))/(LN(2)/2)*DW92*DZ92*VLOOKUP('Données projet'!$B$14,Paramètres!$A$1:$I$89,3,0)*0.475*44/12</f>
        <v>1.2797839138760607E-10</v>
      </c>
      <c r="ED92" s="22">
        <f t="shared" si="72"/>
        <v>17.125767716418157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366.59</v>
      </c>
      <c r="L93" s="12">
        <f>VLOOKUP(A93,'Données projet'!$A$35:$I$55,9,0)</f>
        <v>5.7259999999999991</v>
      </c>
      <c r="M93" s="12">
        <f t="array" ref="M93">INDEX(L:L,MIN(IF(ISNUMBER(L93:L289),ROW(L93:L289),"")))</f>
        <v>5.7259999999999991</v>
      </c>
      <c r="N93" s="13">
        <f>IF('Données projet'!$A$36&gt;35,N92+M93-V92,IF(A93&lt;'Données projet'!$A$36,$K$205^A93,IF(A93='Données projet'!$A$36,'Données projet'!$B$36,N92+M93-V92)))</f>
        <v>366.58999999999958</v>
      </c>
      <c r="O93" s="13">
        <f>N93*VLOOKUP('Données projet'!$B$9,Paramètres!$A$1:$I$89,3,0)*VLOOKUP('Données projet'!$B$9,Paramètres!$A$1:$I$89,5,0)</f>
        <v>209.68947999999978</v>
      </c>
      <c r="P93" s="13">
        <f t="shared" si="87"/>
        <v>51.867723422899672</v>
      </c>
      <c r="Q93" s="20">
        <f t="shared" si="54"/>
        <v>455.54546262821646</v>
      </c>
      <c r="R93" s="59">
        <f t="shared" si="55"/>
        <v>748.87879596154971</v>
      </c>
      <c r="S93" s="59">
        <f ca="1">AVERAGE(OFFSET($R$3,0,0,'Données projet'!$E$9+1,1))-AVERAGE(OFFSET($H$3,0,0,'Données projet'!$E$9+1,1))</f>
        <v>294.9631697747962</v>
      </c>
      <c r="T93" s="59">
        <f t="shared" si="88"/>
        <v>202.04924881627716</v>
      </c>
      <c r="U93" s="15">
        <f>IF(ISNA(VLOOKUP(A93,'Données projet'!$A$35:$I$55,3,0)),0,VLOOKUP(A93,'Données projet'!$A$35:$I$55,3,0))</f>
        <v>9</v>
      </c>
      <c r="V93" s="15">
        <f>IF(ISNA(VLOOKUP(A93,'Données projet'!$A$35:$I$55,4,0)),0,VLOOKUP(A93,'Données projet'!$A$35:$I$55,4,0))</f>
        <v>40.859999999999957</v>
      </c>
      <c r="W93" s="16">
        <f>IF(ISNA(VLOOKUP(A93,'Données projet'!$A$35:$I$55,5,0)),0%,VLOOKUP(A93,'Données projet'!$A$35:$I$55,5,0)*VLOOKUP('Données projet'!$B$9,Paramètres!$A$1:$I$89,7,0))</f>
        <v>0.27</v>
      </c>
      <c r="X93" s="16">
        <f>IF(ISNA(VLOOKUP(A93,'Données projet'!$A$35:$I$55,6,0)),0%,VLOOKUP(A93,'Données projet'!$A$35:$I$55,6,0)*VLOOKUP('Données projet'!$B$9,Paramètres!$A$1:$I$89,7,0))</f>
        <v>9.0000000000000011E-2</v>
      </c>
      <c r="Y93" s="16">
        <f>IF(ISNA(VLOOKUP(A93,'Données projet'!$A$35:$I$55,7,0)),0%,VLOOKUP(A93,'Données projet'!$A$35:$I$55,7,0))</f>
        <v>0.2</v>
      </c>
      <c r="Z93" s="21">
        <f>EXP(-LN(2)/35)*Z92+(1-EXP(-LN(2)/35))/(LN(2)/35)*V93*W93*VLOOKUP('Données projet'!$B$9,Paramètres!$A$1:$I$89,3,0)*0.475*44/12</f>
        <v>38.037248557458348</v>
      </c>
      <c r="AA93" s="21">
        <f>EXP(-LN(2)/25)*AA92+(1-EXP(-LN(2)/25))/(LN(2)/25)*Calculateur!V93*Calculateur!X93*VLOOKUP('Données projet'!$B$9,Paramètres!$A$1:$I$89,3,0)*0.475*44/12</f>
        <v>12.870598735514928</v>
      </c>
      <c r="AB93" s="21">
        <f>EXP(-LN(2)/2)*AB92+(1-EXP(-LN(2)/2))/(LN(2)/2)*V93*Y93*VLOOKUP('Données projet'!$B$9,Paramètres!$A$1:$I$89,3,0)*0.475*44/12</f>
        <v>5.4622109961188725</v>
      </c>
      <c r="AC93" s="22">
        <f t="shared" si="57"/>
        <v>56.370058289092142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349.71285006949597</v>
      </c>
      <c r="AO93" s="59">
        <f t="shared" si="90"/>
        <v>258.51550516456842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125.7307248438298</v>
      </c>
      <c r="AV93" s="21">
        <f>EXP(-LN(2)/25)*AV92+(1-EXP(-LN(2)/25))/(LN(2)/25)*Calculateur!AQ93*Calculateur!AS93*VLOOKUP('Données projet'!$B$10,Paramètres!$A$1:$I$89,3,0)*0.475*44/12</f>
        <v>39.214901521877898</v>
      </c>
      <c r="AW93" s="21">
        <f>EXP(-LN(2)/2)*AW92+(1-EXP(-LN(2)/2))/(LN(2)/2)*AQ93*AT93*VLOOKUP('Données projet'!$B$10,Paramètres!$A$1:$I$89,3,0)*0.475*44/12</f>
        <v>2.2098950875377721</v>
      </c>
      <c r="AX93" s="21">
        <f t="shared" si="60"/>
        <v>167.15552145324548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7.6966666666666681</v>
      </c>
      <c r="BD93" s="12">
        <f>IF('Données projet'!$A$88&gt;35,BD92+BC93-BL92,IF(A93&lt;'Données projet'!$A$88,$BA$205^A93,IF(A93='Données projet'!$A$88,'Données projet'!$B$88,BD92+BC93-BL92)))</f>
        <v>280.28000000000031</v>
      </c>
      <c r="BE93" s="13">
        <f>BD93*VLOOKUP('Données projet'!$B$11,Paramètres!$A$1:$I$89,3,0)*VLOOKUP('Données projet'!$B$11,Paramètres!$A$1:$I$89,5,0)</f>
        <v>253.59734400000028</v>
      </c>
      <c r="BF93" s="13">
        <f t="shared" si="91"/>
        <v>61.355616244892218</v>
      </c>
      <c r="BG93" s="20">
        <f t="shared" si="61"/>
        <v>548.54307242652112</v>
      </c>
      <c r="BH93" s="59">
        <f t="shared" si="62"/>
        <v>841.87640575985438</v>
      </c>
      <c r="BI93" s="59">
        <f ca="1">AVERAGE(OFFSET($BH$3,0,0,'Données projet'!$E$11+1,1))-AVERAGE(OFFSET($H$3,0,0,'Données projet'!$E$11+1,1))</f>
        <v>490.06222615476065</v>
      </c>
      <c r="BJ93" s="59">
        <f t="shared" si="92"/>
        <v>310.43914804089906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19.995270996742786</v>
      </c>
      <c r="BQ93" s="21">
        <f>EXP(-LN(2)/25)*BQ92+(1-EXP(-LN(2)/25))/(LN(2)/25)*Calculateur!BL93*Calculateur!BN93*VLOOKUP('Données projet'!$B$11,Paramètres!$A$1:$I$89,3,0)*0.475*44/12</f>
        <v>22.973738739533548</v>
      </c>
      <c r="BR93" s="21">
        <f>EXP(-LN(2)/2)*BR92+(1-EXP(-LN(2)/2))/(LN(2)/2)*BL93*BO93*VLOOKUP('Données projet'!$B$11,Paramètres!$A$1:$I$89,3,0)*0.475*44/12</f>
        <v>0.55187079415786178</v>
      </c>
      <c r="BS93" s="22">
        <f t="shared" si="63"/>
        <v>43.520880530434198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211.59434399999995</v>
      </c>
      <c r="CA93" s="13">
        <f t="shared" si="93"/>
        <v>52.283836462333554</v>
      </c>
      <c r="CB93" s="20">
        <f t="shared" si="64"/>
        <v>459.58783097189752</v>
      </c>
      <c r="CC93" s="59">
        <f t="shared" si="65"/>
        <v>752.92116430523083</v>
      </c>
      <c r="CD93" s="59">
        <f ca="1">AVERAGE(OFFSET($CC$3,0,0,'Données projet'!$E$12+1,1))-AVERAGE(OFFSET($H$3,0,0,'Données projet'!$E$12+1,1))</f>
        <v>510.71380643466227</v>
      </c>
      <c r="CE93" s="59">
        <f t="shared" si="94"/>
        <v>252.40654099948841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3.9862332072100939</v>
      </c>
      <c r="CL93" s="21">
        <f>EXP(-LN(2)/25)*CL92+(1-EXP(-LN(2)/25))/(LN(2)/25)*Calculateur!CG93*Calculateur!CI93*VLOOKUP('Données projet'!$B$12,Paramètres!$A$1:$I$89,3,0)*0.475*44/12</f>
        <v>12.888953317281405</v>
      </c>
      <c r="CM93" s="21">
        <f>EXP(-LN(2)/2)*CM92+(1-EXP(-LN(2)/2))/(LN(2)/2)*CG93*CJ93*VLOOKUP('Données projet'!$B$12,Paramètres!$A$1:$I$89,3,0)*0.475*44/12</f>
        <v>2.2338744595602797</v>
      </c>
      <c r="CN93" s="22">
        <f t="shared" si="66"/>
        <v>19.10906098405178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9.2740000000000009</v>
      </c>
      <c r="CT93" s="12">
        <f>IF('Données projet'!$A$140&gt;35,CT92+CS93-DB92,IF(A93&lt;'Données projet'!$A$140,$CQ$205^A93,IF(A93='Données projet'!$A$140,'Données projet'!$B$140,CT92+CS93-DB92)))</f>
        <v>321.04799999999989</v>
      </c>
      <c r="CU93" s="17">
        <f>CT93*VLOOKUP('Données projet'!$B$13,Paramètres!$A$1:$I$89,3,0)*VLOOKUP('Données projet'!$B$13,Paramètres!$A$1:$I$89,5,0)</f>
        <v>345.57606719999984</v>
      </c>
      <c r="CV93" s="13">
        <f t="shared" si="95"/>
        <v>80.650904240067121</v>
      </c>
      <c r="CW93" s="20">
        <f t="shared" si="67"/>
        <v>742.34530859144991</v>
      </c>
      <c r="CX93" s="59">
        <f t="shared" si="68"/>
        <v>1035.6786419247833</v>
      </c>
      <c r="CY93" s="59">
        <f ca="1">AVERAGE(OFFSET($CX$3,0,0,'Données projet'!$E$13+1,1))-AVERAGE(OFFSET($H$3,0,0,'Données projet'!$E$13+1,1))</f>
        <v>502.65044103360322</v>
      </c>
      <c r="CZ93" s="59">
        <f t="shared" si="96"/>
        <v>321.65762891855167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26.213550311093268</v>
      </c>
      <c r="DG93" s="21">
        <f>EXP(-LN(2)/25)*DG92+(1-EXP(-LN(2)/25))/(LN(2)/25)*Calculateur!DB93*Calculateur!DD93*VLOOKUP('Données projet'!$B$13,Paramètres!$A$1:$I$89,3,0)*0.475*44/12</f>
        <v>24.580136500606208</v>
      </c>
      <c r="DH93" s="21">
        <f>EXP(-LN(2)/2)*DH92+(1-EXP(-LN(2)/2))/(LN(2)/2)*DB93*DE93*VLOOKUP('Données projet'!$B$13,Paramètres!$A$1:$I$89,3,0)*0.475*44/12</f>
        <v>0.47467286096332328</v>
      </c>
      <c r="DI93" s="22">
        <f t="shared" si="69"/>
        <v>51.268359672662797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-25.899999999999977</v>
      </c>
      <c r="DP93" s="17">
        <f>DO93*VLOOKUP('Données projet'!$B$14,Paramètres!$A$1:$I$89,3,0)*VLOOKUP('Données projet'!$B$14,Paramètres!$A$1:$I$89,5,0)</f>
        <v>-13.171703999999989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63.94726564348116</v>
      </c>
      <c r="DU93" s="59">
        <f t="shared" si="98"/>
        <v>280.8165028422905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15.549014271197111</v>
      </c>
      <c r="EB93" s="21">
        <f>EXP(-LN(2)/25)*EB92+(1-EXP(-LN(2)/25))/(LN(2)/25)*Calculateur!DW93*Calculateur!DY93*VLOOKUP('Données projet'!$B$14,Paramètres!$A$1:$I$89,3,0)*0.475*44/12</f>
        <v>1.2311361854482306</v>
      </c>
      <c r="EC93" s="21">
        <f>EXP(-LN(2)/2)*EC92+(1-EXP(-LN(2)/2))/(LN(2)/2)*DW93*DZ93*VLOOKUP('Données projet'!$B$14,Paramètres!$A$1:$I$89,3,0)*0.475*44/12</f>
        <v>9.0494388395522306E-11</v>
      </c>
      <c r="ED93" s="22">
        <f t="shared" si="72"/>
        <v>16.780150456735836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4.9529999999999976</v>
      </c>
      <c r="N94" s="13">
        <f>IF('Données projet'!$A$36&gt;35,N93+M94-V93,IF(A94&lt;'Données projet'!$A$36,$K$205^A94,IF(A94='Données projet'!$A$36,'Données projet'!$B$36,N93+M94-V93)))</f>
        <v>330.68299999999959</v>
      </c>
      <c r="O94" s="13">
        <f>N94*VLOOKUP('Données projet'!$B$9,Paramètres!$A$1:$I$89,3,0)*VLOOKUP('Données projet'!$B$9,Paramètres!$A$1:$I$89,5,0)</f>
        <v>189.15067599999978</v>
      </c>
      <c r="P94" s="13">
        <f t="shared" si="87"/>
        <v>47.352130440853948</v>
      </c>
      <c r="Q94" s="20">
        <f t="shared" si="54"/>
        <v>411.90905455115353</v>
      </c>
      <c r="R94" s="59">
        <f t="shared" si="55"/>
        <v>705.24238788448679</v>
      </c>
      <c r="S94" s="59">
        <f ca="1">AVERAGE(OFFSET($R$3,0,0,'Données projet'!$E$9+1,1))-AVERAGE(OFFSET($H$3,0,0,'Données projet'!$E$9+1,1))</f>
        <v>294.9631697747962</v>
      </c>
      <c r="T94" s="59">
        <f t="shared" si="88"/>
        <v>202.04924881627716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37.291361313677356</v>
      </c>
      <c r="AA94" s="21">
        <f>EXP(-LN(2)/25)*AA93+(1-EXP(-LN(2)/25))/(LN(2)/25)*Calculateur!V94*Calculateur!X94*VLOOKUP('Données projet'!$B$9,Paramètres!$A$1:$I$89,3,0)*0.475*44/12</f>
        <v>12.5186515362569</v>
      </c>
      <c r="AB94" s="21">
        <f>EXP(-LN(2)/2)*AB93+(1-EXP(-LN(2)/2))/(LN(2)/2)*V94*Y94*VLOOKUP('Données projet'!$B$9,Paramètres!$A$1:$I$89,3,0)*0.475*44/12</f>
        <v>3.8623664356273815</v>
      </c>
      <c r="AC94" s="22">
        <f t="shared" si="57"/>
        <v>53.672379285561632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349.71285006949597</v>
      </c>
      <c r="AO94" s="59">
        <f t="shared" si="90"/>
        <v>258.51550516456842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123.26522201781214</v>
      </c>
      <c r="AV94" s="21">
        <f>EXP(-LN(2)/25)*AV93+(1-EXP(-LN(2)/25))/(LN(2)/25)*Calculateur!AQ94*Calculateur!AS94*VLOOKUP('Données projet'!$B$10,Paramètres!$A$1:$I$89,3,0)*0.475*44/12</f>
        <v>38.142567977540104</v>
      </c>
      <c r="AW94" s="21">
        <f>EXP(-LN(2)/2)*AW93+(1-EXP(-LN(2)/2))/(LN(2)/2)*AQ94*AT94*VLOOKUP('Données projet'!$B$10,Paramètres!$A$1:$I$89,3,0)*0.475*44/12</f>
        <v>1.5626318021087977</v>
      </c>
      <c r="AX94" s="21">
        <f t="shared" si="60"/>
        <v>162.97042179746103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7.6966666666666681</v>
      </c>
      <c r="BD94" s="12">
        <f>IF('Données projet'!$A$88&gt;35,BD93+BC94-BL93,IF(A94&lt;'Données projet'!$A$88,$BA$205^A94,IF(A94='Données projet'!$A$88,'Données projet'!$B$88,BD93+BC94-BL93)))</f>
        <v>287.97666666666697</v>
      </c>
      <c r="BE94" s="13">
        <f>BD94*VLOOKUP('Données projet'!$B$11,Paramètres!$A$1:$I$89,3,0)*VLOOKUP('Données projet'!$B$11,Paramètres!$A$1:$I$89,5,0)</f>
        <v>260.56128800000027</v>
      </c>
      <c r="BF94" s="13">
        <f t="shared" si="91"/>
        <v>62.842006855343143</v>
      </c>
      <c r="BG94" s="20">
        <f t="shared" si="61"/>
        <v>563.26073853972309</v>
      </c>
      <c r="BH94" s="59">
        <f t="shared" si="62"/>
        <v>856.59407187305646</v>
      </c>
      <c r="BI94" s="59">
        <f ca="1">AVERAGE(OFFSET($BH$3,0,0,'Données projet'!$E$11+1,1))-AVERAGE(OFFSET($H$3,0,0,'Données projet'!$E$11+1,1))</f>
        <v>490.06222615476065</v>
      </c>
      <c r="BJ94" s="59">
        <f t="shared" si="92"/>
        <v>310.43914804089906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19.603175928407722</v>
      </c>
      <c r="BQ94" s="21">
        <f>EXP(-LN(2)/25)*BQ93+(1-EXP(-LN(2)/25))/(LN(2)/25)*Calculateur!BL94*Calculateur!BN94*VLOOKUP('Données projet'!$B$11,Paramètres!$A$1:$I$89,3,0)*0.475*44/12</f>
        <v>22.345520645564591</v>
      </c>
      <c r="BR94" s="21">
        <f>EXP(-LN(2)/2)*BR93+(1-EXP(-LN(2)/2))/(LN(2)/2)*BL94*BO94*VLOOKUP('Données projet'!$B$11,Paramètres!$A$1:$I$89,3,0)*0.475*44/12</f>
        <v>0.39023158088782939</v>
      </c>
      <c r="BS94" s="22">
        <f t="shared" si="63"/>
        <v>42.338928154860142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218.1326159999999</v>
      </c>
      <c r="CA94" s="13">
        <f t="shared" si="93"/>
        <v>53.708817897023764</v>
      </c>
      <c r="CB94" s="20">
        <f t="shared" si="64"/>
        <v>473.4571640373162</v>
      </c>
      <c r="CC94" s="59">
        <f t="shared" si="65"/>
        <v>766.79049737064952</v>
      </c>
      <c r="CD94" s="59">
        <f ca="1">AVERAGE(OFFSET($CC$3,0,0,'Données projet'!$E$12+1,1))-AVERAGE(OFFSET($H$3,0,0,'Données projet'!$E$12+1,1))</f>
        <v>510.71380643466227</v>
      </c>
      <c r="CE94" s="59">
        <f t="shared" si="94"/>
        <v>252.40654099948841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3.9080656053788831</v>
      </c>
      <c r="CL94" s="21">
        <f>EXP(-LN(2)/25)*CL93+(1-EXP(-LN(2)/25))/(LN(2)/25)*Calculateur!CG94*Calculateur!CI94*VLOOKUP('Données projet'!$B$12,Paramètres!$A$1:$I$89,3,0)*0.475*44/12</f>
        <v>12.536504211019748</v>
      </c>
      <c r="CM94" s="21">
        <f>EXP(-LN(2)/2)*CM93+(1-EXP(-LN(2)/2))/(LN(2)/2)*CG94*CJ94*VLOOKUP('Données projet'!$B$12,Paramètres!$A$1:$I$89,3,0)*0.475*44/12</f>
        <v>1.5795877786745078</v>
      </c>
      <c r="CN94" s="22">
        <f t="shared" si="66"/>
        <v>18.024157595073138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9.2740000000000009</v>
      </c>
      <c r="CT94" s="12">
        <f>IF('Données projet'!$A$140&gt;35,CT93+CS94-DB93,IF(A94&lt;'Données projet'!$A$140,$CQ$205^A94,IF(A94='Données projet'!$A$140,'Données projet'!$B$140,CT93+CS94-DB93)))</f>
        <v>330.32199999999989</v>
      </c>
      <c r="CU94" s="17">
        <f>CT94*VLOOKUP('Données projet'!$B$13,Paramètres!$A$1:$I$89,3,0)*VLOOKUP('Données projet'!$B$13,Paramètres!$A$1:$I$89,5,0)</f>
        <v>355.55860079999985</v>
      </c>
      <c r="CV94" s="13">
        <f t="shared" si="95"/>
        <v>82.706033124655704</v>
      </c>
      <c r="CW94" s="20">
        <f t="shared" si="67"/>
        <v>763.31090408544162</v>
      </c>
      <c r="CX94" s="59">
        <f t="shared" si="68"/>
        <v>1056.644237418775</v>
      </c>
      <c r="CY94" s="59">
        <f ca="1">AVERAGE(OFFSET($CX$3,0,0,'Données projet'!$E$13+1,1))-AVERAGE(OFFSET($H$3,0,0,'Données projet'!$E$13+1,1))</f>
        <v>502.65044103360322</v>
      </c>
      <c r="CZ94" s="59">
        <f t="shared" si="96"/>
        <v>321.65762891855167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25.699518578179667</v>
      </c>
      <c r="DG94" s="21">
        <f>EXP(-LN(2)/25)*DG93+(1-EXP(-LN(2)/25))/(LN(2)/25)*Calculateur!DB94*Calculateur!DD94*VLOOKUP('Données projet'!$B$13,Paramètres!$A$1:$I$89,3,0)*0.475*44/12</f>
        <v>23.907991375383933</v>
      </c>
      <c r="DH94" s="21">
        <f>EXP(-LN(2)/2)*DH93+(1-EXP(-LN(2)/2))/(LN(2)/2)*DB94*DE94*VLOOKUP('Données projet'!$B$13,Paramètres!$A$1:$I$89,3,0)*0.475*44/12</f>
        <v>0.33564439883238517</v>
      </c>
      <c r="DI94" s="22">
        <f t="shared" si="69"/>
        <v>49.943154352395986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-25.899999999999977</v>
      </c>
      <c r="DP94" s="17">
        <f>DO94*VLOOKUP('Données projet'!$B$14,Paramètres!$A$1:$I$89,3,0)*VLOOKUP('Données projet'!$B$14,Paramètres!$A$1:$I$89,5,0)</f>
        <v>-13.171703999999989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63.94726564348116</v>
      </c>
      <c r="DU94" s="59">
        <f t="shared" si="98"/>
        <v>280.8165028422905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15.244107585301178</v>
      </c>
      <c r="EB94" s="21">
        <f>EXP(-LN(2)/25)*EB93+(1-EXP(-LN(2)/25))/(LN(2)/25)*Calculateur!DW94*Calculateur!DY94*VLOOKUP('Données projet'!$B$14,Paramètres!$A$1:$I$89,3,0)*0.475*44/12</f>
        <v>1.1974707017145105</v>
      </c>
      <c r="EC94" s="21">
        <f>EXP(-LN(2)/2)*EC93+(1-EXP(-LN(2)/2))/(LN(2)/2)*DW94*DZ94*VLOOKUP('Données projet'!$B$14,Paramètres!$A$1:$I$89,3,0)*0.475*44/12</f>
        <v>6.3989195693803035E-11</v>
      </c>
      <c r="ED94" s="22">
        <f t="shared" si="72"/>
        <v>16.441578287079675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4.9529999999999976</v>
      </c>
      <c r="N95" s="13">
        <f>IF('Données projet'!$A$36&gt;35,N94+M95-V94,IF(A95&lt;'Données projet'!$A$36,$K$205^A95,IF(A95='Données projet'!$A$36,'Données projet'!$B$36,N94+M95-V94)))</f>
        <v>335.63599999999957</v>
      </c>
      <c r="O95" s="13">
        <f>N95*VLOOKUP('Données projet'!$B$9,Paramètres!$A$1:$I$89,3,0)*VLOOKUP('Données projet'!$B$9,Paramètres!$A$1:$I$89,5,0)</f>
        <v>191.98379199999977</v>
      </c>
      <c r="P95" s="13">
        <f t="shared" si="87"/>
        <v>47.978275610452407</v>
      </c>
      <c r="Q95" s="20">
        <f t="shared" si="54"/>
        <v>417.93393442153751</v>
      </c>
      <c r="R95" s="59">
        <f t="shared" si="55"/>
        <v>711.26726775487077</v>
      </c>
      <c r="S95" s="59">
        <f ca="1">AVERAGE(OFFSET($R$3,0,0,'Données projet'!$E$9+1,1))-AVERAGE(OFFSET($H$3,0,0,'Données projet'!$E$9+1,1))</f>
        <v>294.9631697747962</v>
      </c>
      <c r="T95" s="59">
        <f t="shared" si="88"/>
        <v>202.04924881627716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36.560100463800616</v>
      </c>
      <c r="AA95" s="21">
        <f>EXP(-LN(2)/25)*AA94+(1-EXP(-LN(2)/25))/(LN(2)/25)*Calculateur!V95*Calculateur!X95*VLOOKUP('Données projet'!$B$9,Paramètres!$A$1:$I$89,3,0)*0.475*44/12</f>
        <v>12.176328351670684</v>
      </c>
      <c r="AB95" s="21">
        <f>EXP(-LN(2)/2)*AB94+(1-EXP(-LN(2)/2))/(LN(2)/2)*V95*Y95*VLOOKUP('Données projet'!$B$9,Paramètres!$A$1:$I$89,3,0)*0.475*44/12</f>
        <v>2.7311054980594367</v>
      </c>
      <c r="AC95" s="22">
        <f t="shared" si="57"/>
        <v>51.467534313530734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349.71285006949597</v>
      </c>
      <c r="AO95" s="59">
        <f t="shared" si="90"/>
        <v>258.51550516456842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120.84806619840442</v>
      </c>
      <c r="AV95" s="21">
        <f>EXP(-LN(2)/25)*AV94+(1-EXP(-LN(2)/25))/(LN(2)/25)*Calculateur!AQ95*Calculateur!AS95*VLOOKUP('Données projet'!$B$10,Paramètres!$A$1:$I$89,3,0)*0.475*44/12</f>
        <v>37.099557450363797</v>
      </c>
      <c r="AW95" s="21">
        <f>EXP(-LN(2)/2)*AW94+(1-EXP(-LN(2)/2))/(LN(2)/2)*AQ95*AT95*VLOOKUP('Données projet'!$B$10,Paramètres!$A$1:$I$89,3,0)*0.475*44/12</f>
        <v>1.104947543768886</v>
      </c>
      <c r="AX95" s="21">
        <f t="shared" si="60"/>
        <v>159.0525711925371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7.6966666666666681</v>
      </c>
      <c r="BD95" s="12">
        <f>IF('Données projet'!$A$88&gt;35,BD94+BC95-BL94,IF(A95&lt;'Données projet'!$A$88,$BA$205^A95,IF(A95='Données projet'!$A$88,'Données projet'!$B$88,BD94+BC95-BL94)))</f>
        <v>295.67333333333363</v>
      </c>
      <c r="BE95" s="13">
        <f>BD95*VLOOKUP('Données projet'!$B$11,Paramètres!$A$1:$I$89,3,0)*VLOOKUP('Données projet'!$B$11,Paramètres!$A$1:$I$89,5,0)</f>
        <v>267.5252320000003</v>
      </c>
      <c r="BF95" s="13">
        <f t="shared" si="91"/>
        <v>64.323779926659213</v>
      </c>
      <c r="BG95" s="20">
        <f t="shared" si="61"/>
        <v>577.97036243893194</v>
      </c>
      <c r="BH95" s="59">
        <f t="shared" si="62"/>
        <v>871.3036957722652</v>
      </c>
      <c r="BI95" s="59">
        <f ca="1">AVERAGE(OFFSET($BH$3,0,0,'Données projet'!$E$11+1,1))-AVERAGE(OFFSET($H$3,0,0,'Données projet'!$E$11+1,1))</f>
        <v>490.06222615476065</v>
      </c>
      <c r="BJ95" s="59">
        <f t="shared" si="92"/>
        <v>310.43914804089906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19.218769605208333</v>
      </c>
      <c r="BQ95" s="21">
        <f>EXP(-LN(2)/25)*BQ94+(1-EXP(-LN(2)/25))/(LN(2)/25)*Calculateur!BL95*Calculateur!BN95*VLOOKUP('Données projet'!$B$11,Paramètres!$A$1:$I$89,3,0)*0.475*44/12</f>
        <v>21.734481208411768</v>
      </c>
      <c r="BR95" s="21">
        <f>EXP(-LN(2)/2)*BR94+(1-EXP(-LN(2)/2))/(LN(2)/2)*BL95*BO95*VLOOKUP('Données projet'!$B$11,Paramètres!$A$1:$I$89,3,0)*0.475*44/12</f>
        <v>0.27593539707893089</v>
      </c>
      <c r="BS95" s="22">
        <f t="shared" si="63"/>
        <v>41.229186210699034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224.67088799999993</v>
      </c>
      <c r="CA95" s="13">
        <f t="shared" si="93"/>
        <v>55.128835513346814</v>
      </c>
      <c r="CB95" s="20">
        <f t="shared" si="64"/>
        <v>487.31785178574552</v>
      </c>
      <c r="CC95" s="59">
        <f t="shared" si="65"/>
        <v>780.65118511907883</v>
      </c>
      <c r="CD95" s="59">
        <f ca="1">AVERAGE(OFFSET($CC$3,0,0,'Données projet'!$E$12+1,1))-AVERAGE(OFFSET($H$3,0,0,'Données projet'!$E$12+1,1))</f>
        <v>510.71380643466227</v>
      </c>
      <c r="CE95" s="59">
        <f t="shared" si="94"/>
        <v>252.40654099948841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3.8314308225420532</v>
      </c>
      <c r="CL95" s="21">
        <f>EXP(-LN(2)/25)*CL94+(1-EXP(-LN(2)/25))/(LN(2)/25)*Calculateur!CG95*Calculateur!CI95*VLOOKUP('Données projet'!$B$12,Paramètres!$A$1:$I$89,3,0)*0.475*44/12</f>
        <v>12.193692844103309</v>
      </c>
      <c r="CM95" s="21">
        <f>EXP(-LN(2)/2)*CM94+(1-EXP(-LN(2)/2))/(LN(2)/2)*CG95*CJ95*VLOOKUP('Données projet'!$B$12,Paramètres!$A$1:$I$89,3,0)*0.475*44/12</f>
        <v>1.1169372297801399</v>
      </c>
      <c r="CN95" s="22">
        <f t="shared" si="66"/>
        <v>17.142060896425505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9.2740000000000009</v>
      </c>
      <c r="CT95" s="12">
        <f>IF('Données projet'!$A$140&gt;35,CT94+CS95-DB94,IF(A95&lt;'Données projet'!$A$140,$CQ$205^A95,IF(A95='Données projet'!$A$140,'Données projet'!$B$140,CT94+CS95-DB94)))</f>
        <v>339.59599999999989</v>
      </c>
      <c r="CU95" s="17">
        <f>CT95*VLOOKUP('Données projet'!$B$13,Paramètres!$A$1:$I$89,3,0)*VLOOKUP('Données projet'!$B$13,Paramètres!$A$1:$I$89,5,0)</f>
        <v>365.54113439999986</v>
      </c>
      <c r="CV95" s="13">
        <f t="shared" si="95"/>
        <v>84.754455871286439</v>
      </c>
      <c r="CW95" s="20">
        <f t="shared" si="67"/>
        <v>784.2648197224903</v>
      </c>
      <c r="CX95" s="59">
        <f t="shared" si="68"/>
        <v>1077.5981530558236</v>
      </c>
      <c r="CY95" s="59">
        <f ca="1">AVERAGE(OFFSET($CX$3,0,0,'Données projet'!$E$13+1,1))-AVERAGE(OFFSET($H$3,0,0,'Données projet'!$E$13+1,1))</f>
        <v>502.65044103360322</v>
      </c>
      <c r="CZ95" s="59">
        <f t="shared" si="96"/>
        <v>321.65762891855167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25.195566694020105</v>
      </c>
      <c r="DG95" s="21">
        <f>EXP(-LN(2)/25)*DG94+(1-EXP(-LN(2)/25))/(LN(2)/25)*Calculateur!DB95*Calculateur!DD95*VLOOKUP('Données projet'!$B$13,Paramètres!$A$1:$I$89,3,0)*0.475*44/12</f>
        <v>23.254226093957435</v>
      </c>
      <c r="DH95" s="21">
        <f>EXP(-LN(2)/2)*DH94+(1-EXP(-LN(2)/2))/(LN(2)/2)*DB95*DE95*VLOOKUP('Données projet'!$B$13,Paramètres!$A$1:$I$89,3,0)*0.475*44/12</f>
        <v>0.2373364304816617</v>
      </c>
      <c r="DI95" s="22">
        <f t="shared" si="69"/>
        <v>48.687129218459205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-25.899999999999977</v>
      </c>
      <c r="DP95" s="17">
        <f>DO95*VLOOKUP('Données projet'!$B$14,Paramètres!$A$1:$I$89,3,0)*VLOOKUP('Données projet'!$B$14,Paramètres!$A$1:$I$89,5,0)</f>
        <v>-13.171703999999989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63.94726564348116</v>
      </c>
      <c r="DU95" s="59">
        <f t="shared" si="98"/>
        <v>280.8165028422905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14.945179933540949</v>
      </c>
      <c r="EB95" s="21">
        <f>EXP(-LN(2)/25)*EB94+(1-EXP(-LN(2)/25))/(LN(2)/25)*Calculateur!DW95*Calculateur!DY95*VLOOKUP('Données projet'!$B$14,Paramètres!$A$1:$I$89,3,0)*0.475*44/12</f>
        <v>1.1647258024038798</v>
      </c>
      <c r="EC95" s="21">
        <f>EXP(-LN(2)/2)*EC94+(1-EXP(-LN(2)/2))/(LN(2)/2)*DW95*DZ95*VLOOKUP('Données projet'!$B$14,Paramètres!$A$1:$I$89,3,0)*0.475*44/12</f>
        <v>4.5247194197761153E-11</v>
      </c>
      <c r="ED95" s="22">
        <f t="shared" si="72"/>
        <v>16.109905735990075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4.9529999999999976</v>
      </c>
      <c r="N96" s="13">
        <f>IF('Données projet'!$A$36&gt;35,N95+M96-V95,IF(A96&lt;'Données projet'!$A$36,$K$205^A96,IF(A96='Données projet'!$A$36,'Données projet'!$B$36,N95+M96-V95)))</f>
        <v>340.58899999999954</v>
      </c>
      <c r="O96" s="13">
        <f>N96*VLOOKUP('Données projet'!$B$9,Paramètres!$A$1:$I$89,3,0)*VLOOKUP('Données projet'!$B$9,Paramètres!$A$1:$I$89,5,0)</f>
        <v>194.81690799999976</v>
      </c>
      <c r="P96" s="13">
        <f t="shared" si="87"/>
        <v>48.603346118952544</v>
      </c>
      <c r="Q96" s="20">
        <f t="shared" si="54"/>
        <v>423.95694259050856</v>
      </c>
      <c r="R96" s="59">
        <f t="shared" si="55"/>
        <v>717.29027592384182</v>
      </c>
      <c r="S96" s="59">
        <f ca="1">AVERAGE(OFFSET($R$3,0,0,'Données projet'!$E$9+1,1))-AVERAGE(OFFSET($H$3,0,0,'Données projet'!$E$9+1,1))</f>
        <v>294.9631697747962</v>
      </c>
      <c r="T96" s="59">
        <f t="shared" si="88"/>
        <v>202.04924881627716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35.843179193164879</v>
      </c>
      <c r="AA96" s="21">
        <f>EXP(-LN(2)/25)*AA95+(1-EXP(-LN(2)/25))/(LN(2)/25)*Calculateur!V96*Calculateur!X96*VLOOKUP('Données projet'!$B$9,Paramètres!$A$1:$I$89,3,0)*0.475*44/12</f>
        <v>11.843366012568969</v>
      </c>
      <c r="AB96" s="21">
        <f>EXP(-LN(2)/2)*AB95+(1-EXP(-LN(2)/2))/(LN(2)/2)*V96*Y96*VLOOKUP('Données projet'!$B$9,Paramètres!$A$1:$I$89,3,0)*0.475*44/12</f>
        <v>1.9311832178136912</v>
      </c>
      <c r="AC96" s="22">
        <f t="shared" si="57"/>
        <v>49.61772842354754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349.71285006949597</v>
      </c>
      <c r="AO96" s="59">
        <f t="shared" si="90"/>
        <v>258.51550516456842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118.47830933029583</v>
      </c>
      <c r="AV96" s="21">
        <f>EXP(-LN(2)/25)*AV95+(1-EXP(-LN(2)/25))/(LN(2)/25)*Calculateur!AQ96*Calculateur!AS96*VLOOKUP('Données projet'!$B$10,Paramètres!$A$1:$I$89,3,0)*0.475*44/12</f>
        <v>36.085068100902667</v>
      </c>
      <c r="AW96" s="21">
        <f>EXP(-LN(2)/2)*AW95+(1-EXP(-LN(2)/2))/(LN(2)/2)*AQ96*AT96*VLOOKUP('Données projet'!$B$10,Paramètres!$A$1:$I$89,3,0)*0.475*44/12</f>
        <v>0.78131590105439885</v>
      </c>
      <c r="AX96" s="21">
        <f t="shared" si="60"/>
        <v>155.34469333225289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7.6966666666666681</v>
      </c>
      <c r="BC96" s="12">
        <f t="array" ref="BC96">INDEX(BB:BB,MIN(IF(ISNUMBER(BB96:BB292),ROW(BB96:BB292),"")))</f>
        <v>7.6966666666666681</v>
      </c>
      <c r="BD96" s="12">
        <f>IF('Données projet'!$A$88&gt;35,BD95+BC96-BL95,IF(A96&lt;'Données projet'!$A$88,$BA$205^A96,IF(A96='Données projet'!$A$88,'Données projet'!$B$88,BD95+BC96-BL95)))</f>
        <v>303.37000000000029</v>
      </c>
      <c r="BE96" s="13">
        <f>BD96*VLOOKUP('Données projet'!$B$11,Paramètres!$A$1:$I$89,3,0)*VLOOKUP('Données projet'!$B$11,Paramètres!$A$1:$I$89,5,0)</f>
        <v>274.48917600000021</v>
      </c>
      <c r="BF96" s="13">
        <f t="shared" si="91"/>
        <v>65.801069476622146</v>
      </c>
      <c r="BG96" s="20">
        <f t="shared" si="61"/>
        <v>592.67217753845057</v>
      </c>
      <c r="BH96" s="59">
        <f t="shared" si="62"/>
        <v>886.00551087178383</v>
      </c>
      <c r="BI96" s="59">
        <f ca="1">AVERAGE(OFFSET($BH$3,0,0,'Données projet'!$E$11+1,1))-AVERAGE(OFFSET($H$3,0,0,'Données projet'!$E$11+1,1))</f>
        <v>490.06222615476065</v>
      </c>
      <c r="BJ96" s="59">
        <f t="shared" si="92"/>
        <v>310.43914804089906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42.910000000000025</v>
      </c>
      <c r="BM96" s="16">
        <f>IF(ISNA(VLOOKUP(A96,'Données projet'!$A$87:$I$107,5,0)),0%,VLOOKUP(A96,'Données projet'!$A$87:$I$107,5,0)*VLOOKUP('Données projet'!$B$11,Paramètres!$A$1:$I$89,7,0))</f>
        <v>0.15049999999999999</v>
      </c>
      <c r="BN96" s="16">
        <f>IF(ISNA(VLOOKUP(A96,'Données projet'!$A$87:$I$107,6,0)),0%,VLOOKUP(A96,'Données projet'!$A$87:$I$107,6,0)*VLOOKUP('Données projet'!$B$11,Paramètres!$A$1:$I$89,7,0))</f>
        <v>8.6000000000000007E-2</v>
      </c>
      <c r="BO96" s="16">
        <f>IF(ISNA(VLOOKUP(A96,'Données projet'!$A$87:$I$107,7,0)),0%,VLOOKUP(A96,'Données projet'!$A$87:$I$107,7,0))</f>
        <v>0.1</v>
      </c>
      <c r="BP96" s="21">
        <f>EXP(-LN(2)/35)*BP95+(1-EXP(-LN(2)/35))/(LN(2)/35)*BL96*BM96*VLOOKUP('Données projet'!$B$11,Paramètres!$A$1:$I$89,3,0)*0.475*44/12</f>
        <v>25.301338998144534</v>
      </c>
      <c r="BQ96" s="21">
        <f>EXP(-LN(2)/25)*BQ95+(1-EXP(-LN(2)/25))/(LN(2)/25)*Calculateur!BL96*Calculateur!BN96*VLOOKUP('Données projet'!$B$11,Paramètres!$A$1:$I$89,3,0)*0.475*44/12</f>
        <v>24.816724662498768</v>
      </c>
      <c r="BR96" s="21">
        <f>EXP(-LN(2)/2)*BR95+(1-EXP(-LN(2)/2))/(LN(2)/2)*BL96*BO96*VLOOKUP('Données projet'!$B$11,Paramètres!$A$1:$I$89,3,0)*0.475*44/12</f>
        <v>3.8583560171132096</v>
      </c>
      <c r="BS96" s="22">
        <f t="shared" si="63"/>
        <v>53.97641967775651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231.20915999999988</v>
      </c>
      <c r="CA96" s="13">
        <f t="shared" si="93"/>
        <v>56.544050353913839</v>
      </c>
      <c r="CB96" s="20">
        <f t="shared" si="64"/>
        <v>501.17017469973308</v>
      </c>
      <c r="CC96" s="59">
        <f t="shared" si="65"/>
        <v>794.5035080330664</v>
      </c>
      <c r="CD96" s="59">
        <f ca="1">AVERAGE(OFFSET($CC$3,0,0,'Données projet'!$E$12+1,1))-AVERAGE(OFFSET($H$3,0,0,'Données projet'!$E$12+1,1))</f>
        <v>510.71380643466227</v>
      </c>
      <c r="CE96" s="59">
        <f t="shared" si="94"/>
        <v>252.40654099948841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3.7562988010540517</v>
      </c>
      <c r="CL96" s="21">
        <f>EXP(-LN(2)/25)*CL95+(1-EXP(-LN(2)/25))/(LN(2)/25)*Calculateur!CG96*Calculateur!CI96*VLOOKUP('Données projet'!$B$12,Paramètres!$A$1:$I$89,3,0)*0.475*44/12</f>
        <v>11.860255672042866</v>
      </c>
      <c r="CM96" s="21">
        <f>EXP(-LN(2)/2)*CM95+(1-EXP(-LN(2)/2))/(LN(2)/2)*CG96*CJ96*VLOOKUP('Données projet'!$B$12,Paramètres!$A$1:$I$89,3,0)*0.475*44/12</f>
        <v>0.78979388933725392</v>
      </c>
      <c r="CN96" s="22">
        <f t="shared" si="66"/>
        <v>16.406348362434173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348.87</v>
      </c>
      <c r="CR96" s="12">
        <f>VLOOKUP(A96,'Données projet'!$A$139:$I$159,9,0)</f>
        <v>9.2740000000000009</v>
      </c>
      <c r="CS96" s="12">
        <f t="array" ref="CS96">INDEX(CR:CR,MIN(IF(ISNUMBER(CR96:CR292),ROW(CR96:CR292),"")))</f>
        <v>9.2740000000000009</v>
      </c>
      <c r="CT96" s="12">
        <f>IF('Données projet'!$A$140&gt;35,CT95+CS96-DB95,IF(A96&lt;'Données projet'!$A$140,$CQ$205^A96,IF(A96='Données projet'!$A$140,'Données projet'!$B$140,CT95+CS96-DB95)))</f>
        <v>348.86999999999989</v>
      </c>
      <c r="CU96" s="17">
        <f>CT96*VLOOKUP('Données projet'!$B$13,Paramètres!$A$1:$I$89,3,0)*VLOOKUP('Données projet'!$B$13,Paramètres!$A$1:$I$89,5,0)</f>
        <v>375.52366799999987</v>
      </c>
      <c r="CV96" s="13">
        <f t="shared" si="95"/>
        <v>86.796376661322839</v>
      </c>
      <c r="CW96" s="20">
        <f t="shared" si="67"/>
        <v>805.2074111184703</v>
      </c>
      <c r="CX96" s="59">
        <f t="shared" si="68"/>
        <v>1098.5407444518037</v>
      </c>
      <c r="CY96" s="59">
        <f ca="1">AVERAGE(OFFSET($CX$3,0,0,'Données projet'!$E$13+1,1))-AVERAGE(OFFSET($H$3,0,0,'Données projet'!$E$13+1,1))</f>
        <v>502.65044103360322</v>
      </c>
      <c r="CZ96" s="59">
        <f t="shared" si="96"/>
        <v>321.65762891855167</v>
      </c>
      <c r="DA96" s="15">
        <f>IF(ISNA(VLOOKUP(A96,'Données projet'!$A$139:$I$159,3,0)),0,VLOOKUP(A96,'Données projet'!$A$139:$I$159,3,0))</f>
        <v>8</v>
      </c>
      <c r="DB96" s="15">
        <f>IF(ISNA(VLOOKUP(A96,'Données projet'!$A$139:$I$159,4,0)),0,VLOOKUP(A96,'Données projet'!$A$139:$I$159,4,0))</f>
        <v>67.45999999999998</v>
      </c>
      <c r="DC96" s="16">
        <f>IF(ISNA(VLOOKUP(A96,'Données projet'!$A$139:$I$159,5,0)),0%,VLOOKUP(A96,'Données projet'!$A$139:$I$159,5,0)*VLOOKUP('Données projet'!$B$13,Paramètres!$A$1:$I$89,7,0))</f>
        <v>0.215</v>
      </c>
      <c r="DD96" s="16">
        <f>IF(ISNA(VLOOKUP(A96,'Données projet'!$A$139:$I$159,6,0)),0%,VLOOKUP(A96,'Données projet'!$A$139:$I$159,6,0)*VLOOKUP('Données projet'!$B$13,Paramètres!$A$1:$I$89,7,0))</f>
        <v>8.6000000000000007E-2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41.960098309037448</v>
      </c>
      <c r="DG96" s="21">
        <f>EXP(-LN(2)/25)*DG95+(1-EXP(-LN(2)/25))/(LN(2)/25)*Calculateur!DB96*Calculateur!DD96*VLOOKUP('Données projet'!$B$13,Paramètres!$A$1:$I$89,3,0)*0.475*44/12</f>
        <v>29.494597106814883</v>
      </c>
      <c r="DH96" s="21">
        <f>EXP(-LN(2)/2)*DH95+(1-EXP(-LN(2)/2))/(LN(2)/2)*DB96*DE96*VLOOKUP('Données projet'!$B$13,Paramètres!$A$1:$I$89,3,0)*0.475*44/12</f>
        <v>0.16782219941619261</v>
      </c>
      <c r="DI96" s="22">
        <f t="shared" si="69"/>
        <v>71.622517615268521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-25.899999999999977</v>
      </c>
      <c r="DP96" s="17">
        <f>DO96*VLOOKUP('Données projet'!$B$14,Paramètres!$A$1:$I$89,3,0)*VLOOKUP('Données projet'!$B$14,Paramètres!$A$1:$I$89,5,0)</f>
        <v>-13.171703999999989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63.94726564348116</v>
      </c>
      <c r="DU96" s="59">
        <f t="shared" si="98"/>
        <v>280.8165028422905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14.652114070703874</v>
      </c>
      <c r="EB96" s="21">
        <f>EXP(-LN(2)/25)*EB95+(1-EXP(-LN(2)/25))/(LN(2)/25)*Calculateur!DW96*Calculateur!DY96*VLOOKUP('Données projet'!$B$14,Paramètres!$A$1:$I$89,3,0)*0.475*44/12</f>
        <v>1.1328763140868778</v>
      </c>
      <c r="EC96" s="21">
        <f>EXP(-LN(2)/2)*EC95+(1-EXP(-LN(2)/2))/(LN(2)/2)*DW96*DZ96*VLOOKUP('Données projet'!$B$14,Paramètres!$A$1:$I$89,3,0)*0.475*44/12</f>
        <v>3.1994597846901518E-11</v>
      </c>
      <c r="ED96" s="22">
        <f t="shared" si="72"/>
        <v>15.784990384822747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4.9529999999999976</v>
      </c>
      <c r="N97" s="13">
        <f>IF('Données projet'!$A$36&gt;35,N96+M97-V96,IF(A97&lt;'Données projet'!$A$36,$K$205^A97,IF(A97='Données projet'!$A$36,'Données projet'!$B$36,N96+M97-V96)))</f>
        <v>345.54199999999952</v>
      </c>
      <c r="O97" s="13">
        <f>N97*VLOOKUP('Données projet'!$B$9,Paramètres!$A$1:$I$89,3,0)*VLOOKUP('Données projet'!$B$9,Paramètres!$A$1:$I$89,5,0)</f>
        <v>197.65002399999975</v>
      </c>
      <c r="P97" s="13">
        <f t="shared" si="87"/>
        <v>49.227359400166499</v>
      </c>
      <c r="Q97" s="20">
        <f t="shared" si="54"/>
        <v>429.97810942195616</v>
      </c>
      <c r="R97" s="59">
        <f t="shared" si="55"/>
        <v>723.31144275528948</v>
      </c>
      <c r="S97" s="59">
        <f ca="1">AVERAGE(OFFSET($R$3,0,0,'Données projet'!$E$9+1,1))-AVERAGE(OFFSET($H$3,0,0,'Données projet'!$E$9+1,1))</f>
        <v>294.9631697747962</v>
      </c>
      <c r="T97" s="59">
        <f t="shared" si="88"/>
        <v>202.04924881627716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35.140316311367513</v>
      </c>
      <c r="AA97" s="21">
        <f>EXP(-LN(2)/25)*AA96+(1-EXP(-LN(2)/25))/(LN(2)/25)*Calculateur!V97*Calculateur!X97*VLOOKUP('Données projet'!$B$9,Paramètres!$A$1:$I$89,3,0)*0.475*44/12</f>
        <v>11.51950854613972</v>
      </c>
      <c r="AB97" s="21">
        <f>EXP(-LN(2)/2)*AB96+(1-EXP(-LN(2)/2))/(LN(2)/2)*V97*Y97*VLOOKUP('Données projet'!$B$9,Paramètres!$A$1:$I$89,3,0)*0.475*44/12</f>
        <v>1.3655527490297186</v>
      </c>
      <c r="AC97" s="22">
        <f t="shared" si="57"/>
        <v>48.025377606536949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349.71285006949597</v>
      </c>
      <c r="AO97" s="59">
        <f t="shared" si="90"/>
        <v>258.51550516456842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116.15502194896187</v>
      </c>
      <c r="AV97" s="21">
        <f>EXP(-LN(2)/25)*AV96+(1-EXP(-LN(2)/25))/(LN(2)/25)*Calculateur!AQ97*Calculateur!AS97*VLOOKUP('Données projet'!$B$10,Paramètres!$A$1:$I$89,3,0)*0.475*44/12</f>
        <v>35.098320016052227</v>
      </c>
      <c r="AW97" s="21">
        <f>EXP(-LN(2)/2)*AW96+(1-EXP(-LN(2)/2))/(LN(2)/2)*AQ97*AT97*VLOOKUP('Données projet'!$B$10,Paramètres!$A$1:$I$89,3,0)*0.475*44/12</f>
        <v>0.55247377188444302</v>
      </c>
      <c r="AX97" s="21">
        <f t="shared" si="60"/>
        <v>151.80581573689855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7.7249999999999996</v>
      </c>
      <c r="BD97" s="12">
        <f>IF('Données projet'!$A$88&gt;35,BD96+BC97-BL96,IF(A97&lt;'Données projet'!$A$88,$BA$205^A97,IF(A97='Données projet'!$A$88,'Données projet'!$B$88,BD96+BC97-BL96)))</f>
        <v>268.18500000000029</v>
      </c>
      <c r="BE97" s="13">
        <f>BD97*VLOOKUP('Données projet'!$B$11,Paramètres!$A$1:$I$89,3,0)*VLOOKUP('Données projet'!$B$11,Paramètres!$A$1:$I$89,5,0)</f>
        <v>242.65378800000025</v>
      </c>
      <c r="BF97" s="13">
        <f t="shared" si="91"/>
        <v>59.010139953692004</v>
      </c>
      <c r="BG97" s="20">
        <f t="shared" si="61"/>
        <v>525.39800785268062</v>
      </c>
      <c r="BH97" s="59">
        <f t="shared" si="62"/>
        <v>818.73134118601388</v>
      </c>
      <c r="BI97" s="59">
        <f ca="1">AVERAGE(OFFSET($BH$3,0,0,'Données projet'!$E$11+1,1))-AVERAGE(OFFSET($H$3,0,0,'Données projet'!$E$11+1,1))</f>
        <v>490.06222615476065</v>
      </c>
      <c r="BJ97" s="59">
        <f t="shared" si="92"/>
        <v>310.43914804089906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24.805195172683895</v>
      </c>
      <c r="BQ97" s="21">
        <f>EXP(-LN(2)/25)*BQ96+(1-EXP(-LN(2)/25))/(LN(2)/25)*Calculateur!BL97*Calculateur!BN97*VLOOKUP('Données projet'!$B$11,Paramètres!$A$1:$I$89,3,0)*0.475*44/12</f>
        <v>24.138110021547909</v>
      </c>
      <c r="BR97" s="21">
        <f>EXP(-LN(2)/2)*BR96+(1-EXP(-LN(2)/2))/(LN(2)/2)*BL97*BO97*VLOOKUP('Données projet'!$B$11,Paramètres!$A$1:$I$89,3,0)*0.475*44/12</f>
        <v>2.7282697039326695</v>
      </c>
      <c r="BS97" s="22">
        <f t="shared" si="63"/>
        <v>51.671574898164472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237.74743199999992</v>
      </c>
      <c r="CA97" s="13">
        <f t="shared" si="93"/>
        <v>57.954613835088161</v>
      </c>
      <c r="CB97" s="20">
        <f t="shared" si="64"/>
        <v>515.01439649611177</v>
      </c>
      <c r="CC97" s="59">
        <f t="shared" si="65"/>
        <v>808.34772982944514</v>
      </c>
      <c r="CD97" s="59">
        <f ca="1">AVERAGE(OFFSET($CC$3,0,0,'Données projet'!$E$12+1,1))-AVERAGE(OFFSET($H$3,0,0,'Données projet'!$E$12+1,1))</f>
        <v>510.71380643466227</v>
      </c>
      <c r="CE97" s="59">
        <f t="shared" si="94"/>
        <v>252.40654099948841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3.6826400726814215</v>
      </c>
      <c r="CL97" s="21">
        <f>EXP(-LN(2)/25)*CL96+(1-EXP(-LN(2)/25))/(LN(2)/25)*Calculateur!CG97*Calculateur!CI97*VLOOKUP('Données projet'!$B$12,Paramètres!$A$1:$I$89,3,0)*0.475*44/12</f>
        <v>11.535936356987115</v>
      </c>
      <c r="CM97" s="21">
        <f>EXP(-LN(2)/2)*CM96+(1-EXP(-LN(2)/2))/(LN(2)/2)*CG97*CJ97*VLOOKUP('Données projet'!$B$12,Paramètres!$A$1:$I$89,3,0)*0.475*44/12</f>
        <v>0.55846861489006994</v>
      </c>
      <c r="CN97" s="22">
        <f t="shared" si="66"/>
        <v>15.777045044558605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8.9989999999999952</v>
      </c>
      <c r="CT97" s="12">
        <f>IF('Données projet'!$A$140&gt;35,CT96+CS97-DB96,IF(A97&lt;'Données projet'!$A$140,$CQ$205^A97,IF(A97='Données projet'!$A$140,'Données projet'!$B$140,CT96+CS97-DB96)))</f>
        <v>290.40899999999993</v>
      </c>
      <c r="CU97" s="17">
        <f>CT97*VLOOKUP('Données projet'!$B$13,Paramètres!$A$1:$I$89,3,0)*VLOOKUP('Données projet'!$B$13,Paramètres!$A$1:$I$89,5,0)</f>
        <v>312.59624759999991</v>
      </c>
      <c r="CV97" s="13">
        <f t="shared" si="95"/>
        <v>73.810766542684433</v>
      </c>
      <c r="CW97" s="20">
        <f t="shared" si="67"/>
        <v>672.99221629850854</v>
      </c>
      <c r="CX97" s="59">
        <f t="shared" si="68"/>
        <v>966.3255496318418</v>
      </c>
      <c r="CY97" s="59">
        <f ca="1">AVERAGE(OFFSET($CX$3,0,0,'Données projet'!$E$13+1,1))-AVERAGE(OFFSET($H$3,0,0,'Données projet'!$E$13+1,1))</f>
        <v>502.65044103360322</v>
      </c>
      <c r="CZ97" s="59">
        <f t="shared" si="96"/>
        <v>321.65762891855167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41.137286374330081</v>
      </c>
      <c r="DG97" s="21">
        <f>EXP(-LN(2)/25)*DG96+(1-EXP(-LN(2)/25))/(LN(2)/25)*Calculateur!DB97*Calculateur!DD97*VLOOKUP('Données projet'!$B$13,Paramètres!$A$1:$I$89,3,0)*0.475*44/12</f>
        <v>28.688065797875581</v>
      </c>
      <c r="DH97" s="21">
        <f>EXP(-LN(2)/2)*DH96+(1-EXP(-LN(2)/2))/(LN(2)/2)*DB97*DE97*VLOOKUP('Données projet'!$B$13,Paramètres!$A$1:$I$89,3,0)*0.475*44/12</f>
        <v>0.11866821524083086</v>
      </c>
      <c r="DI97" s="22">
        <f t="shared" si="69"/>
        <v>69.9440203874465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-25.899999999999977</v>
      </c>
      <c r="DP97" s="17">
        <f>DO97*VLOOKUP('Données projet'!$B$14,Paramètres!$A$1:$I$89,3,0)*VLOOKUP('Données projet'!$B$14,Paramètres!$A$1:$I$89,5,0)</f>
        <v>-13.171703999999989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63.94726564348116</v>
      </c>
      <c r="DU97" s="59">
        <f t="shared" si="98"/>
        <v>280.8165028422905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14.364795050684508</v>
      </c>
      <c r="EB97" s="21">
        <f>EXP(-LN(2)/25)*EB96+(1-EXP(-LN(2)/25))/(LN(2)/25)*Calculateur!DW97*Calculateur!DY97*VLOOKUP('Données projet'!$B$14,Paramètres!$A$1:$I$89,3,0)*0.475*44/12</f>
        <v>1.1018977517027961</v>
      </c>
      <c r="EC97" s="21">
        <f>EXP(-LN(2)/2)*EC96+(1-EXP(-LN(2)/2))/(LN(2)/2)*DW97*DZ97*VLOOKUP('Données projet'!$B$14,Paramètres!$A$1:$I$89,3,0)*0.475*44/12</f>
        <v>2.2623597098880576E-11</v>
      </c>
      <c r="ED97" s="22">
        <f t="shared" si="72"/>
        <v>15.466692802409927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4.9529999999999976</v>
      </c>
      <c r="N98" s="13">
        <f>IF('Données projet'!$A$36&gt;35,N97+M98-V97,IF(A98&lt;'Données projet'!$A$36,$K$205^A98,IF(A98='Données projet'!$A$36,'Données projet'!$B$36,N97+M98-V97)))</f>
        <v>350.49499999999949</v>
      </c>
      <c r="O98" s="13">
        <f>N98*VLOOKUP('Données projet'!$B$9,Paramètres!$A$1:$I$89,3,0)*VLOOKUP('Données projet'!$B$9,Paramètres!$A$1:$I$89,5,0)</f>
        <v>200.48313999999974</v>
      </c>
      <c r="P98" s="13">
        <f t="shared" si="87"/>
        <v>49.850332359412796</v>
      </c>
      <c r="Q98" s="20">
        <f t="shared" si="54"/>
        <v>435.99746435931007</v>
      </c>
      <c r="R98" s="59">
        <f t="shared" si="55"/>
        <v>729.33079769264339</v>
      </c>
      <c r="S98" s="59">
        <f ca="1">AVERAGE(OFFSET($R$3,0,0,'Données projet'!$E$9+1,1))-AVERAGE(OFFSET($H$3,0,0,'Données projet'!$E$9+1,1))</f>
        <v>294.9631697747962</v>
      </c>
      <c r="T98" s="59">
        <f t="shared" si="88"/>
        <v>202.04924881627716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34.451236141978164</v>
      </c>
      <c r="AA98" s="21">
        <f>EXP(-LN(2)/25)*AA97+(1-EXP(-LN(2)/25))/(LN(2)/25)*Calculateur!V98*Calculateur!X98*VLOOKUP('Données projet'!$B$9,Paramètres!$A$1:$I$89,3,0)*0.475*44/12</f>
        <v>11.204506979160904</v>
      </c>
      <c r="AB98" s="21">
        <f>EXP(-LN(2)/2)*AB97+(1-EXP(-LN(2)/2))/(LN(2)/2)*V98*Y98*VLOOKUP('Données projet'!$B$9,Paramètres!$A$1:$I$89,3,0)*0.475*44/12</f>
        <v>0.9655916089068457</v>
      </c>
      <c r="AC98" s="22">
        <f t="shared" si="57"/>
        <v>46.621334730045916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349.71285006949597</v>
      </c>
      <c r="AO98" s="59">
        <f t="shared" si="90"/>
        <v>258.51550516456842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113.87729281611051</v>
      </c>
      <c r="AV98" s="21">
        <f>EXP(-LN(2)/25)*AV97+(1-EXP(-LN(2)/25))/(LN(2)/25)*Calculateur!AQ98*Calculateur!AS98*VLOOKUP('Données projet'!$B$10,Paramètres!$A$1:$I$89,3,0)*0.475*44/12</f>
        <v>34.138554609472848</v>
      </c>
      <c r="AW98" s="21">
        <f>EXP(-LN(2)/2)*AW97+(1-EXP(-LN(2)/2))/(LN(2)/2)*AQ98*AT98*VLOOKUP('Données projet'!$B$10,Paramètres!$A$1:$I$89,3,0)*0.475*44/12</f>
        <v>0.39065795052719943</v>
      </c>
      <c r="AX98" s="21">
        <f t="shared" si="60"/>
        <v>148.40650537611057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7.7249999999999996</v>
      </c>
      <c r="BD98" s="12">
        <f>IF('Données projet'!$A$88&gt;35,BD97+BC98-BL97,IF(A98&lt;'Données projet'!$A$88,$BA$205^A98,IF(A98='Données projet'!$A$88,'Données projet'!$B$88,BD97+BC98-BL97)))</f>
        <v>275.91000000000031</v>
      </c>
      <c r="BE98" s="13">
        <f>BD98*VLOOKUP('Données projet'!$B$11,Paramètres!$A$1:$I$89,3,0)*VLOOKUP('Données projet'!$B$11,Paramètres!$A$1:$I$89,5,0)</f>
        <v>249.64336800000024</v>
      </c>
      <c r="BF98" s="13">
        <f t="shared" si="91"/>
        <v>60.5095671334008</v>
      </c>
      <c r="BG98" s="20">
        <f t="shared" si="61"/>
        <v>540.1830286906735</v>
      </c>
      <c r="BH98" s="59">
        <f t="shared" si="62"/>
        <v>833.51636202400687</v>
      </c>
      <c r="BI98" s="59">
        <f ca="1">AVERAGE(OFFSET($BH$3,0,0,'Données projet'!$E$11+1,1))-AVERAGE(OFFSET($H$3,0,0,'Données projet'!$E$11+1,1))</f>
        <v>490.06222615476065</v>
      </c>
      <c r="BJ98" s="59">
        <f t="shared" si="92"/>
        <v>310.43914804089906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24.318780425022688</v>
      </c>
      <c r="BQ98" s="21">
        <f>EXP(-LN(2)/25)*BQ97+(1-EXP(-LN(2)/25))/(LN(2)/25)*Calculateur!BL98*Calculateur!BN98*VLOOKUP('Données projet'!$B$11,Paramètres!$A$1:$I$89,3,0)*0.475*44/12</f>
        <v>23.478052133640645</v>
      </c>
      <c r="BR98" s="21">
        <f>EXP(-LN(2)/2)*BR97+(1-EXP(-LN(2)/2))/(LN(2)/2)*BL98*BO98*VLOOKUP('Données projet'!$B$11,Paramètres!$A$1:$I$89,3,0)*0.475*44/12</f>
        <v>1.929178008556605</v>
      </c>
      <c r="BS98" s="22">
        <f t="shared" si="63"/>
        <v>49.726010567219937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244.28570399999987</v>
      </c>
      <c r="CA98" s="13">
        <f t="shared" si="93"/>
        <v>59.360668571092589</v>
      </c>
      <c r="CB98" s="20">
        <f t="shared" si="64"/>
        <v>528.85076556131935</v>
      </c>
      <c r="CC98" s="59">
        <f t="shared" si="65"/>
        <v>822.18409889465261</v>
      </c>
      <c r="CD98" s="59">
        <f ca="1">AVERAGE(OFFSET($CC$3,0,0,'Données projet'!$E$12+1,1))-AVERAGE(OFFSET($H$3,0,0,'Données projet'!$E$12+1,1))</f>
        <v>510.71380643466227</v>
      </c>
      <c r="CE98" s="59">
        <f t="shared" si="94"/>
        <v>252.40654099948841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0.1075</v>
      </c>
      <c r="CI98" s="16">
        <f>IF(ISNA(VLOOKUP(A98,'Données projet'!$A$113:$I$133,6,0)),0%,VLOOKUP(A98,'Données projet'!$A$113:$I$133,6,0)*VLOOKUP('Données projet'!$B$12,Paramètres!$A$1:$I$89,7,0))</f>
        <v>0.1075</v>
      </c>
      <c r="CJ98" s="16">
        <f>IF(ISNA(VLOOKUP(A98,'Données projet'!$A$113:$I$133,7,0)),0%,VLOOKUP(A98,'Données projet'!$A$113:$I$133,7,0))</f>
        <v>0.25</v>
      </c>
      <c r="CK98" s="21">
        <f>EXP(-LN(2)/35)*CK97+(1-EXP(-LN(2)/35))/(LN(2)/35)*CG98*CH98*VLOOKUP('Données projet'!$B$12,Paramètres!$A$1:$I$89,3,0)*0.475*44/12</f>
        <v>8.4609012266385779</v>
      </c>
      <c r="CL98" s="21">
        <f>EXP(-LN(2)/25)*CL97+(1-EXP(-LN(2)/25))/(LN(2)/25)*Calculateur!CG98*Calculateur!CI98*VLOOKUP('Données projet'!$B$12,Paramètres!$A$1:$I$89,3,0)*0.475*44/12</f>
        <v>16.051862880111347</v>
      </c>
      <c r="CM98" s="21">
        <f>EXP(-LN(2)/2)*CM97+(1-EXP(-LN(2)/2))/(LN(2)/2)*CG98*CJ98*VLOOKUP('Données projet'!$B$12,Paramètres!$A$1:$I$89,3,0)*0.475*44/12</f>
        <v>10.022607840225422</v>
      </c>
      <c r="CN98" s="22">
        <f t="shared" si="66"/>
        <v>34.535371946975346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8.9989999999999952</v>
      </c>
      <c r="CT98" s="12">
        <f>IF('Données projet'!$A$140&gt;35,CT97+CS98-DB97,IF(A98&lt;'Données projet'!$A$140,$CQ$205^A98,IF(A98='Données projet'!$A$140,'Données projet'!$B$140,CT97+CS98-DB97)))</f>
        <v>299.4079999999999</v>
      </c>
      <c r="CU98" s="17">
        <f>CT98*VLOOKUP('Données projet'!$B$13,Paramètres!$A$1:$I$89,3,0)*VLOOKUP('Données projet'!$B$13,Paramètres!$A$1:$I$89,5,0)</f>
        <v>322.2827711999999</v>
      </c>
      <c r="CV98" s="13">
        <f t="shared" si="95"/>
        <v>75.828131927775956</v>
      </c>
      <c r="CW98" s="20">
        <f t="shared" si="67"/>
        <v>693.37648961420962</v>
      </c>
      <c r="CX98" s="59">
        <f t="shared" si="68"/>
        <v>986.70982294754299</v>
      </c>
      <c r="CY98" s="59">
        <f ca="1">AVERAGE(OFFSET($CX$3,0,0,'Données projet'!$E$13+1,1))-AVERAGE(OFFSET($H$3,0,0,'Données projet'!$E$13+1,1))</f>
        <v>502.65044103360322</v>
      </c>
      <c r="CZ98" s="59">
        <f t="shared" si="96"/>
        <v>321.65762891855167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40.330609279796597</v>
      </c>
      <c r="DG98" s="21">
        <f>EXP(-LN(2)/25)*DG97+(1-EXP(-LN(2)/25))/(LN(2)/25)*Calculateur!DB98*Calculateur!DD98*VLOOKUP('Données projet'!$B$13,Paramètres!$A$1:$I$89,3,0)*0.475*44/12</f>
        <v>27.903589129992859</v>
      </c>
      <c r="DH98" s="21">
        <f>EXP(-LN(2)/2)*DH97+(1-EXP(-LN(2)/2))/(LN(2)/2)*DB98*DE98*VLOOKUP('Données projet'!$B$13,Paramètres!$A$1:$I$89,3,0)*0.475*44/12</f>
        <v>8.3911099708096321E-2</v>
      </c>
      <c r="DI98" s="22">
        <f t="shared" si="69"/>
        <v>68.318109509497546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-25.899999999999977</v>
      </c>
      <c r="DP98" s="17">
        <f>DO98*VLOOKUP('Données projet'!$B$14,Paramètres!$A$1:$I$89,3,0)*VLOOKUP('Données projet'!$B$14,Paramètres!$A$1:$I$89,5,0)</f>
        <v>-13.171703999999989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63.94726564348116</v>
      </c>
      <c r="DU98" s="59">
        <f t="shared" si="98"/>
        <v>280.8165028422905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14.083110181400423</v>
      </c>
      <c r="EB98" s="21">
        <f>EXP(-LN(2)/25)*EB97+(1-EXP(-LN(2)/25))/(LN(2)/25)*Calculateur!DW98*Calculateur!DY98*VLOOKUP('Données projet'!$B$14,Paramètres!$A$1:$I$89,3,0)*0.475*44/12</f>
        <v>1.0717662997361987</v>
      </c>
      <c r="EC98" s="21">
        <f>EXP(-LN(2)/2)*EC97+(1-EXP(-LN(2)/2))/(LN(2)/2)*DW98*DZ98*VLOOKUP('Données projet'!$B$14,Paramètres!$A$1:$I$89,3,0)*0.475*44/12</f>
        <v>1.5997298923450759E-11</v>
      </c>
      <c r="ED98" s="22">
        <f t="shared" si="72"/>
        <v>15.15487648115262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4.9529999999999976</v>
      </c>
      <c r="N99" s="13">
        <f>IF('Données projet'!$A$36&gt;35,N98+M99-V98,IF(A99&lt;'Données projet'!$A$36,$K$205^A99,IF(A99='Données projet'!$A$36,'Données projet'!$B$36,N98+M99-V98)))</f>
        <v>355.44799999999947</v>
      </c>
      <c r="O99" s="13">
        <f>N99*VLOOKUP('Données projet'!$B$9,Paramètres!$A$1:$I$89,3,0)*VLOOKUP('Données projet'!$B$9,Paramètres!$A$1:$I$89,5,0)</f>
        <v>203.31625599999973</v>
      </c>
      <c r="P99" s="13">
        <f t="shared" si="87"/>
        <v>50.472281396774903</v>
      </c>
      <c r="Q99" s="20">
        <f t="shared" ref="Q99:Q130" si="107">(O99+P99)*0.475*44/12</f>
        <v>442.0150359660492</v>
      </c>
      <c r="R99" s="59">
        <f t="shared" si="55"/>
        <v>735.34836929938251</v>
      </c>
      <c r="S99" s="59">
        <f ca="1">AVERAGE(OFFSET($R$3,0,0,'Données projet'!$E$9+1,1))-AVERAGE(OFFSET($H$3,0,0,'Données projet'!$E$9+1,1))</f>
        <v>294.9631697747962</v>
      </c>
      <c r="T99" s="59">
        <f t="shared" si="88"/>
        <v>202.04924881627716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33.77566841441314</v>
      </c>
      <c r="AA99" s="21">
        <f>EXP(-LN(2)/25)*AA98+(1-EXP(-LN(2)/25))/(LN(2)/25)*Calculateur!V99*Calculateur!X99*VLOOKUP('Données projet'!$B$9,Paramètres!$A$1:$I$89,3,0)*0.475*44/12</f>
        <v>10.898119146596335</v>
      </c>
      <c r="AB99" s="21">
        <f>EXP(-LN(2)/2)*AB98+(1-EXP(-LN(2)/2))/(LN(2)/2)*V99*Y99*VLOOKUP('Données projet'!$B$9,Paramètres!$A$1:$I$89,3,0)*0.475*44/12</f>
        <v>0.6827763745148594</v>
      </c>
      <c r="AC99" s="22">
        <f t="shared" si="57"/>
        <v>45.356563935524335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349.71285006949597</v>
      </c>
      <c r="AO99" s="59">
        <f t="shared" si="90"/>
        <v>258.51550516456842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111.64422856227677</v>
      </c>
      <c r="AV99" s="21">
        <f>EXP(-LN(2)/25)*AV98+(1-EXP(-LN(2)/25))/(LN(2)/25)*Calculateur!AQ99*Calculateur!AS99*VLOOKUP('Données projet'!$B$10,Paramètres!$A$1:$I$89,3,0)*0.475*44/12</f>
        <v>33.20503403840825</v>
      </c>
      <c r="AW99" s="21">
        <f>EXP(-LN(2)/2)*AW98+(1-EXP(-LN(2)/2))/(LN(2)/2)*AQ99*AT99*VLOOKUP('Données projet'!$B$10,Paramètres!$A$1:$I$89,3,0)*0.475*44/12</f>
        <v>0.27623688594222151</v>
      </c>
      <c r="AX99" s="21">
        <f t="shared" si="60"/>
        <v>145.12549948662723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7.7249999999999996</v>
      </c>
      <c r="BD99" s="12">
        <f>IF('Données projet'!$A$88&gt;35,BD98+BC99-BL98,IF(A99&lt;'Données projet'!$A$88,$BA$205^A99,IF(A99='Données projet'!$A$88,'Données projet'!$B$88,BD98+BC99-BL98)))</f>
        <v>283.63500000000033</v>
      </c>
      <c r="BE99" s="13">
        <f>BD99*VLOOKUP('Données projet'!$B$11,Paramètres!$A$1:$I$89,3,0)*VLOOKUP('Données projet'!$B$11,Paramètres!$A$1:$I$89,5,0)</f>
        <v>256.63294800000028</v>
      </c>
      <c r="BF99" s="13">
        <f t="shared" si="91"/>
        <v>62.00411496417383</v>
      </c>
      <c r="BG99" s="20">
        <f t="shared" si="61"/>
        <v>554.95955132926986</v>
      </c>
      <c r="BH99" s="59">
        <f t="shared" si="62"/>
        <v>848.29288466260323</v>
      </c>
      <c r="BI99" s="59">
        <f ca="1">AVERAGE(OFFSET($BH$3,0,0,'Données projet'!$E$11+1,1))-AVERAGE(OFFSET($H$3,0,0,'Données projet'!$E$11+1,1))</f>
        <v>490.06222615476065</v>
      </c>
      <c r="BJ99" s="59">
        <f t="shared" si="92"/>
        <v>310.43914804089906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23.841903973879415</v>
      </c>
      <c r="BQ99" s="21">
        <f>EXP(-LN(2)/25)*BQ98+(1-EXP(-LN(2)/25))/(LN(2)/25)*Calculateur!BL99*Calculateur!BN99*VLOOKUP('Données projet'!$B$11,Paramètres!$A$1:$I$89,3,0)*0.475*44/12</f>
        <v>22.83604356338914</v>
      </c>
      <c r="BR99" s="21">
        <f>EXP(-LN(2)/2)*BR98+(1-EXP(-LN(2)/2))/(LN(2)/2)*BL99*BO99*VLOOKUP('Données projet'!$B$11,Paramètres!$A$1:$I$89,3,0)*0.475*44/12</f>
        <v>1.364134851966335</v>
      </c>
      <c r="BS99" s="22">
        <f t="shared" si="63"/>
        <v>48.042082389234885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210.02533066666655</v>
      </c>
      <c r="CA99" s="13">
        <f t="shared" si="93"/>
        <v>51.941121047420019</v>
      </c>
      <c r="CB99" s="20">
        <f t="shared" si="64"/>
        <v>456.25823673536746</v>
      </c>
      <c r="CC99" s="59">
        <f t="shared" si="65"/>
        <v>749.59157006870078</v>
      </c>
      <c r="CD99" s="59">
        <f ca="1">AVERAGE(OFFSET($CC$3,0,0,'Données projet'!$E$12+1,1))-AVERAGE(OFFSET($H$3,0,0,'Données projet'!$E$12+1,1))</f>
        <v>510.71380643466227</v>
      </c>
      <c r="CE99" s="59">
        <f t="shared" si="94"/>
        <v>252.40654099948841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8.2949881142243722</v>
      </c>
      <c r="CL99" s="21">
        <f>EXP(-LN(2)/25)*CL98+(1-EXP(-LN(2)/25))/(LN(2)/25)*Calculateur!CG99*Calculateur!CI99*VLOOKUP('Données projet'!$B$12,Paramètres!$A$1:$I$89,3,0)*0.475*44/12</f>
        <v>15.612923845523921</v>
      </c>
      <c r="CM99" s="21">
        <f>EXP(-LN(2)/2)*CM98+(1-EXP(-LN(2)/2))/(LN(2)/2)*CG99*CJ99*VLOOKUP('Données projet'!$B$12,Paramètres!$A$1:$I$89,3,0)*0.475*44/12</f>
        <v>7.0870539689968535</v>
      </c>
      <c r="CN99" s="22">
        <f t="shared" si="66"/>
        <v>30.994965928745145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8.9989999999999952</v>
      </c>
      <c r="CT99" s="12">
        <f>IF('Données projet'!$A$140&gt;35,CT98+CS99-DB98,IF(A99&lt;'Données projet'!$A$140,$CQ$205^A99,IF(A99='Données projet'!$A$140,'Données projet'!$B$140,CT98+CS99-DB98)))</f>
        <v>308.40699999999993</v>
      </c>
      <c r="CU99" s="17">
        <f>CT99*VLOOKUP('Données projet'!$B$13,Paramètres!$A$1:$I$89,3,0)*VLOOKUP('Données projet'!$B$13,Paramètres!$A$1:$I$89,5,0)</f>
        <v>331.96929479999989</v>
      </c>
      <c r="CV99" s="13">
        <f t="shared" si="95"/>
        <v>77.838450738855911</v>
      </c>
      <c r="CW99" s="20">
        <f t="shared" si="67"/>
        <v>713.74849014684048</v>
      </c>
      <c r="CX99" s="59">
        <f t="shared" si="68"/>
        <v>1007.0818234801739</v>
      </c>
      <c r="CY99" s="59">
        <f ca="1">AVERAGE(OFFSET($CX$3,0,0,'Données projet'!$E$13+1,1))-AVERAGE(OFFSET($H$3,0,0,'Données projet'!$E$13+1,1))</f>
        <v>502.65044103360322</v>
      </c>
      <c r="CZ99" s="59">
        <f t="shared" si="96"/>
        <v>321.65762891855167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39.539750631062475</v>
      </c>
      <c r="DG99" s="21">
        <f>EXP(-LN(2)/25)*DG98+(1-EXP(-LN(2)/25))/(LN(2)/25)*Calculateur!DB99*Calculateur!DD99*VLOOKUP('Données projet'!$B$13,Paramètres!$A$1:$I$89,3,0)*0.475*44/12</f>
        <v>27.140564017847225</v>
      </c>
      <c r="DH99" s="21">
        <f>EXP(-LN(2)/2)*DH98+(1-EXP(-LN(2)/2))/(LN(2)/2)*DB99*DE99*VLOOKUP('Données projet'!$B$13,Paramètres!$A$1:$I$89,3,0)*0.475*44/12</f>
        <v>5.9334107620415438E-2</v>
      </c>
      <c r="DI99" s="22">
        <f t="shared" si="69"/>
        <v>66.739648756530116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-25.899999999999977</v>
      </c>
      <c r="DP99" s="17">
        <f>DO99*VLOOKUP('Données projet'!$B$14,Paramètres!$A$1:$I$89,3,0)*VLOOKUP('Données projet'!$B$14,Paramètres!$A$1:$I$89,5,0)</f>
        <v>-13.171703999999989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63.94726564348116</v>
      </c>
      <c r="DU99" s="59">
        <f t="shared" si="98"/>
        <v>280.8165028422905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13.806948980592194</v>
      </c>
      <c r="EB99" s="21">
        <f>EXP(-LN(2)/25)*EB98+(1-EXP(-LN(2)/25))/(LN(2)/25)*Calculateur!DW99*Calculateur!DY99*VLOOKUP('Données projet'!$B$14,Paramètres!$A$1:$I$89,3,0)*0.475*44/12</f>
        <v>1.0424587939081722</v>
      </c>
      <c r="EC99" s="21">
        <f>EXP(-LN(2)/2)*EC98+(1-EXP(-LN(2)/2))/(LN(2)/2)*DW99*DZ99*VLOOKUP('Données projet'!$B$14,Paramètres!$A$1:$I$89,3,0)*0.475*44/12</f>
        <v>1.1311798549440288E-11</v>
      </c>
      <c r="ED99" s="22">
        <f t="shared" si="72"/>
        <v>14.849407774511679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4.9529999999999976</v>
      </c>
      <c r="N100" s="13">
        <f>IF('Données projet'!$A$36&gt;35,N99+M100-V99,IF(A100&lt;'Données projet'!$A$36,$K$205^A100,IF(A100='Données projet'!$A$36,'Données projet'!$B$36,N99+M100-V99)))</f>
        <v>360.40099999999944</v>
      </c>
      <c r="O100" s="13">
        <f>N100*VLOOKUP('Données projet'!$B$9,Paramètres!$A$1:$I$89,3,0)*VLOOKUP('Données projet'!$B$9,Paramètres!$A$1:$I$89,5,0)</f>
        <v>206.14937199999969</v>
      </c>
      <c r="P100" s="13">
        <f t="shared" si="87"/>
        <v>51.093222429026085</v>
      </c>
      <c r="Q100" s="20">
        <f t="shared" si="107"/>
        <v>448.03085196388651</v>
      </c>
      <c r="R100" s="59">
        <f t="shared" si="55"/>
        <v>741.36418529721982</v>
      </c>
      <c r="S100" s="59">
        <f ca="1">AVERAGE(OFFSET($R$3,0,0,'Données projet'!$E$9+1,1))-AVERAGE(OFFSET($H$3,0,0,'Données projet'!$E$9+1,1))</f>
        <v>294.9631697747962</v>
      </c>
      <c r="T100" s="59">
        <f t="shared" si="88"/>
        <v>202.04924881627716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33.113348157930041</v>
      </c>
      <c r="AA100" s="21">
        <f>EXP(-LN(2)/25)*AA99+(1-EXP(-LN(2)/25))/(LN(2)/25)*Calculateur!V100*Calculateur!X100*VLOOKUP('Données projet'!$B$9,Paramètres!$A$1:$I$89,3,0)*0.475*44/12</f>
        <v>10.600109505425479</v>
      </c>
      <c r="AB100" s="21">
        <f>EXP(-LN(2)/2)*AB99+(1-EXP(-LN(2)/2))/(LN(2)/2)*V100*Y100*VLOOKUP('Données projet'!$B$9,Paramètres!$A$1:$I$89,3,0)*0.475*44/12</f>
        <v>0.48279580445342296</v>
      </c>
      <c r="AC100" s="22">
        <f t="shared" si="57"/>
        <v>44.196253467808944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349.71285006949597</v>
      </c>
      <c r="AO100" s="59">
        <f t="shared" si="90"/>
        <v>258.51550516456842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109.454953336426</v>
      </c>
      <c r="AV100" s="21">
        <f>EXP(-LN(2)/25)*AV99+(1-EXP(-LN(2)/25))/(LN(2)/25)*Calculateur!AQ100*Calculateur!AS100*VLOOKUP('Données projet'!$B$10,Paramètres!$A$1:$I$89,3,0)*0.475*44/12</f>
        <v>32.297040636451129</v>
      </c>
      <c r="AW100" s="21">
        <f>EXP(-LN(2)/2)*AW99+(1-EXP(-LN(2)/2))/(LN(2)/2)*AQ100*AT100*VLOOKUP('Données projet'!$B$10,Paramètres!$A$1:$I$89,3,0)*0.475*44/12</f>
        <v>0.19532897526359971</v>
      </c>
      <c r="AX100" s="21">
        <f t="shared" si="60"/>
        <v>141.94732294814074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7.7249999999999996</v>
      </c>
      <c r="BD100" s="12">
        <f>IF('Données projet'!$A$88&gt;35,BD99+BC100-BL99,IF(A100&lt;'Données projet'!$A$88,$BA$205^A100,IF(A100='Données projet'!$A$88,'Données projet'!$B$88,BD99+BC100-BL99)))</f>
        <v>291.36000000000035</v>
      </c>
      <c r="BE100" s="13">
        <f>BD100*VLOOKUP('Données projet'!$B$11,Paramètres!$A$1:$I$89,3,0)*VLOOKUP('Données projet'!$B$11,Paramètres!$A$1:$I$89,5,0)</f>
        <v>263.62252800000033</v>
      </c>
      <c r="BF100" s="13">
        <f t="shared" si="91"/>
        <v>63.493931609397407</v>
      </c>
      <c r="BG100" s="20">
        <f t="shared" si="61"/>
        <v>569.727833819701</v>
      </c>
      <c r="BH100" s="59">
        <f t="shared" si="62"/>
        <v>863.06116715303438</v>
      </c>
      <c r="BI100" s="59">
        <f ca="1">AVERAGE(OFFSET($BH$3,0,0,'Données projet'!$E$11+1,1))-AVERAGE(OFFSET($H$3,0,0,'Données projet'!$E$11+1,1))</f>
        <v>490.06222615476065</v>
      </c>
      <c r="BJ100" s="59">
        <f t="shared" si="92"/>
        <v>310.43914804089906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23.374378779077148</v>
      </c>
      <c r="BQ100" s="21">
        <f>EXP(-LN(2)/25)*BQ99+(1-EXP(-LN(2)/25))/(LN(2)/25)*Calculateur!BL100*Calculateur!BN100*VLOOKUP('Données projet'!$B$11,Paramètres!$A$1:$I$89,3,0)*0.475*44/12</f>
        <v>22.211590751252924</v>
      </c>
      <c r="BR100" s="21">
        <f>EXP(-LN(2)/2)*BR99+(1-EXP(-LN(2)/2))/(LN(2)/2)*BL100*BO100*VLOOKUP('Données projet'!$B$11,Paramètres!$A$1:$I$89,3,0)*0.475*44/12</f>
        <v>0.96458900427830274</v>
      </c>
      <c r="BS100" s="22">
        <f t="shared" si="63"/>
        <v>46.550558534608378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216.58079733333321</v>
      </c>
      <c r="CA100" s="13">
        <f t="shared" si="93"/>
        <v>53.371062792617998</v>
      </c>
      <c r="CB100" s="20">
        <f t="shared" si="64"/>
        <v>470.16615638603167</v>
      </c>
      <c r="CC100" s="59">
        <f t="shared" si="65"/>
        <v>763.49948971936499</v>
      </c>
      <c r="CD100" s="59">
        <f ca="1">AVERAGE(OFFSET($CC$3,0,0,'Données projet'!$E$12+1,1))-AVERAGE(OFFSET($H$3,0,0,'Données projet'!$E$12+1,1))</f>
        <v>510.71380643466227</v>
      </c>
      <c r="CE100" s="59">
        <f t="shared" si="94"/>
        <v>252.40654099948841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8.1323284567476026</v>
      </c>
      <c r="CL100" s="21">
        <f>EXP(-LN(2)/25)*CL99+(1-EXP(-LN(2)/25))/(LN(2)/25)*Calculateur!CG100*Calculateur!CI100*VLOOKUP('Données projet'!$B$12,Paramètres!$A$1:$I$89,3,0)*0.475*44/12</f>
        <v>15.185987621920088</v>
      </c>
      <c r="CM100" s="21">
        <f>EXP(-LN(2)/2)*CM99+(1-EXP(-LN(2)/2))/(LN(2)/2)*CG100*CJ100*VLOOKUP('Données projet'!$B$12,Paramètres!$A$1:$I$89,3,0)*0.475*44/12</f>
        <v>5.0113039201127112</v>
      </c>
      <c r="CN100" s="22">
        <f t="shared" si="66"/>
        <v>28.329619998780402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8.9989999999999952</v>
      </c>
      <c r="CT100" s="12">
        <f>IF('Données projet'!$A$140&gt;35,CT99+CS100-DB99,IF(A100&lt;'Données projet'!$A$140,$CQ$205^A100,IF(A100='Données projet'!$A$140,'Données projet'!$B$140,CT99+CS100-DB99)))</f>
        <v>317.40599999999995</v>
      </c>
      <c r="CU100" s="17">
        <f>CT100*VLOOKUP('Données projet'!$B$13,Paramètres!$A$1:$I$89,3,0)*VLOOKUP('Données projet'!$B$13,Paramètres!$A$1:$I$89,5,0)</f>
        <v>341.65581839999993</v>
      </c>
      <c r="CV100" s="13">
        <f t="shared" si="95"/>
        <v>79.841952197500291</v>
      </c>
      <c r="CW100" s="20">
        <f t="shared" si="67"/>
        <v>734.10861712397957</v>
      </c>
      <c r="CX100" s="59">
        <f t="shared" si="68"/>
        <v>1027.4419504573129</v>
      </c>
      <c r="CY100" s="59">
        <f ca="1">AVERAGE(OFFSET($CX$3,0,0,'Données projet'!$E$13+1,1))-AVERAGE(OFFSET($H$3,0,0,'Données projet'!$E$13+1,1))</f>
        <v>502.65044103360322</v>
      </c>
      <c r="CZ100" s="59">
        <f t="shared" si="96"/>
        <v>321.65762891855167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38.764400238053881</v>
      </c>
      <c r="DG100" s="21">
        <f>EXP(-LN(2)/25)*DG99+(1-EXP(-LN(2)/25))/(LN(2)/25)*Calculateur!DB100*Calculateur!DD100*VLOOKUP('Données projet'!$B$13,Paramètres!$A$1:$I$89,3,0)*0.475*44/12</f>
        <v>26.398403867518962</v>
      </c>
      <c r="DH100" s="21">
        <f>EXP(-LN(2)/2)*DH99+(1-EXP(-LN(2)/2))/(LN(2)/2)*DB100*DE100*VLOOKUP('Données projet'!$B$13,Paramètres!$A$1:$I$89,3,0)*0.475*44/12</f>
        <v>4.1955549854048167E-2</v>
      </c>
      <c r="DI100" s="22">
        <f t="shared" si="69"/>
        <v>65.204759655426898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-25.899999999999977</v>
      </c>
      <c r="DP100" s="17">
        <f>DO100*VLOOKUP('Données projet'!$B$14,Paramètres!$A$1:$I$89,3,0)*VLOOKUP('Données projet'!$B$14,Paramètres!$A$1:$I$89,5,0)</f>
        <v>-13.171703999999989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63.94726564348116</v>
      </c>
      <c r="DU100" s="59">
        <f t="shared" si="98"/>
        <v>280.8165028422905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13.536203132490115</v>
      </c>
      <c r="EB100" s="21">
        <f>EXP(-LN(2)/25)*EB99+(1-EXP(-LN(2)/25))/(LN(2)/25)*Calculateur!DW100*Calculateur!DY100*VLOOKUP('Données projet'!$B$14,Paramètres!$A$1:$I$89,3,0)*0.475*44/12</f>
        <v>1.0139527033682278</v>
      </c>
      <c r="EC100" s="21">
        <f>EXP(-LN(2)/2)*EC99+(1-EXP(-LN(2)/2))/(LN(2)/2)*DW100*DZ100*VLOOKUP('Données projet'!$B$14,Paramètres!$A$1:$I$89,3,0)*0.475*44/12</f>
        <v>7.9986494617253794E-12</v>
      </c>
      <c r="ED100" s="22">
        <f t="shared" si="72"/>
        <v>14.550155835866342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4.9529999999999976</v>
      </c>
      <c r="N101" s="13">
        <f>IF('Données projet'!$A$36&gt;35,N100+M101-V100,IF(A101&lt;'Données projet'!$A$36,$K$205^A101,IF(A101='Données projet'!$A$36,'Données projet'!$B$36,N100+M101-V100)))</f>
        <v>365.35399999999942</v>
      </c>
      <c r="O101" s="13">
        <f>N101*VLOOKUP('Données projet'!$B$9,Paramètres!$A$1:$I$89,3,0)*VLOOKUP('Données projet'!$B$9,Paramètres!$A$1:$I$89,5,0)</f>
        <v>208.98248799999968</v>
      </c>
      <c r="P101" s="13">
        <f t="shared" si="87"/>
        <v>51.713170910315355</v>
      </c>
      <c r="Q101" s="20">
        <f t="shared" si="107"/>
        <v>454.04493926879871</v>
      </c>
      <c r="R101" s="59">
        <f t="shared" si="55"/>
        <v>747.37827260213203</v>
      </c>
      <c r="S101" s="59">
        <f ca="1">AVERAGE(OFFSET($R$3,0,0,'Données projet'!$E$9+1,1))-AVERAGE(OFFSET($H$3,0,0,'Données projet'!$E$9+1,1))</f>
        <v>294.9631697747962</v>
      </c>
      <c r="T101" s="59">
        <f t="shared" si="88"/>
        <v>202.04924881627716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32.464015597701106</v>
      </c>
      <c r="AA101" s="21">
        <f>EXP(-LN(2)/25)*AA100+(1-EXP(-LN(2)/25))/(LN(2)/25)*Calculateur!V101*Calculateur!X101*VLOOKUP('Données projet'!$B$9,Paramètres!$A$1:$I$89,3,0)*0.475*44/12</f>
        <v>10.310248953564088</v>
      </c>
      <c r="AB101" s="21">
        <f>EXP(-LN(2)/2)*AB100+(1-EXP(-LN(2)/2))/(LN(2)/2)*V101*Y101*VLOOKUP('Données projet'!$B$9,Paramètres!$A$1:$I$89,3,0)*0.475*44/12</f>
        <v>0.34138818725742975</v>
      </c>
      <c r="AC101" s="22">
        <f t="shared" si="57"/>
        <v>43.11565273852262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349.71285006949597</v>
      </c>
      <c r="AO101" s="59">
        <f t="shared" si="90"/>
        <v>258.51550516456842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107.30860846242813</v>
      </c>
      <c r="AV101" s="21">
        <f>EXP(-LN(2)/25)*AV100+(1-EXP(-LN(2)/25))/(LN(2)/25)*Calculateur!AQ101*Calculateur!AS101*VLOOKUP('Données projet'!$B$10,Paramètres!$A$1:$I$89,3,0)*0.475*44/12</f>
        <v>31.41387636181982</v>
      </c>
      <c r="AW101" s="21">
        <f>EXP(-LN(2)/2)*AW100+(1-EXP(-LN(2)/2))/(LN(2)/2)*AQ101*AT101*VLOOKUP('Données projet'!$B$10,Paramètres!$A$1:$I$89,3,0)*0.475*44/12</f>
        <v>0.13811844297111076</v>
      </c>
      <c r="AX101" s="21">
        <f t="shared" si="60"/>
        <v>138.86060326721906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7.7249999999999996</v>
      </c>
      <c r="BD101" s="12">
        <f>IF('Données projet'!$A$88&gt;35,BD100+BC101-BL100,IF(A101&lt;'Données projet'!$A$88,$BA$205^A101,IF(A101='Données projet'!$A$88,'Données projet'!$B$88,BD100+BC101-BL100)))</f>
        <v>299.08500000000038</v>
      </c>
      <c r="BE101" s="13">
        <f>BD101*VLOOKUP('Données projet'!$B$11,Paramètres!$A$1:$I$89,3,0)*VLOOKUP('Données projet'!$B$11,Paramètres!$A$1:$I$89,5,0)</f>
        <v>270.61210800000032</v>
      </c>
      <c r="BF101" s="13">
        <f t="shared" si="91"/>
        <v>64.979156928389983</v>
      </c>
      <c r="BG101" s="20">
        <f t="shared" si="61"/>
        <v>584.48811975027968</v>
      </c>
      <c r="BH101" s="59">
        <f t="shared" si="62"/>
        <v>877.82145308361305</v>
      </c>
      <c r="BI101" s="59">
        <f ca="1">AVERAGE(OFFSET($BH$3,0,0,'Données projet'!$E$11+1,1))-AVERAGE(OFFSET($H$3,0,0,'Données projet'!$E$11+1,1))</f>
        <v>490.06222615476065</v>
      </c>
      <c r="BJ101" s="59">
        <f t="shared" si="92"/>
        <v>310.43914804089906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22.916021468182741</v>
      </c>
      <c r="BQ101" s="21">
        <f>EXP(-LN(2)/25)*BQ100+(1-EXP(-LN(2)/25))/(LN(2)/25)*Calculateur!BL101*Calculateur!BN101*VLOOKUP('Données projet'!$B$11,Paramètres!$A$1:$I$89,3,0)*0.475*44/12</f>
        <v>21.604213634103122</v>
      </c>
      <c r="BR101" s="21">
        <f>EXP(-LN(2)/2)*BR100+(1-EXP(-LN(2)/2))/(LN(2)/2)*BL101*BO101*VLOOKUP('Données projet'!$B$11,Paramètres!$A$1:$I$89,3,0)*0.475*44/12</f>
        <v>0.68206742598316761</v>
      </c>
      <c r="BS101" s="22">
        <f t="shared" si="63"/>
        <v>45.202302528269037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223.13626399999987</v>
      </c>
      <c r="CA101" s="13">
        <f t="shared" si="93"/>
        <v>54.795974627594028</v>
      </c>
      <c r="CB101" s="20">
        <f t="shared" si="64"/>
        <v>484.06531560972599</v>
      </c>
      <c r="CC101" s="59">
        <f t="shared" si="65"/>
        <v>777.39864894305924</v>
      </c>
      <c r="CD101" s="59">
        <f ca="1">AVERAGE(OFFSET($CC$3,0,0,'Données projet'!$E$12+1,1))-AVERAGE(OFFSET($H$3,0,0,'Données projet'!$E$12+1,1))</f>
        <v>510.71380643466227</v>
      </c>
      <c r="CE101" s="59">
        <f t="shared" si="94"/>
        <v>252.40654099948841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7.9728584559413589</v>
      </c>
      <c r="CL101" s="21">
        <f>EXP(-LN(2)/25)*CL100+(1-EXP(-LN(2)/25))/(LN(2)/25)*Calculateur!CG101*Calculateur!CI101*VLOOKUP('Données projet'!$B$12,Paramètres!$A$1:$I$89,3,0)*0.475*44/12</f>
        <v>14.770725991802301</v>
      </c>
      <c r="CM101" s="21">
        <f>EXP(-LN(2)/2)*CM100+(1-EXP(-LN(2)/2))/(LN(2)/2)*CG101*CJ101*VLOOKUP('Données projet'!$B$12,Paramètres!$A$1:$I$89,3,0)*0.475*44/12</f>
        <v>3.5435269844984267</v>
      </c>
      <c r="CN101" s="22">
        <f t="shared" si="66"/>
        <v>26.287111432242089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8.9989999999999952</v>
      </c>
      <c r="CT101" s="12">
        <f>IF('Données projet'!$A$140&gt;35,CT100+CS101-DB100,IF(A101&lt;'Données projet'!$A$140,$CQ$205^A101,IF(A101='Données projet'!$A$140,'Données projet'!$B$140,CT100+CS101-DB100)))</f>
        <v>326.40499999999997</v>
      </c>
      <c r="CU101" s="17">
        <f>CT101*VLOOKUP('Données projet'!$B$13,Paramètres!$A$1:$I$89,3,0)*VLOOKUP('Données projet'!$B$13,Paramètres!$A$1:$I$89,5,0)</f>
        <v>351.34234199999997</v>
      </c>
      <c r="CV101" s="13">
        <f t="shared" si="95"/>
        <v>81.838851788282241</v>
      </c>
      <c r="CW101" s="20">
        <f t="shared" si="67"/>
        <v>754.45724584792481</v>
      </c>
      <c r="CX101" s="59">
        <f t="shared" si="68"/>
        <v>1047.7905791812582</v>
      </c>
      <c r="CY101" s="59">
        <f ca="1">AVERAGE(OFFSET($CX$3,0,0,'Données projet'!$E$13+1,1))-AVERAGE(OFFSET($H$3,0,0,'Données projet'!$E$13+1,1))</f>
        <v>502.65044103360322</v>
      </c>
      <c r="CZ101" s="59">
        <f t="shared" si="96"/>
        <v>321.65762891855167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38.004253993335141</v>
      </c>
      <c r="DG101" s="21">
        <f>EXP(-LN(2)/25)*DG100+(1-EXP(-LN(2)/25))/(LN(2)/25)*Calculateur!DB101*Calculateur!DD101*VLOOKUP('Données projet'!$B$13,Paramètres!$A$1:$I$89,3,0)*0.475*44/12</f>
        <v>25.67653812552993</v>
      </c>
      <c r="DH101" s="21">
        <f>EXP(-LN(2)/2)*DH100+(1-EXP(-LN(2)/2))/(LN(2)/2)*DB101*DE101*VLOOKUP('Données projet'!$B$13,Paramètres!$A$1:$I$89,3,0)*0.475*44/12</f>
        <v>2.9667053810207726E-2</v>
      </c>
      <c r="DI101" s="22">
        <f t="shared" si="69"/>
        <v>63.710459172675279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-25.899999999999977</v>
      </c>
      <c r="DP101" s="17">
        <f>DO101*VLOOKUP('Données projet'!$B$14,Paramètres!$A$1:$I$89,3,0)*VLOOKUP('Données projet'!$B$14,Paramètres!$A$1:$I$89,5,0)</f>
        <v>-13.171703999999989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63.94726564348116</v>
      </c>
      <c r="DU101" s="59">
        <f t="shared" si="98"/>
        <v>280.8165028422905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13.270766445330656</v>
      </c>
      <c r="EB101" s="21">
        <f>EXP(-LN(2)/25)*EB100+(1-EXP(-LN(2)/25))/(LN(2)/25)*Calculateur!DW101*Calculateur!DY101*VLOOKUP('Données projet'!$B$14,Paramètres!$A$1:$I$89,3,0)*0.475*44/12</f>
        <v>0.98622611337316846</v>
      </c>
      <c r="EC101" s="21">
        <f>EXP(-LN(2)/2)*EC100+(1-EXP(-LN(2)/2))/(LN(2)/2)*DW101*DZ101*VLOOKUP('Données projet'!$B$14,Paramètres!$A$1:$I$89,3,0)*0.475*44/12</f>
        <v>5.6558992747201441E-12</v>
      </c>
      <c r="ED101" s="22">
        <f t="shared" si="72"/>
        <v>14.256992558709481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4.9529999999999976</v>
      </c>
      <c r="N102" s="13">
        <f>IF('Données projet'!$A$36&gt;35,N101+M102-V101,IF(A102&lt;'Données projet'!$A$36,$K$205^A102,IF(A102='Données projet'!$A$36,'Données projet'!$B$36,N101+M102-V101)))</f>
        <v>370.30699999999939</v>
      </c>
      <c r="O102" s="13">
        <f>N102*VLOOKUP('Données projet'!$B$9,Paramètres!$A$1:$I$89,3,0)*VLOOKUP('Données projet'!$B$9,Paramètres!$A$1:$I$89,5,0)</f>
        <v>211.81560399999967</v>
      </c>
      <c r="P102" s="13">
        <f t="shared" si="87"/>
        <v>52.332141851699163</v>
      </c>
      <c r="Q102" s="20">
        <f t="shared" si="107"/>
        <v>460.05732402504208</v>
      </c>
      <c r="R102" s="59">
        <f t="shared" si="55"/>
        <v>753.39065735837539</v>
      </c>
      <c r="S102" s="59">
        <f ca="1">AVERAGE(OFFSET($R$3,0,0,'Données projet'!$E$9+1,1))-AVERAGE(OFFSET($H$3,0,0,'Données projet'!$E$9+1,1))</f>
        <v>294.9631697747962</v>
      </c>
      <c r="T102" s="59">
        <f t="shared" si="88"/>
        <v>202.04924881627716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31.827416052924505</v>
      </c>
      <c r="AA102" s="21">
        <f>EXP(-LN(2)/25)*AA101+(1-EXP(-LN(2)/25))/(LN(2)/25)*Calculateur!V102*Calculateur!X102*VLOOKUP('Données projet'!$B$9,Paramètres!$A$1:$I$89,3,0)*0.475*44/12</f>
        <v>10.02831465373645</v>
      </c>
      <c r="AB102" s="21">
        <f>EXP(-LN(2)/2)*AB101+(1-EXP(-LN(2)/2))/(LN(2)/2)*V102*Y102*VLOOKUP('Données projet'!$B$9,Paramètres!$A$1:$I$89,3,0)*0.475*44/12</f>
        <v>0.24139790222671151</v>
      </c>
      <c r="AC102" s="22">
        <f t="shared" si="57"/>
        <v>42.097128608887665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349.71285006949597</v>
      </c>
      <c r="AO102" s="59">
        <f t="shared" si="90"/>
        <v>258.51550516456842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105.20435210226825</v>
      </c>
      <c r="AV102" s="21">
        <f>EXP(-LN(2)/25)*AV101+(1-EXP(-LN(2)/25))/(LN(2)/25)*Calculateur!AQ102*Calculateur!AS102*VLOOKUP('Données projet'!$B$10,Paramètres!$A$1:$I$89,3,0)*0.475*44/12</f>
        <v>30.554862260721897</v>
      </c>
      <c r="AW102" s="21">
        <f>EXP(-LN(2)/2)*AW101+(1-EXP(-LN(2)/2))/(LN(2)/2)*AQ102*AT102*VLOOKUP('Données projet'!$B$10,Paramètres!$A$1:$I$89,3,0)*0.475*44/12</f>
        <v>9.7664487631799857E-2</v>
      </c>
      <c r="AX102" s="21">
        <f t="shared" si="60"/>
        <v>135.85687885062194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7.7249999999999996</v>
      </c>
      <c r="BD102" s="12">
        <f>IF('Données projet'!$A$88&gt;35,BD101+BC102-BL101,IF(A102&lt;'Données projet'!$A$88,$BA$205^A102,IF(A102='Données projet'!$A$88,'Données projet'!$B$88,BD101+BC102-BL101)))</f>
        <v>306.8100000000004</v>
      </c>
      <c r="BE102" s="13">
        <f>BD102*VLOOKUP('Données projet'!$B$11,Paramètres!$A$1:$I$89,3,0)*VLOOKUP('Données projet'!$B$11,Paramètres!$A$1:$I$89,5,0)</f>
        <v>277.60168800000031</v>
      </c>
      <c r="BF102" s="13">
        <f t="shared" si="91"/>
        <v>66.459923144116161</v>
      </c>
      <c r="BG102" s="20">
        <f t="shared" si="61"/>
        <v>599.24063940933604</v>
      </c>
      <c r="BH102" s="59">
        <f t="shared" si="62"/>
        <v>892.57397274266941</v>
      </c>
      <c r="BI102" s="59">
        <f ca="1">AVERAGE(OFFSET($BH$3,0,0,'Données projet'!$E$11+1,1))-AVERAGE(OFFSET($H$3,0,0,'Données projet'!$E$11+1,1))</f>
        <v>490.06222615476065</v>
      </c>
      <c r="BJ102" s="59">
        <f t="shared" si="92"/>
        <v>310.43914804089906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22.466652264584621</v>
      </c>
      <c r="BQ102" s="21">
        <f>EXP(-LN(2)/25)*BQ101+(1-EXP(-LN(2)/25))/(LN(2)/25)*Calculateur!BL102*Calculateur!BN102*VLOOKUP('Données projet'!$B$11,Paramètres!$A$1:$I$89,3,0)*0.475*44/12</f>
        <v>21.013445276162354</v>
      </c>
      <c r="BR102" s="21">
        <f>EXP(-LN(2)/2)*BR101+(1-EXP(-LN(2)/2))/(LN(2)/2)*BL102*BO102*VLOOKUP('Données projet'!$B$11,Paramètres!$A$1:$I$89,3,0)*0.475*44/12</f>
        <v>0.48229450213915143</v>
      </c>
      <c r="BS102" s="22">
        <f t="shared" si="63"/>
        <v>43.96239204288613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229.69173066666653</v>
      </c>
      <c r="CA102" s="13">
        <f t="shared" si="93"/>
        <v>56.216021291878434</v>
      </c>
      <c r="CB102" s="20">
        <f t="shared" si="64"/>
        <v>497.95600132779902</v>
      </c>
      <c r="CC102" s="59">
        <f t="shared" si="65"/>
        <v>791.28933466113233</v>
      </c>
      <c r="CD102" s="59">
        <f ca="1">AVERAGE(OFFSET($CC$3,0,0,'Données projet'!$E$12+1,1))-AVERAGE(OFFSET($H$3,0,0,'Données projet'!$E$12+1,1))</f>
        <v>510.71380643466227</v>
      </c>
      <c r="CE102" s="59">
        <f t="shared" si="94"/>
        <v>252.40654099948841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7.8165155645838293</v>
      </c>
      <c r="CL102" s="21">
        <f>EXP(-LN(2)/25)*CL101+(1-EXP(-LN(2)/25))/(LN(2)/25)*Calculateur!CG102*Calculateur!CI102*VLOOKUP('Données projet'!$B$12,Paramètres!$A$1:$I$89,3,0)*0.475*44/12</f>
        <v>14.366819712797746</v>
      </c>
      <c r="CM102" s="21">
        <f>EXP(-LN(2)/2)*CM101+(1-EXP(-LN(2)/2))/(LN(2)/2)*CG102*CJ102*VLOOKUP('Données projet'!$B$12,Paramètres!$A$1:$I$89,3,0)*0.475*44/12</f>
        <v>2.5056519600563556</v>
      </c>
      <c r="CN102" s="22">
        <f t="shared" si="66"/>
        <v>24.688987237437928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8.9989999999999952</v>
      </c>
      <c r="CT102" s="12">
        <f>IF('Données projet'!$A$140&gt;35,CT101+CS102-DB101,IF(A102&lt;'Données projet'!$A$140,$CQ$205^A102,IF(A102='Données projet'!$A$140,'Données projet'!$B$140,CT101+CS102-DB101)))</f>
        <v>335.404</v>
      </c>
      <c r="CU102" s="17">
        <f>CT102*VLOOKUP('Données projet'!$B$13,Paramètres!$A$1:$I$89,3,0)*VLOOKUP('Données projet'!$B$13,Paramètres!$A$1:$I$89,5,0)</f>
        <v>361.02886559999996</v>
      </c>
      <c r="CV102" s="13">
        <f t="shared" si="95"/>
        <v>83.829352437758416</v>
      </c>
      <c r="CW102" s="20">
        <f t="shared" si="67"/>
        <v>774.79472974909584</v>
      </c>
      <c r="CX102" s="59">
        <f t="shared" si="68"/>
        <v>1068.1280630824292</v>
      </c>
      <c r="CY102" s="59">
        <f ca="1">AVERAGE(OFFSET($CX$3,0,0,'Données projet'!$E$13+1,1))-AVERAGE(OFFSET($H$3,0,0,'Données projet'!$E$13+1,1))</f>
        <v>502.65044103360322</v>
      </c>
      <c r="CZ102" s="59">
        <f t="shared" si="96"/>
        <v>321.65762891855167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37.259013752831912</v>
      </c>
      <c r="DG102" s="21">
        <f>EXP(-LN(2)/25)*DG101+(1-EXP(-LN(2)/25))/(LN(2)/25)*Calculateur!DB102*Calculateur!DD102*VLOOKUP('Données projet'!$B$13,Paramètres!$A$1:$I$89,3,0)*0.475*44/12</f>
        <v>24.97441184021686</v>
      </c>
      <c r="DH102" s="21">
        <f>EXP(-LN(2)/2)*DH101+(1-EXP(-LN(2)/2))/(LN(2)/2)*DB102*DE102*VLOOKUP('Données projet'!$B$13,Paramètres!$A$1:$I$89,3,0)*0.475*44/12</f>
        <v>2.0977774927024087E-2</v>
      </c>
      <c r="DI102" s="22">
        <f t="shared" si="69"/>
        <v>62.254403367975797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-25.899999999999977</v>
      </c>
      <c r="DP102" s="17">
        <f>DO102*VLOOKUP('Données projet'!$B$14,Paramètres!$A$1:$I$89,3,0)*VLOOKUP('Données projet'!$B$14,Paramètres!$A$1:$I$89,5,0)</f>
        <v>-13.171703999999989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63.94726564348116</v>
      </c>
      <c r="DU102" s="59">
        <f t="shared" si="98"/>
        <v>280.8165028422905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13.010534809706002</v>
      </c>
      <c r="EB102" s="21">
        <f>EXP(-LN(2)/25)*EB101+(1-EXP(-LN(2)/25))/(LN(2)/25)*Calculateur!DW102*Calculateur!DY102*VLOOKUP('Données projet'!$B$14,Paramètres!$A$1:$I$89,3,0)*0.475*44/12</f>
        <v>0.9592577084396019</v>
      </c>
      <c r="EC102" s="21">
        <f>EXP(-LN(2)/2)*EC101+(1-EXP(-LN(2)/2))/(LN(2)/2)*DW102*DZ102*VLOOKUP('Données projet'!$B$14,Paramètres!$A$1:$I$89,3,0)*0.475*44/12</f>
        <v>3.9993247308626897E-12</v>
      </c>
      <c r="ED102" s="22">
        <f t="shared" si="72"/>
        <v>13.969792518149601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375.26</v>
      </c>
      <c r="L103" s="12">
        <f>VLOOKUP(A103,'Données projet'!$A$35:$I$55,9,0)</f>
        <v>4.9529999999999976</v>
      </c>
      <c r="M103" s="12">
        <f t="array" ref="M103">INDEX(L:L,MIN(IF(ISNUMBER(L103:L299),ROW(L103:L299),"")))</f>
        <v>4.9529999999999976</v>
      </c>
      <c r="N103" s="13">
        <f>IF('Données projet'!$A$36&gt;35,N102+M103-V102,IF(A103&lt;'Données projet'!$A$36,$K$205^A103,IF(A103='Données projet'!$A$36,'Données projet'!$B$36,N102+M103-V102)))</f>
        <v>375.25999999999937</v>
      </c>
      <c r="O103" s="13">
        <f>N103*VLOOKUP('Données projet'!$B$9,Paramètres!$A$1:$I$89,3,0)*VLOOKUP('Données projet'!$B$9,Paramètres!$A$1:$I$89,5,0)</f>
        <v>214.64871999999966</v>
      </c>
      <c r="P103" s="13">
        <f t="shared" si="87"/>
        <v>52.950149839598787</v>
      </c>
      <c r="Q103" s="20">
        <f t="shared" si="107"/>
        <v>466.06803163730052</v>
      </c>
      <c r="R103" s="59">
        <f t="shared" si="55"/>
        <v>759.40136497063384</v>
      </c>
      <c r="S103" s="59">
        <f ca="1">AVERAGE(OFFSET($R$3,0,0,'Données projet'!$E$9+1,1))-AVERAGE(OFFSET($H$3,0,0,'Données projet'!$E$9+1,1))</f>
        <v>294.9631697747962</v>
      </c>
      <c r="T103" s="59">
        <f t="shared" si="88"/>
        <v>202.04924881627716</v>
      </c>
      <c r="U103" s="15">
        <f>IF(ISNA(VLOOKUP(A103,'Données projet'!$A$35:$I$55,3,0)),0,VLOOKUP(A103,'Données projet'!$A$35:$I$55,3,0))</f>
        <v>10</v>
      </c>
      <c r="V103" s="15">
        <f>IF(ISNA(VLOOKUP(A103,'Données projet'!$A$35:$I$55,4,0)),0,VLOOKUP(A103,'Données projet'!$A$35:$I$55,4,0))</f>
        <v>222.06</v>
      </c>
      <c r="W103" s="16">
        <f>IF(ISNA(VLOOKUP(A103,'Données projet'!$A$35:$I$55,5,0)),0%,VLOOKUP(A103,'Données projet'!$A$35:$I$55,5,0)*VLOOKUP('Données projet'!$B$9,Paramètres!$A$1:$I$89,7,0))</f>
        <v>0.27</v>
      </c>
      <c r="X103" s="16">
        <f>IF(ISNA(VLOOKUP(A103,'Données projet'!$A$35:$I$55,6,0)),0%,VLOOKUP(A103,'Données projet'!$A$35:$I$55,6,0)*VLOOKUP('Données projet'!$B$9,Paramètres!$A$1:$I$89,7,0))</f>
        <v>9.0000000000000011E-2</v>
      </c>
      <c r="Y103" s="16">
        <f>IF(ISNA(VLOOKUP(A103,'Données projet'!$A$35:$I$55,7,0)),0%,VLOOKUP(A103,'Données projet'!$A$35:$I$55,7,0))</f>
        <v>0.2</v>
      </c>
      <c r="Z103" s="21">
        <f>EXP(-LN(2)/35)*Z102+(1-EXP(-LN(2)/35))/(LN(2)/35)*V103*W103*VLOOKUP('Données projet'!$B$9,Paramètres!$A$1:$I$89,3,0)*0.475*44/12</f>
        <v>76.697756732377812</v>
      </c>
      <c r="AA103" s="21">
        <f>EXP(-LN(2)/25)*AA102+(1-EXP(-LN(2)/25))/(LN(2)/25)*Calculateur!V103*Calculateur!X103*VLOOKUP('Données projet'!$B$9,Paramètres!$A$1:$I$89,3,0)*0.475*44/12</f>
        <v>24.859199156797136</v>
      </c>
      <c r="AB103" s="21">
        <f>EXP(-LN(2)/2)*AB102+(1-EXP(-LN(2)/2))/(LN(2)/2)*V103*Y103*VLOOKUP('Données projet'!$B$9,Paramètres!$A$1:$I$89,3,0)*0.475*44/12</f>
        <v>28.933542949939081</v>
      </c>
      <c r="AC103" s="22">
        <f t="shared" si="57"/>
        <v>130.49049883911403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349.71285006949597</v>
      </c>
      <c r="AO103" s="59">
        <f t="shared" si="90"/>
        <v>258.51550516456842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103.14135892586145</v>
      </c>
      <c r="AV103" s="21">
        <f>EXP(-LN(2)/25)*AV102+(1-EXP(-LN(2)/25))/(LN(2)/25)*Calculateur!AQ103*Calculateur!AS103*VLOOKUP('Données projet'!$B$10,Paramètres!$A$1:$I$89,3,0)*0.475*44/12</f>
        <v>29.719337945392084</v>
      </c>
      <c r="AW103" s="21">
        <f>EXP(-LN(2)/2)*AW102+(1-EXP(-LN(2)/2))/(LN(2)/2)*AQ103*AT103*VLOOKUP('Données projet'!$B$10,Paramètres!$A$1:$I$89,3,0)*0.475*44/12</f>
        <v>6.9059221485555378E-2</v>
      </c>
      <c r="AX103" s="21">
        <f t="shared" si="60"/>
        <v>132.9297560927391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7.7249999999999996</v>
      </c>
      <c r="BD103" s="12">
        <f>IF('Données projet'!$A$88&gt;35,BD102+BC103-BL102,IF(A103&lt;'Données projet'!$A$88,$BA$205^A103,IF(A103='Données projet'!$A$88,'Données projet'!$B$88,BD102+BC103-BL102)))</f>
        <v>314.53500000000042</v>
      </c>
      <c r="BE103" s="13">
        <f>BD103*VLOOKUP('Données projet'!$B$11,Paramètres!$A$1:$I$89,3,0)*VLOOKUP('Données projet'!$B$11,Paramètres!$A$1:$I$89,5,0)</f>
        <v>284.59126800000041</v>
      </c>
      <c r="BF103" s="13">
        <f t="shared" si="91"/>
        <v>67.936355441759275</v>
      </c>
      <c r="BG103" s="20">
        <f t="shared" si="61"/>
        <v>613.98561082773153</v>
      </c>
      <c r="BH103" s="59">
        <f t="shared" si="62"/>
        <v>907.31894416106479</v>
      </c>
      <c r="BI103" s="59">
        <f ca="1">AVERAGE(OFFSET($BH$3,0,0,'Données projet'!$E$11+1,1))-AVERAGE(OFFSET($H$3,0,0,'Données projet'!$E$11+1,1))</f>
        <v>490.06222615476065</v>
      </c>
      <c r="BJ103" s="59">
        <f t="shared" si="92"/>
        <v>310.43914804089906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22.026094916980909</v>
      </c>
      <c r="BQ103" s="21">
        <f>EXP(-LN(2)/25)*BQ102+(1-EXP(-LN(2)/25))/(LN(2)/25)*Calculateur!BL103*Calculateur!BN103*VLOOKUP('Données projet'!$B$11,Paramètres!$A$1:$I$89,3,0)*0.475*44/12</f>
        <v>20.438831510036636</v>
      </c>
      <c r="BR103" s="21">
        <f>EXP(-LN(2)/2)*BR102+(1-EXP(-LN(2)/2))/(LN(2)/2)*BL103*BO103*VLOOKUP('Données projet'!$B$11,Paramètres!$A$1:$I$89,3,0)*0.475*44/12</f>
        <v>0.34103371299158386</v>
      </c>
      <c r="BS103" s="22">
        <f t="shared" si="63"/>
        <v>42.805960140009127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236.24719733333319</v>
      </c>
      <c r="CA103" s="13">
        <f t="shared" si="93"/>
        <v>57.631357586724938</v>
      </c>
      <c r="CB103" s="20">
        <f t="shared" si="64"/>
        <v>511.83848315243455</v>
      </c>
      <c r="CC103" s="59">
        <f t="shared" si="65"/>
        <v>805.17181648576786</v>
      </c>
      <c r="CD103" s="59">
        <f ca="1">AVERAGE(OFFSET($CC$3,0,0,'Données projet'!$E$12+1,1))-AVERAGE(OFFSET($H$3,0,0,'Données projet'!$E$12+1,1))</f>
        <v>510.71380643466227</v>
      </c>
      <c r="CE103" s="59">
        <f t="shared" si="94"/>
        <v>252.40654099948841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7.6632384619660732</v>
      </c>
      <c r="CL103" s="21">
        <f>EXP(-LN(2)/25)*CL102+(1-EXP(-LN(2)/25))/(LN(2)/25)*Calculateur!CG103*Calculateur!CI103*VLOOKUP('Données projet'!$B$12,Paramètres!$A$1:$I$89,3,0)*0.475*44/12</f>
        <v>13.973958272233078</v>
      </c>
      <c r="CM103" s="21">
        <f>EXP(-LN(2)/2)*CM102+(1-EXP(-LN(2)/2))/(LN(2)/2)*CG103*CJ103*VLOOKUP('Données projet'!$B$12,Paramètres!$A$1:$I$89,3,0)*0.475*44/12</f>
        <v>1.7717634922492134</v>
      </c>
      <c r="CN103" s="22">
        <f t="shared" si="66"/>
        <v>23.408960226448364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8.9989999999999952</v>
      </c>
      <c r="CT103" s="12">
        <f>IF('Données projet'!$A$140&gt;35,CT102+CS103-DB102,IF(A103&lt;'Données projet'!$A$140,$CQ$205^A103,IF(A103='Données projet'!$A$140,'Données projet'!$B$140,CT102+CS103-DB102)))</f>
        <v>344.40300000000002</v>
      </c>
      <c r="CU103" s="17">
        <f>CT103*VLOOKUP('Données projet'!$B$13,Paramètres!$A$1:$I$89,3,0)*VLOOKUP('Données projet'!$B$13,Paramètres!$A$1:$I$89,5,0)</f>
        <v>370.7153892</v>
      </c>
      <c r="CV103" s="13">
        <f t="shared" si="95"/>
        <v>85.81364556336672</v>
      </c>
      <c r="CW103" s="20">
        <f t="shared" si="67"/>
        <v>795.1214022128637</v>
      </c>
      <c r="CX103" s="59">
        <f t="shared" si="68"/>
        <v>1088.4547355461971</v>
      </c>
      <c r="CY103" s="59">
        <f ca="1">AVERAGE(OFFSET($CX$3,0,0,'Données projet'!$E$13+1,1))-AVERAGE(OFFSET($H$3,0,0,'Données projet'!$E$13+1,1))</f>
        <v>502.65044103360322</v>
      </c>
      <c r="CZ103" s="59">
        <f t="shared" si="96"/>
        <v>321.65762891855167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36.528387218893286</v>
      </c>
      <c r="DG103" s="21">
        <f>EXP(-LN(2)/25)*DG102+(1-EXP(-LN(2)/25))/(LN(2)/25)*Calculateur!DB103*Calculateur!DD103*VLOOKUP('Données projet'!$B$13,Paramètres!$A$1:$I$89,3,0)*0.475*44/12</f>
        <v>24.291485235098889</v>
      </c>
      <c r="DH103" s="21">
        <f>EXP(-LN(2)/2)*DH102+(1-EXP(-LN(2)/2))/(LN(2)/2)*DB103*DE103*VLOOKUP('Données projet'!$B$13,Paramètres!$A$1:$I$89,3,0)*0.475*44/12</f>
        <v>1.4833526905103865E-2</v>
      </c>
      <c r="DI103" s="22">
        <f t="shared" si="69"/>
        <v>60.834705980897283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-25.899999999999977</v>
      </c>
      <c r="DP103" s="17">
        <f>DO103*VLOOKUP('Données projet'!$B$14,Paramètres!$A$1:$I$89,3,0)*VLOOKUP('Données projet'!$B$14,Paramètres!$A$1:$I$89,5,0)</f>
        <v>-13.171703999999989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63.94726564348116</v>
      </c>
      <c r="DU103" s="59">
        <f t="shared" si="98"/>
        <v>280.8165028422905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12.755406157730322</v>
      </c>
      <c r="EB103" s="21">
        <f>EXP(-LN(2)/25)*EB102+(1-EXP(-LN(2)/25))/(LN(2)/25)*Calculateur!DW103*Calculateur!DY103*VLOOKUP('Données projet'!$B$14,Paramètres!$A$1:$I$89,3,0)*0.475*44/12</f>
        <v>0.93302675595715046</v>
      </c>
      <c r="EC103" s="21">
        <f>EXP(-LN(2)/2)*EC102+(1-EXP(-LN(2)/2))/(LN(2)/2)*DW103*DZ103*VLOOKUP('Données projet'!$B$14,Paramètres!$A$1:$I$89,3,0)*0.475*44/12</f>
        <v>2.8279496373600721E-12</v>
      </c>
      <c r="ED103" s="22">
        <f t="shared" si="72"/>
        <v>13.688432913690301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2.4866666666666695</v>
      </c>
      <c r="N104" s="13">
        <f>IF('Données projet'!$A$36&gt;35,N103+M104-V103,IF(A104&lt;'Données projet'!$A$36,$K$205^A104,IF(A104='Données projet'!$A$36,'Données projet'!$B$36,N103+M104-V103)))</f>
        <v>155.68666666666604</v>
      </c>
      <c r="O104" s="13">
        <f>N104*VLOOKUP('Données projet'!$B$9,Paramètres!$A$1:$I$89,3,0)*VLOOKUP('Données projet'!$B$9,Paramètres!$A$1:$I$89,5,0)</f>
        <v>89.052773333332979</v>
      </c>
      <c r="P104" s="13">
        <f t="shared" si="87"/>
        <v>24.33663624626293</v>
      </c>
      <c r="Q104" s="20">
        <f t="shared" si="107"/>
        <v>197.48655501779618</v>
      </c>
      <c r="R104" s="59">
        <f t="shared" si="55"/>
        <v>490.81988835112952</v>
      </c>
      <c r="S104" s="59">
        <f ca="1">AVERAGE(OFFSET($R$3,0,0,'Données projet'!$E$9+1,1))-AVERAGE(OFFSET($H$3,0,0,'Données projet'!$E$9+1,1))</f>
        <v>294.9631697747962</v>
      </c>
      <c r="T104" s="59">
        <f t="shared" si="88"/>
        <v>202.04924881627716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75.193760503868248</v>
      </c>
      <c r="AA104" s="21">
        <f>EXP(-LN(2)/25)*AA103+(1-EXP(-LN(2)/25))/(LN(2)/25)*Calculateur!V104*Calculateur!X104*VLOOKUP('Données projet'!$B$9,Paramètres!$A$1:$I$89,3,0)*0.475*44/12</f>
        <v>24.179423048566051</v>
      </c>
      <c r="AB104" s="21">
        <f>EXP(-LN(2)/2)*AB103+(1-EXP(-LN(2)/2))/(LN(2)/2)*V104*Y104*VLOOKUP('Données projet'!$B$9,Paramètres!$A$1:$I$89,3,0)*0.475*44/12</f>
        <v>20.45910442365415</v>
      </c>
      <c r="AC104" s="22">
        <f t="shared" si="57"/>
        <v>119.83228797608845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349.71285006949597</v>
      </c>
      <c r="AO104" s="59">
        <f t="shared" si="90"/>
        <v>258.51550516456842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101.1188197873424</v>
      </c>
      <c r="AV104" s="21">
        <f>EXP(-LN(2)/25)*AV103+(1-EXP(-LN(2)/25))/(LN(2)/25)*Calculateur!AQ104*Calculateur!AS104*VLOOKUP('Données projet'!$B$10,Paramètres!$A$1:$I$89,3,0)*0.475*44/12</f>
        <v>28.906661086403279</v>
      </c>
      <c r="AW104" s="21">
        <f>EXP(-LN(2)/2)*AW103+(1-EXP(-LN(2)/2))/(LN(2)/2)*AQ104*AT104*VLOOKUP('Données projet'!$B$10,Paramètres!$A$1:$I$89,3,0)*0.475*44/12</f>
        <v>4.8832243815899928E-2</v>
      </c>
      <c r="AX104" s="21">
        <f t="shared" si="60"/>
        <v>130.07431311756159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7.7249999999999996</v>
      </c>
      <c r="BD104" s="12">
        <f>IF('Données projet'!$A$88&gt;35,BD103+BC104-BL103,IF(A104&lt;'Données projet'!$A$88,$BA$205^A104,IF(A104='Données projet'!$A$88,'Données projet'!$B$88,BD103+BC104-BL103)))</f>
        <v>322.26000000000045</v>
      </c>
      <c r="BE104" s="13">
        <f>BD104*VLOOKUP('Données projet'!$B$11,Paramètres!$A$1:$I$89,3,0)*VLOOKUP('Données projet'!$B$11,Paramètres!$A$1:$I$89,5,0)</f>
        <v>291.5808480000004</v>
      </c>
      <c r="BF104" s="13">
        <f t="shared" si="91"/>
        <v>69.408572506835355</v>
      </c>
      <c r="BG104" s="20">
        <f t="shared" si="61"/>
        <v>628.72324071607227</v>
      </c>
      <c r="BH104" s="59">
        <f t="shared" si="62"/>
        <v>922.05657404940553</v>
      </c>
      <c r="BI104" s="59">
        <f ca="1">AVERAGE(OFFSET($BH$3,0,0,'Données projet'!$E$11+1,1))-AVERAGE(OFFSET($H$3,0,0,'Données projet'!$E$11+1,1))</f>
        <v>490.06222615476065</v>
      </c>
      <c r="BJ104" s="59">
        <f t="shared" si="92"/>
        <v>310.43914804089906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21.594176630250256</v>
      </c>
      <c r="BQ104" s="21">
        <f>EXP(-LN(2)/25)*BQ103+(1-EXP(-LN(2)/25))/(LN(2)/25)*Calculateur!BL104*Calculateur!BN104*VLOOKUP('Données projet'!$B$11,Paramètres!$A$1:$I$89,3,0)*0.475*44/12</f>
        <v>19.879930587563248</v>
      </c>
      <c r="BR104" s="21">
        <f>EXP(-LN(2)/2)*BR103+(1-EXP(-LN(2)/2))/(LN(2)/2)*BL104*BO104*VLOOKUP('Données projet'!$B$11,Paramètres!$A$1:$I$89,3,0)*0.475*44/12</f>
        <v>0.24114725106957574</v>
      </c>
      <c r="BS104" s="22">
        <f t="shared" si="63"/>
        <v>41.715254468883082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242.80266399999985</v>
      </c>
      <c r="CA104" s="13">
        <f t="shared" si="93"/>
        <v>59.04212923358233</v>
      </c>
      <c r="CB104" s="20">
        <f t="shared" si="64"/>
        <v>525.71301488182235</v>
      </c>
      <c r="CC104" s="59">
        <f t="shared" si="65"/>
        <v>819.0463482151556</v>
      </c>
      <c r="CD104" s="59">
        <f ca="1">AVERAGE(OFFSET($CC$3,0,0,'Données projet'!$E$12+1,1))-AVERAGE(OFFSET($H$3,0,0,'Données projet'!$E$12+1,1))</f>
        <v>510.71380643466227</v>
      </c>
      <c r="CE104" s="59">
        <f t="shared" si="94"/>
        <v>252.40654099948841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7.5129670298408495</v>
      </c>
      <c r="CL104" s="21">
        <f>EXP(-LN(2)/25)*CL103+(1-EXP(-LN(2)/25))/(LN(2)/25)*Calculateur!CG104*Calculateur!CI104*VLOOKUP('Données projet'!$B$12,Paramètres!$A$1:$I$89,3,0)*0.475*44/12</f>
        <v>13.591839648420338</v>
      </c>
      <c r="CM104" s="21">
        <f>EXP(-LN(2)/2)*CM103+(1-EXP(-LN(2)/2))/(LN(2)/2)*CG104*CJ104*VLOOKUP('Données projet'!$B$12,Paramètres!$A$1:$I$89,3,0)*0.475*44/12</f>
        <v>1.2528259800281778</v>
      </c>
      <c r="CN104" s="22">
        <f t="shared" si="66"/>
        <v>22.357632658289365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8.9989999999999952</v>
      </c>
      <c r="CT104" s="12">
        <f>IF('Données projet'!$A$140&gt;35,CT103+CS104-DB103,IF(A104&lt;'Données projet'!$A$140,$CQ$205^A104,IF(A104='Données projet'!$A$140,'Données projet'!$B$140,CT103+CS104-DB103)))</f>
        <v>353.40200000000004</v>
      </c>
      <c r="CU104" s="17">
        <f>CT104*VLOOKUP('Données projet'!$B$13,Paramètres!$A$1:$I$89,3,0)*VLOOKUP('Données projet'!$B$13,Paramètres!$A$1:$I$89,5,0)</f>
        <v>380.40191280000005</v>
      </c>
      <c r="CV104" s="13">
        <f t="shared" si="95"/>
        <v>87.791912009612105</v>
      </c>
      <c r="CW104" s="20">
        <f t="shared" si="67"/>
        <v>815.43757821007432</v>
      </c>
      <c r="CX104" s="59">
        <f t="shared" si="68"/>
        <v>1108.7709115434077</v>
      </c>
      <c r="CY104" s="59">
        <f ca="1">AVERAGE(OFFSET($CX$3,0,0,'Données projet'!$E$13+1,1))-AVERAGE(OFFSET($H$3,0,0,'Données projet'!$E$13+1,1))</f>
        <v>502.65044103360322</v>
      </c>
      <c r="CZ104" s="59">
        <f t="shared" si="96"/>
        <v>321.65762891855167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35.812087825647012</v>
      </c>
      <c r="DG104" s="21">
        <f>EXP(-LN(2)/25)*DG103+(1-EXP(-LN(2)/25))/(LN(2)/25)*Calculateur!DB104*Calculateur!DD104*VLOOKUP('Données projet'!$B$13,Paramètres!$A$1:$I$89,3,0)*0.475*44/12</f>
        <v>23.62723329391142</v>
      </c>
      <c r="DH104" s="21">
        <f>EXP(-LN(2)/2)*DH103+(1-EXP(-LN(2)/2))/(LN(2)/2)*DB104*DE104*VLOOKUP('Données projet'!$B$13,Paramètres!$A$1:$I$89,3,0)*0.475*44/12</f>
        <v>1.0488887463512045E-2</v>
      </c>
      <c r="DI104" s="22">
        <f t="shared" si="69"/>
        <v>59.449810007021938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-25.899999999999977</v>
      </c>
      <c r="DP104" s="17">
        <f>DO104*VLOOKUP('Données projet'!$B$14,Paramètres!$A$1:$I$89,3,0)*VLOOKUP('Données projet'!$B$14,Paramètres!$A$1:$I$89,5,0)</f>
        <v>-13.171703999999989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63.94726564348116</v>
      </c>
      <c r="DU104" s="59">
        <f t="shared" si="98"/>
        <v>280.8165028422905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12.505280423006772</v>
      </c>
      <c r="EB104" s="21">
        <f>EXP(-LN(2)/25)*EB103+(1-EXP(-LN(2)/25))/(LN(2)/25)*Calculateur!DW104*Calculateur!DY104*VLOOKUP('Données projet'!$B$14,Paramètres!$A$1:$I$89,3,0)*0.475*44/12</f>
        <v>0.90751309024975757</v>
      </c>
      <c r="EC104" s="21">
        <f>EXP(-LN(2)/2)*EC103+(1-EXP(-LN(2)/2))/(LN(2)/2)*DW104*DZ104*VLOOKUP('Données projet'!$B$14,Paramètres!$A$1:$I$89,3,0)*0.475*44/12</f>
        <v>1.9996623654313449E-12</v>
      </c>
      <c r="ED104" s="22">
        <f t="shared" si="72"/>
        <v>13.41279351325853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2.4866666666666695</v>
      </c>
      <c r="N105" s="13">
        <f>IF('Données projet'!$A$36&gt;35,N104+M105-V104,IF(A105&lt;'Données projet'!$A$36,$K$205^A105,IF(A105='Données projet'!$A$36,'Données projet'!$B$36,N104+M105-V104)))</f>
        <v>158.17333333333272</v>
      </c>
      <c r="O105" s="13">
        <f>N105*VLOOKUP('Données projet'!$B$9,Paramètres!$A$1:$I$89,3,0)*VLOOKUP('Données projet'!$B$9,Paramètres!$A$1:$I$89,5,0)</f>
        <v>90.475146666666319</v>
      </c>
      <c r="P105" s="13">
        <f t="shared" si="87"/>
        <v>24.679783787079636</v>
      </c>
      <c r="Q105" s="20">
        <f t="shared" si="107"/>
        <v>200.56150387360753</v>
      </c>
      <c r="R105" s="59">
        <f t="shared" si="55"/>
        <v>493.89483720694085</v>
      </c>
      <c r="S105" s="59">
        <f ca="1">AVERAGE(OFFSET($R$3,0,0,'Données projet'!$E$9+1,1))-AVERAGE(OFFSET($H$3,0,0,'Données projet'!$E$9+1,1))</f>
        <v>294.9631697747962</v>
      </c>
      <c r="T105" s="59">
        <f t="shared" si="88"/>
        <v>202.04924881627716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73.719256724052642</v>
      </c>
      <c r="AA105" s="21">
        <f>EXP(-LN(2)/25)*AA104+(1-EXP(-LN(2)/25))/(LN(2)/25)*Calculateur!V105*Calculateur!X105*VLOOKUP('Données projet'!$B$9,Paramètres!$A$1:$I$89,3,0)*0.475*44/12</f>
        <v>23.518235453762415</v>
      </c>
      <c r="AB105" s="21">
        <f>EXP(-LN(2)/2)*AB104+(1-EXP(-LN(2)/2))/(LN(2)/2)*V105*Y105*VLOOKUP('Données projet'!$B$9,Paramètres!$A$1:$I$89,3,0)*0.475*44/12</f>
        <v>14.466771474969542</v>
      </c>
      <c r="AC105" s="22">
        <f t="shared" si="57"/>
        <v>111.7042636527846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349.71285006949597</v>
      </c>
      <c r="AO105" s="59">
        <f t="shared" si="90"/>
        <v>258.51550516456842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99.135941407702646</v>
      </c>
      <c r="AV105" s="21">
        <f>EXP(-LN(2)/25)*AV104+(1-EXP(-LN(2)/25))/(LN(2)/25)*Calculateur!AQ105*Calculateur!AS105*VLOOKUP('Données projet'!$B$10,Paramètres!$A$1:$I$89,3,0)*0.475*44/12</f>
        <v>28.116206918860343</v>
      </c>
      <c r="AW105" s="21">
        <f>EXP(-LN(2)/2)*AW104+(1-EXP(-LN(2)/2))/(LN(2)/2)*AQ105*AT105*VLOOKUP('Données projet'!$B$10,Paramètres!$A$1:$I$89,3,0)*0.475*44/12</f>
        <v>3.4529610742777689E-2</v>
      </c>
      <c r="AX105" s="21">
        <f t="shared" si="60"/>
        <v>127.28667793730577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7.7249999999999996</v>
      </c>
      <c r="BD105" s="12">
        <f>IF('Données projet'!$A$88&gt;35,BD104+BC105-BL104,IF(A105&lt;'Données projet'!$A$88,$BA$205^A105,IF(A105='Données projet'!$A$88,'Données projet'!$B$88,BD104+BC105-BL104)))</f>
        <v>329.98500000000047</v>
      </c>
      <c r="BE105" s="13">
        <f>BD105*VLOOKUP('Données projet'!$B$11,Paramètres!$A$1:$I$89,3,0)*VLOOKUP('Données projet'!$B$11,Paramètres!$A$1:$I$89,5,0)</f>
        <v>298.57042800000039</v>
      </c>
      <c r="BF105" s="13">
        <f t="shared" si="91"/>
        <v>70.876687010255509</v>
      </c>
      <c r="BG105" s="20">
        <f t="shared" si="61"/>
        <v>643.45372530952898</v>
      </c>
      <c r="BH105" s="59">
        <f t="shared" si="62"/>
        <v>936.78705864286235</v>
      </c>
      <c r="BI105" s="59">
        <f ca="1">AVERAGE(OFFSET($BH$3,0,0,'Données projet'!$E$11+1,1))-AVERAGE(OFFSET($H$3,0,0,'Données projet'!$E$11+1,1))</f>
        <v>490.06222615476065</v>
      </c>
      <c r="BJ105" s="59">
        <f t="shared" si="92"/>
        <v>310.43914804089906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21.170727997678252</v>
      </c>
      <c r="BQ105" s="21">
        <f>EXP(-LN(2)/25)*BQ104+(1-EXP(-LN(2)/25))/(LN(2)/25)*Calculateur!BL105*Calculateur!BN105*VLOOKUP('Données projet'!$B$11,Paramètres!$A$1:$I$89,3,0)*0.475*44/12</f>
        <v>19.336312840206219</v>
      </c>
      <c r="BR105" s="21">
        <f>EXP(-LN(2)/2)*BR104+(1-EXP(-LN(2)/2))/(LN(2)/2)*BL105*BO105*VLOOKUP('Données projet'!$B$11,Paramètres!$A$1:$I$89,3,0)*0.475*44/12</f>
        <v>0.17051685649579196</v>
      </c>
      <c r="BS105" s="22">
        <f t="shared" si="63"/>
        <v>40.677557694380269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249.35813066666651</v>
      </c>
      <c r="CA105" s="13">
        <f t="shared" si="93"/>
        <v>60.44847363724665</v>
      </c>
      <c r="CB105" s="20">
        <f t="shared" si="64"/>
        <v>539.57983582931536</v>
      </c>
      <c r="CC105" s="59">
        <f t="shared" si="65"/>
        <v>832.91316916264873</v>
      </c>
      <c r="CD105" s="59">
        <f ca="1">AVERAGE(OFFSET($CC$3,0,0,'Données projet'!$E$12+1,1))-AVERAGE(OFFSET($H$3,0,0,'Données projet'!$E$12+1,1))</f>
        <v>510.71380643466227</v>
      </c>
      <c r="CE105" s="59">
        <f t="shared" si="94"/>
        <v>252.40654099948841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7.3656423288430783</v>
      </c>
      <c r="CL105" s="21">
        <f>EXP(-LN(2)/25)*CL104+(1-EXP(-LN(2)/25))/(LN(2)/25)*Calculateur!CG105*Calculateur!CI105*VLOOKUP('Données projet'!$B$12,Paramètres!$A$1:$I$89,3,0)*0.475*44/12</f>
        <v>13.220170078470501</v>
      </c>
      <c r="CM105" s="21">
        <f>EXP(-LN(2)/2)*CM104+(1-EXP(-LN(2)/2))/(LN(2)/2)*CG105*CJ105*VLOOKUP('Données projet'!$B$12,Paramètres!$A$1:$I$89,3,0)*0.475*44/12</f>
        <v>0.88588174612460668</v>
      </c>
      <c r="CN105" s="22">
        <f t="shared" si="66"/>
        <v>21.471694153438186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8.9989999999999952</v>
      </c>
      <c r="CT105" s="12">
        <f>IF('Données projet'!$A$140&gt;35,CT104+CS105-DB104,IF(A105&lt;'Données projet'!$A$140,$CQ$205^A105,IF(A105='Données projet'!$A$140,'Données projet'!$B$140,CT104+CS105-DB104)))</f>
        <v>362.40100000000007</v>
      </c>
      <c r="CU105" s="17">
        <f>CT105*VLOOKUP('Données projet'!$B$13,Paramètres!$A$1:$I$89,3,0)*VLOOKUP('Données projet'!$B$13,Paramètres!$A$1:$I$89,5,0)</f>
        <v>390.08843640000003</v>
      </c>
      <c r="CV105" s="13">
        <f t="shared" si="95"/>
        <v>89.764322886212696</v>
      </c>
      <c r="CW105" s="20">
        <f t="shared" si="67"/>
        <v>835.74355575682057</v>
      </c>
      <c r="CX105" s="59">
        <f t="shared" si="68"/>
        <v>1129.0768890901538</v>
      </c>
      <c r="CY105" s="59">
        <f ca="1">AVERAGE(OFFSET($CX$3,0,0,'Données projet'!$E$13+1,1))-AVERAGE(OFFSET($H$3,0,0,'Données projet'!$E$13+1,1))</f>
        <v>502.65044103360322</v>
      </c>
      <c r="CZ105" s="59">
        <f t="shared" si="96"/>
        <v>321.65762891855167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35.109834626602812</v>
      </c>
      <c r="DG105" s="21">
        <f>EXP(-LN(2)/25)*DG104+(1-EXP(-LN(2)/25))/(LN(2)/25)*Calculateur!DB105*Calculateur!DD105*VLOOKUP('Données projet'!$B$13,Paramètres!$A$1:$I$89,3,0)*0.475*44/12</f>
        <v>22.981145356987213</v>
      </c>
      <c r="DH105" s="21">
        <f>EXP(-LN(2)/2)*DH104+(1-EXP(-LN(2)/2))/(LN(2)/2)*DB105*DE105*VLOOKUP('Données projet'!$B$13,Paramètres!$A$1:$I$89,3,0)*0.475*44/12</f>
        <v>7.4167634525519341E-3</v>
      </c>
      <c r="DI105" s="22">
        <f t="shared" si="69"/>
        <v>58.098396747042578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-25.899999999999977</v>
      </c>
      <c r="DP105" s="17">
        <f>DO105*VLOOKUP('Données projet'!$B$14,Paramètres!$A$1:$I$89,3,0)*VLOOKUP('Données projet'!$B$14,Paramètres!$A$1:$I$89,5,0)</f>
        <v>-13.171703999999989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63.94726564348116</v>
      </c>
      <c r="DU105" s="59">
        <f t="shared" si="98"/>
        <v>280.8165028422905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12.260059501379517</v>
      </c>
      <c r="EB105" s="21">
        <f>EXP(-LN(2)/25)*EB104+(1-EXP(-LN(2)/25))/(LN(2)/25)*Calculateur!DW105*Calculateur!DY105*VLOOKUP('Données projet'!$B$14,Paramètres!$A$1:$I$89,3,0)*0.475*44/12</f>
        <v>0.88269709707283872</v>
      </c>
      <c r="EC105" s="21">
        <f>EXP(-LN(2)/2)*EC104+(1-EXP(-LN(2)/2))/(LN(2)/2)*DW105*DZ105*VLOOKUP('Données projet'!$B$14,Paramètres!$A$1:$I$89,3,0)*0.475*44/12</f>
        <v>1.413974818680036E-12</v>
      </c>
      <c r="ED105" s="22">
        <f t="shared" si="72"/>
        <v>13.14275659845377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160.66</v>
      </c>
      <c r="L106" s="12">
        <f>VLOOKUP(A106,'Données projet'!$A$35:$I$55,9,0)</f>
        <v>2.4866666666666695</v>
      </c>
      <c r="M106" s="12">
        <f t="array" ref="M106">INDEX(L:L,MIN(IF(ISNUMBER(L106:L302),ROW(L106:L302),"")))</f>
        <v>2.4866666666666695</v>
      </c>
      <c r="N106" s="13">
        <f>IF('Données projet'!$A$36&gt;35,N105+M106-V105,IF(A106&lt;'Données projet'!$A$36,$K$205^A106,IF(A106='Données projet'!$A$36,'Données projet'!$B$36,N105+M106-V105)))</f>
        <v>160.6599999999994</v>
      </c>
      <c r="O106" s="13">
        <f>N106*VLOOKUP('Données projet'!$B$9,Paramètres!$A$1:$I$89,3,0)*VLOOKUP('Données projet'!$B$9,Paramètres!$A$1:$I$89,5,0)</f>
        <v>91.897519999999673</v>
      </c>
      <c r="P106" s="13">
        <f t="shared" si="87"/>
        <v>25.022303934727486</v>
      </c>
      <c r="Q106" s="20">
        <f t="shared" si="107"/>
        <v>203.63536001964982</v>
      </c>
      <c r="R106" s="59">
        <f t="shared" si="55"/>
        <v>496.96869335298311</v>
      </c>
      <c r="S106" s="59">
        <f ca="1">AVERAGE(OFFSET($R$3,0,0,'Données projet'!$E$9+1,1))-AVERAGE(OFFSET($H$3,0,0,'Données projet'!$E$9+1,1))</f>
        <v>294.9631697747962</v>
      </c>
      <c r="T106" s="59">
        <f t="shared" si="88"/>
        <v>202.04924881627716</v>
      </c>
      <c r="U106" s="15">
        <f>IF(ISNA(VLOOKUP(A106,'Données projet'!$A$35:$I$55,3,0)),0,VLOOKUP(A106,'Données projet'!$A$35:$I$55,3,0))</f>
        <v>11</v>
      </c>
      <c r="V106" s="15">
        <f>IF(ISNA(VLOOKUP(A106,'Données projet'!$A$35:$I$55,4,0)),0,VLOOKUP(A106,'Données projet'!$A$35:$I$55,4,0))</f>
        <v>160.66</v>
      </c>
      <c r="W106" s="16">
        <f>IF(ISNA(VLOOKUP(A106,'Données projet'!$A$35:$I$55,5,0)),0%,VLOOKUP(A106,'Données projet'!$A$35:$I$55,5,0)*VLOOKUP('Données projet'!$B$9,Paramètres!$A$1:$I$89,7,0))</f>
        <v>0.27</v>
      </c>
      <c r="X106" s="16">
        <f>IF(ISNA(VLOOKUP(A106,'Données projet'!$A$35:$I$55,6,0)),0%,VLOOKUP(A106,'Données projet'!$A$35:$I$55,6,0)*VLOOKUP('Données projet'!$B$9,Paramètres!$A$1:$I$89,7,0))</f>
        <v>9.0000000000000011E-2</v>
      </c>
      <c r="Y106" s="16">
        <f>IF(ISNA(VLOOKUP(A106,'Données projet'!$A$35:$I$55,7,0)),0%,VLOOKUP(A106,'Données projet'!$A$35:$I$55,7,0))</f>
        <v>0.2</v>
      </c>
      <c r="Z106" s="21">
        <f>EXP(-LN(2)/35)*Z105+(1-EXP(-LN(2)/35))/(LN(2)/35)*V106*W106*VLOOKUP('Données projet'!$B$9,Paramètres!$A$1:$I$89,3,0)*0.475*44/12</f>
        <v>105.18882262926267</v>
      </c>
      <c r="AA106" s="21">
        <f>EXP(-LN(2)/25)*AA105+(1-EXP(-LN(2)/25))/(LN(2)/25)*Calculateur!V106*Calculateur!X106*VLOOKUP('Données projet'!$B$9,Paramètres!$A$1:$I$89,3,0)*0.475*44/12</f>
        <v>33.803646753890362</v>
      </c>
      <c r="AB106" s="21">
        <f>EXP(-LN(2)/2)*AB105+(1-EXP(-LN(2)/2))/(LN(2)/2)*V106*Y106*VLOOKUP('Données projet'!$B$9,Paramètres!$A$1:$I$89,3,0)*0.475*44/12</f>
        <v>31.039420253143948</v>
      </c>
      <c r="AC106" s="22">
        <f t="shared" si="57"/>
        <v>170.031889636297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349.71285006949597</v>
      </c>
      <c r="AO106" s="59">
        <f t="shared" si="90"/>
        <v>258.51550516456842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97.191946063651244</v>
      </c>
      <c r="AV106" s="21">
        <f>EXP(-LN(2)/25)*AV105+(1-EXP(-LN(2)/25))/(LN(2)/25)*Calculateur!AQ106*Calculateur!AS106*VLOOKUP('Données projet'!$B$10,Paramètres!$A$1:$I$89,3,0)*0.475*44/12</f>
        <v>27.347367762097043</v>
      </c>
      <c r="AW106" s="21">
        <f>EXP(-LN(2)/2)*AW105+(1-EXP(-LN(2)/2))/(LN(2)/2)*AQ106*AT106*VLOOKUP('Données projet'!$B$10,Paramètres!$A$1:$I$89,3,0)*0.475*44/12</f>
        <v>2.4416121907949964E-2</v>
      </c>
      <c r="AX106" s="21">
        <f t="shared" si="60"/>
        <v>124.56372994765623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7.7249999999999996</v>
      </c>
      <c r="BC106" s="12">
        <f t="array" ref="BC106">INDEX(BB:BB,MIN(IF(ISNUMBER(BB106:BB302),ROW(BB106:BB302),"")))</f>
        <v>7.7249999999999996</v>
      </c>
      <c r="BD106" s="12">
        <f>IF('Données projet'!$A$88&gt;35,BD105+BC106-BL105,IF(A106&lt;'Données projet'!$A$88,$BA$205^A106,IF(A106='Données projet'!$A$88,'Données projet'!$B$88,BD105+BC106-BL105)))</f>
        <v>337.71000000000049</v>
      </c>
      <c r="BE106" s="13">
        <f>BD106*VLOOKUP('Données projet'!$B$11,Paramètres!$A$1:$I$89,3,0)*VLOOKUP('Données projet'!$B$11,Paramètres!$A$1:$I$89,5,0)</f>
        <v>305.56000800000044</v>
      </c>
      <c r="BF106" s="13">
        <f t="shared" si="91"/>
        <v>72.340806046688371</v>
      </c>
      <c r="BG106" s="20">
        <f t="shared" si="61"/>
        <v>658.17725113131621</v>
      </c>
      <c r="BH106" s="59">
        <f t="shared" si="62"/>
        <v>951.51058446464958</v>
      </c>
      <c r="BI106" s="59">
        <f ca="1">AVERAGE(OFFSET($BH$3,0,0,'Données projet'!$E$11+1,1))-AVERAGE(OFFSET($H$3,0,0,'Données projet'!$E$11+1,1))</f>
        <v>490.06222615476065</v>
      </c>
      <c r="BJ106" s="59">
        <f t="shared" si="92"/>
        <v>310.43914804089906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56.789999999999964</v>
      </c>
      <c r="BM106" s="16">
        <f>IF(ISNA(VLOOKUP(A106,'Données projet'!$A$87:$I$107,5,0)),0%,VLOOKUP(A106,'Données projet'!$A$87:$I$107,5,0)*VLOOKUP('Données projet'!$B$11,Paramètres!$A$1:$I$89,7,0))</f>
        <v>0.15049999999999999</v>
      </c>
      <c r="BN106" s="16">
        <f>IF(ISNA(VLOOKUP(A106,'Données projet'!$A$87:$I$107,6,0)),0%,VLOOKUP(A106,'Données projet'!$A$87:$I$107,6,0)*VLOOKUP('Données projet'!$B$11,Paramètres!$A$1:$I$89,7,0))</f>
        <v>8.6000000000000007E-2</v>
      </c>
      <c r="BO106" s="16">
        <f>IF(ISNA(VLOOKUP(A106,'Données projet'!$A$87:$I$107,7,0)),0%,VLOOKUP(A106,'Données projet'!$A$87:$I$107,7,0))</f>
        <v>0.1</v>
      </c>
      <c r="BP106" s="21">
        <f>EXP(-LN(2)/35)*BP105+(1-EXP(-LN(2)/35))/(LN(2)/35)*BL106*BM106*VLOOKUP('Données projet'!$B$11,Paramètres!$A$1:$I$89,3,0)*0.475*44/12</f>
        <v>29.304440296488757</v>
      </c>
      <c r="BQ106" s="21">
        <f>EXP(-LN(2)/25)*BQ105+(1-EXP(-LN(2)/25))/(LN(2)/25)*Calculateur!BL106*Calculateur!BN106*VLOOKUP('Données projet'!$B$11,Paramètres!$A$1:$I$89,3,0)*0.475*44/12</f>
        <v>23.673387350550744</v>
      </c>
      <c r="BR106" s="21">
        <f>EXP(-LN(2)/2)*BR105+(1-EXP(-LN(2)/2))/(LN(2)/2)*BL106*BO106*VLOOKUP('Données projet'!$B$11,Paramètres!$A$1:$I$89,3,0)*0.475*44/12</f>
        <v>4.9687538276449956</v>
      </c>
      <c r="BS106" s="22">
        <f t="shared" si="63"/>
        <v>57.9465814746845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255.91359733333317</v>
      </c>
      <c r="CA106" s="13">
        <f t="shared" si="93"/>
        <v>61.850520566504819</v>
      </c>
      <c r="CB106" s="20">
        <f t="shared" si="64"/>
        <v>553.43917200888438</v>
      </c>
      <c r="CC106" s="59">
        <f t="shared" si="65"/>
        <v>846.77250534221776</v>
      </c>
      <c r="CD106" s="59">
        <f ca="1">AVERAGE(OFFSET($CC$3,0,0,'Données projet'!$E$12+1,1))-AVERAGE(OFFSET($H$3,0,0,'Données projet'!$E$12+1,1))</f>
        <v>510.71380643466227</v>
      </c>
      <c r="CE106" s="59">
        <f t="shared" si="94"/>
        <v>252.40654099948841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7.2212065753726788</v>
      </c>
      <c r="CL106" s="21">
        <f>EXP(-LN(2)/25)*CL105+(1-EXP(-LN(2)/25))/(LN(2)/25)*Calculateur!CG106*Calculateur!CI106*VLOOKUP('Données projet'!$B$12,Paramètres!$A$1:$I$89,3,0)*0.475*44/12</f>
        <v>12.858663832456196</v>
      </c>
      <c r="CM106" s="21">
        <f>EXP(-LN(2)/2)*CM105+(1-EXP(-LN(2)/2))/(LN(2)/2)*CG106*CJ106*VLOOKUP('Données projet'!$B$12,Paramètres!$A$1:$I$89,3,0)*0.475*44/12</f>
        <v>0.6264129900140889</v>
      </c>
      <c r="CN106" s="22">
        <f t="shared" si="66"/>
        <v>20.706283397842963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371.4</v>
      </c>
      <c r="CR106" s="12">
        <f>VLOOKUP(A106,'Données projet'!$A$139:$I$159,9,0)</f>
        <v>8.9989999999999952</v>
      </c>
      <c r="CS106" s="12">
        <f t="array" ref="CS106">INDEX(CR:CR,MIN(IF(ISNUMBER(CR106:CR302),ROW(CR106:CR302),"")))</f>
        <v>8.9989999999999952</v>
      </c>
      <c r="CT106" s="12">
        <f>IF('Données projet'!$A$140&gt;35,CT105+CS106-DB105,IF(A106&lt;'Données projet'!$A$140,$CQ$205^A106,IF(A106='Données projet'!$A$140,'Données projet'!$B$140,CT105+CS106-DB105)))</f>
        <v>371.40000000000009</v>
      </c>
      <c r="CU106" s="17">
        <f>CT106*VLOOKUP('Données projet'!$B$13,Paramètres!$A$1:$I$89,3,0)*VLOOKUP('Données projet'!$B$13,Paramètres!$A$1:$I$89,5,0)</f>
        <v>399.77496000000002</v>
      </c>
      <c r="CV106" s="13">
        <f t="shared" si="95"/>
        <v>91.731040320653179</v>
      </c>
      <c r="CW106" s="20">
        <f t="shared" si="67"/>
        <v>856.03961722513759</v>
      </c>
      <c r="CX106" s="59">
        <f t="shared" si="68"/>
        <v>1149.3729505584708</v>
      </c>
      <c r="CY106" s="59">
        <f ca="1">AVERAGE(OFFSET($CX$3,0,0,'Données projet'!$E$13+1,1))-AVERAGE(OFFSET($H$3,0,0,'Données projet'!$E$13+1,1))</f>
        <v>502.65044103360322</v>
      </c>
      <c r="CZ106" s="59">
        <f t="shared" si="96"/>
        <v>321.65762891855167</v>
      </c>
      <c r="DA106" s="15">
        <f>IF(ISNA(VLOOKUP(A106,'Données projet'!$A$139:$I$159,3,0)),0,VLOOKUP(A106,'Données projet'!$A$139:$I$159,3,0))</f>
        <v>9</v>
      </c>
      <c r="DB106" s="15">
        <f>IF(ISNA(VLOOKUP(A106,'Données projet'!$A$139:$I$159,4,0)),0,VLOOKUP(A106,'Données projet'!$A$139:$I$159,4,0))</f>
        <v>67.759999999999991</v>
      </c>
      <c r="DC106" s="16">
        <f>IF(ISNA(VLOOKUP(A106,'Données projet'!$A$139:$I$159,5,0)),0%,VLOOKUP(A106,'Données projet'!$A$139:$I$159,5,0)*VLOOKUP('Données projet'!$B$13,Paramètres!$A$1:$I$89,7,0))</f>
        <v>0.215</v>
      </c>
      <c r="DD106" s="16">
        <f>IF(ISNA(VLOOKUP(A106,'Données projet'!$A$139:$I$159,6,0)),0%,VLOOKUP(A106,'Données projet'!$A$139:$I$159,6,0)*VLOOKUP('Données projet'!$B$13,Paramètres!$A$1:$I$89,7,0))</f>
        <v>8.6000000000000007E-2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51.75670387098468</v>
      </c>
      <c r="DG106" s="21">
        <f>EXP(-LN(2)/25)*DG105+(1-EXP(-LN(2)/25))/(LN(2)/25)*Calculateur!DB106*Calculateur!DD106*VLOOKUP('Données projet'!$B$13,Paramètres!$A$1:$I$89,3,0)*0.475*44/12</f>
        <v>29.259563049333803</v>
      </c>
      <c r="DH106" s="21">
        <f>EXP(-LN(2)/2)*DH105+(1-EXP(-LN(2)/2))/(LN(2)/2)*DB106*DE106*VLOOKUP('Données projet'!$B$13,Paramètres!$A$1:$I$89,3,0)*0.475*44/12</f>
        <v>5.2444437317560235E-3</v>
      </c>
      <c r="DI106" s="22">
        <f t="shared" si="69"/>
        <v>81.021511364050241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-25.899999999999977</v>
      </c>
      <c r="DP106" s="17">
        <f>DO106*VLOOKUP('Données projet'!$B$14,Paramètres!$A$1:$I$89,3,0)*VLOOKUP('Données projet'!$B$14,Paramètres!$A$1:$I$89,5,0)</f>
        <v>-13.171703999999989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63.94726564348116</v>
      </c>
      <c r="DU106" s="59">
        <f t="shared" si="98"/>
        <v>280.8165028422905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12.01964721245538</v>
      </c>
      <c r="EB106" s="21">
        <f>EXP(-LN(2)/25)*EB105+(1-EXP(-LN(2)/25))/(LN(2)/25)*Calculateur!DW106*Calculateur!DY106*VLOOKUP('Données projet'!$B$14,Paramètres!$A$1:$I$89,3,0)*0.475*44/12</f>
        <v>0.85855969853435909</v>
      </c>
      <c r="EC106" s="21">
        <f>EXP(-LN(2)/2)*EC105+(1-EXP(-LN(2)/2))/(LN(2)/2)*DW106*DZ106*VLOOKUP('Données projet'!$B$14,Paramètres!$A$1:$I$89,3,0)*0.475*44/12</f>
        <v>9.9983118271567243E-13</v>
      </c>
      <c r="ED106" s="22">
        <f t="shared" si="72"/>
        <v>12.878206910990739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-5.9685589803848416E-13</v>
      </c>
      <c r="O107" s="13">
        <f>N107*VLOOKUP('Données projet'!$B$9,Paramètres!$A$1:$I$89,3,0)*VLOOKUP('Données projet'!$B$9,Paramètres!$A$1:$I$89,5,0)</f>
        <v>-3.4140157367801295E-13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294.9631697747962</v>
      </c>
      <c r="T107" s="59">
        <f t="shared" si="88"/>
        <v>202.04924881627716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103.12613397634948</v>
      </c>
      <c r="AA107" s="21">
        <f>EXP(-LN(2)/25)*AA106+(1-EXP(-LN(2)/25))/(LN(2)/25)*Calculateur!V107*Calculateur!X107*VLOOKUP('Données projet'!$B$9,Paramètres!$A$1:$I$89,3,0)*0.475*44/12</f>
        <v>32.879284255748708</v>
      </c>
      <c r="AB107" s="21">
        <f>EXP(-LN(2)/2)*AB106+(1-EXP(-LN(2)/2))/(LN(2)/2)*V107*Y107*VLOOKUP('Données projet'!$B$9,Paramètres!$A$1:$I$89,3,0)*0.475*44/12</f>
        <v>21.948184545097153</v>
      </c>
      <c r="AC107" s="22">
        <f t="shared" si="57"/>
        <v>157.95360277719533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349.71285006949597</v>
      </c>
      <c r="AO107" s="59">
        <f t="shared" si="90"/>
        <v>258.51550516456842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95.2860712825766</v>
      </c>
      <c r="AV107" s="21">
        <f>EXP(-LN(2)/25)*AV106+(1-EXP(-LN(2)/25))/(LN(2)/25)*Calculateur!AQ107*Calculateur!AS107*VLOOKUP('Données projet'!$B$10,Paramètres!$A$1:$I$89,3,0)*0.475*44/12</f>
        <v>26.599552552506932</v>
      </c>
      <c r="AW107" s="21">
        <f>EXP(-LN(2)/2)*AW106+(1-EXP(-LN(2)/2))/(LN(2)/2)*AQ107*AT107*VLOOKUP('Données projet'!$B$10,Paramètres!$A$1:$I$89,3,0)*0.475*44/12</f>
        <v>1.7264805371388844E-2</v>
      </c>
      <c r="AX107" s="21">
        <f t="shared" si="60"/>
        <v>121.90288864045492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7.5129999999999999</v>
      </c>
      <c r="BD107" s="12">
        <f>IF('Données projet'!$A$88&gt;35,BD106+BC107-BL106,IF(A107&lt;'Données projet'!$A$88,$BA$205^A107,IF(A107='Données projet'!$A$88,'Données projet'!$B$88,BD106+BC107-BL106)))</f>
        <v>288.4330000000005</v>
      </c>
      <c r="BE107" s="13">
        <f>BD107*VLOOKUP('Données projet'!$B$11,Paramètres!$A$1:$I$89,3,0)*VLOOKUP('Données projet'!$B$11,Paramètres!$A$1:$I$89,5,0)</f>
        <v>260.97417840000043</v>
      </c>
      <c r="BF107" s="13">
        <f t="shared" si="91"/>
        <v>62.929988204000416</v>
      </c>
      <c r="BG107" s="20">
        <f t="shared" si="61"/>
        <v>564.13309016863479</v>
      </c>
      <c r="BH107" s="59">
        <f t="shared" si="62"/>
        <v>857.46642350196817</v>
      </c>
      <c r="BI107" s="59">
        <f ca="1">AVERAGE(OFFSET($BH$3,0,0,'Données projet'!$E$11+1,1))-AVERAGE(OFFSET($H$3,0,0,'Données projet'!$E$11+1,1))</f>
        <v>490.06222615476065</v>
      </c>
      <c r="BJ107" s="59">
        <f t="shared" si="92"/>
        <v>310.43914804089906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28.729798096218289</v>
      </c>
      <c r="BQ107" s="21">
        <f>EXP(-LN(2)/25)*BQ106+(1-EXP(-LN(2)/25))/(LN(2)/25)*Calculateur!BL107*Calculateur!BN107*VLOOKUP('Données projet'!$B$11,Paramètres!$A$1:$I$89,3,0)*0.475*44/12</f>
        <v>23.026037328520598</v>
      </c>
      <c r="BR107" s="21">
        <f>EXP(-LN(2)/2)*BR106+(1-EXP(-LN(2)/2))/(LN(2)/2)*BL107*BO107*VLOOKUP('Données projet'!$B$11,Paramètres!$A$1:$I$89,3,0)*0.475*44/12</f>
        <v>3.5134395255743907</v>
      </c>
      <c r="BS107" s="22">
        <f t="shared" si="63"/>
        <v>55.269274950313282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262.46906399999983</v>
      </c>
      <c r="CA107" s="13">
        <f t="shared" si="93"/>
        <v>63.248392763074122</v>
      </c>
      <c r="CB107" s="20">
        <f t="shared" si="64"/>
        <v>567.29123719568713</v>
      </c>
      <c r="CC107" s="59">
        <f t="shared" si="65"/>
        <v>860.6245705290205</v>
      </c>
      <c r="CD107" s="59">
        <f ca="1">AVERAGE(OFFSET($CC$3,0,0,'Données projet'!$E$12+1,1))-AVERAGE(OFFSET($H$3,0,0,'Données projet'!$E$12+1,1))</f>
        <v>510.71380643466227</v>
      </c>
      <c r="CE107" s="59">
        <f t="shared" si="94"/>
        <v>252.40654099948841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0.1075</v>
      </c>
      <c r="CI107" s="16">
        <f>IF(ISNA(VLOOKUP(A107,'Données projet'!$A$113:$I$133,6,0)),0%,VLOOKUP(A107,'Données projet'!$A$113:$I$133,6,0)*VLOOKUP('Données projet'!$B$12,Paramètres!$A$1:$I$89,7,0))</f>
        <v>0.1075</v>
      </c>
      <c r="CJ107" s="16">
        <f>IF(ISNA(VLOOKUP(A107,'Données projet'!$A$113:$I$133,7,0)),0%,VLOOKUP(A107,'Données projet'!$A$113:$I$133,7,0))</f>
        <v>0.25</v>
      </c>
      <c r="CK107" s="21">
        <f>EXP(-LN(2)/35)*CK106+(1-EXP(-LN(2)/35))/(LN(2)/35)*CG107*CH107*VLOOKUP('Données projet'!$B$12,Paramètres!$A$1:$I$89,3,0)*0.475*44/12</f>
        <v>11.608246102248147</v>
      </c>
      <c r="CL107" s="21">
        <f>EXP(-LN(2)/25)*CL106+(1-EXP(-LN(2)/25))/(LN(2)/25)*Calculateur!CG107*Calculateur!CI107*VLOOKUP('Données projet'!$B$12,Paramètres!$A$1:$I$89,3,0)*0.475*44/12</f>
        <v>17.017854984093784</v>
      </c>
      <c r="CM107" s="21">
        <f>EXP(-LN(2)/2)*CM106+(1-EXP(-LN(2)/2))/(LN(2)/2)*CG107*CJ107*VLOOKUP('Données projet'!$B$12,Paramètres!$A$1:$I$89,3,0)*0.475*44/12</f>
        <v>9.431846306354668</v>
      </c>
      <c r="CN107" s="22">
        <f t="shared" si="66"/>
        <v>38.057947392696605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8.7540000000000013</v>
      </c>
      <c r="CT107" s="12">
        <f>IF('Données projet'!$A$140&gt;35,CT106+CS107-DB106,IF(A107&lt;'Données projet'!$A$140,$CQ$205^A107,IF(A107='Données projet'!$A$140,'Données projet'!$B$140,CT106+CS107-DB106)))</f>
        <v>312.39400000000012</v>
      </c>
      <c r="CU107" s="17">
        <f>CT107*VLOOKUP('Données projet'!$B$13,Paramètres!$A$1:$I$89,3,0)*VLOOKUP('Données projet'!$B$13,Paramètres!$A$1:$I$89,5,0)</f>
        <v>336.26090160000012</v>
      </c>
      <c r="CV107" s="13">
        <f t="shared" si="95"/>
        <v>78.726928534467632</v>
      </c>
      <c r="CW107" s="20">
        <f t="shared" si="67"/>
        <v>722.77047081753142</v>
      </c>
      <c r="CX107" s="59">
        <f t="shared" si="68"/>
        <v>1016.1038041508648</v>
      </c>
      <c r="CY107" s="59">
        <f ca="1">AVERAGE(OFFSET($CX$3,0,0,'Données projet'!$E$13+1,1))-AVERAGE(OFFSET($H$3,0,0,'Données projet'!$E$13+1,1))</f>
        <v>502.65044103360322</v>
      </c>
      <c r="CZ107" s="59">
        <f t="shared" si="96"/>
        <v>321.65762891855167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50.741786476546906</v>
      </c>
      <c r="DG107" s="21">
        <f>EXP(-LN(2)/25)*DG106+(1-EXP(-LN(2)/25))/(LN(2)/25)*Calculateur!DB107*Calculateur!DD107*VLOOKUP('Données projet'!$B$13,Paramètres!$A$1:$I$89,3,0)*0.475*44/12</f>
        <v>28.459458759056222</v>
      </c>
      <c r="DH107" s="21">
        <f>EXP(-LN(2)/2)*DH106+(1-EXP(-LN(2)/2))/(LN(2)/2)*DB107*DE107*VLOOKUP('Données projet'!$B$13,Paramètres!$A$1:$I$89,3,0)*0.475*44/12</f>
        <v>3.7083817262759675E-3</v>
      </c>
      <c r="DI107" s="22">
        <f t="shared" si="69"/>
        <v>79.204953617329394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-25.899999999999977</v>
      </c>
      <c r="DP107" s="17">
        <f>DO107*VLOOKUP('Données projet'!$B$14,Paramètres!$A$1:$I$89,3,0)*VLOOKUP('Données projet'!$B$14,Paramètres!$A$1:$I$89,5,0)</f>
        <v>-13.171703999999989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63.94726564348116</v>
      </c>
      <c r="DU107" s="59">
        <f t="shared" si="98"/>
        <v>280.8165028422905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11.783949261880029</v>
      </c>
      <c r="EB107" s="21">
        <f>EXP(-LN(2)/25)*EB106+(1-EXP(-LN(2)/25))/(LN(2)/25)*Calculateur!DW107*Calculateur!DY107*VLOOKUP('Données projet'!$B$14,Paramètres!$A$1:$I$89,3,0)*0.475*44/12</f>
        <v>0.83508233842824475</v>
      </c>
      <c r="EC107" s="21">
        <f>EXP(-LN(2)/2)*EC106+(1-EXP(-LN(2)/2))/(LN(2)/2)*DW107*DZ107*VLOOKUP('Données projet'!$B$14,Paramètres!$A$1:$I$89,3,0)*0.475*44/12</f>
        <v>7.0698740934001801E-13</v>
      </c>
      <c r="ED107" s="22">
        <f t="shared" si="72"/>
        <v>12.619031600308981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-5.9685589803848416E-13</v>
      </c>
      <c r="O108" s="13">
        <f>N108*VLOOKUP('Données projet'!$B$9,Paramètres!$A$1:$I$89,3,0)*VLOOKUP('Données projet'!$B$9,Paramètres!$A$1:$I$89,5,0)</f>
        <v>-3.4140157367801295E-13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294.9631697747962</v>
      </c>
      <c r="T108" s="59">
        <f t="shared" si="88"/>
        <v>202.04924881627716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101.10389338980406</v>
      </c>
      <c r="AA108" s="21">
        <f>EXP(-LN(2)/25)*AA107+(1-EXP(-LN(2)/25))/(LN(2)/25)*Calculateur!V108*Calculateur!X108*VLOOKUP('Données projet'!$B$9,Paramètres!$A$1:$I$89,3,0)*0.475*44/12</f>
        <v>31.980198498728846</v>
      </c>
      <c r="AB108" s="21">
        <f>EXP(-LN(2)/2)*AB107+(1-EXP(-LN(2)/2))/(LN(2)/2)*V108*Y108*VLOOKUP('Données projet'!$B$9,Paramètres!$A$1:$I$89,3,0)*0.475*44/12</f>
        <v>15.519710126571978</v>
      </c>
      <c r="AC108" s="22">
        <f t="shared" si="57"/>
        <v>148.60380201510486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349.71285006949597</v>
      </c>
      <c r="AO108" s="59">
        <f t="shared" si="90"/>
        <v>258.51550516456842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93.417569543490004</v>
      </c>
      <c r="AV108" s="21">
        <f>EXP(-LN(2)/25)*AV107+(1-EXP(-LN(2)/25))/(LN(2)/25)*Calculateur!AQ108*Calculateur!AS108*VLOOKUP('Données projet'!$B$10,Paramètres!$A$1:$I$89,3,0)*0.475*44/12</f>
        <v>25.872186389148954</v>
      </c>
      <c r="AW108" s="21">
        <f>EXP(-LN(2)/2)*AW107+(1-EXP(-LN(2)/2))/(LN(2)/2)*AQ108*AT108*VLOOKUP('Données projet'!$B$10,Paramètres!$A$1:$I$89,3,0)*0.475*44/12</f>
        <v>1.2208060953974982E-2</v>
      </c>
      <c r="AX108" s="21">
        <f t="shared" si="60"/>
        <v>119.30196399359293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7.5129999999999999</v>
      </c>
      <c r="BD108" s="12">
        <f>IF('Données projet'!$A$88&gt;35,BD107+BC108-BL107,IF(A108&lt;'Données projet'!$A$88,$BA$205^A108,IF(A108='Données projet'!$A$88,'Données projet'!$B$88,BD107+BC108-BL107)))</f>
        <v>295.94600000000048</v>
      </c>
      <c r="BE108" s="13">
        <f>BD108*VLOOKUP('Données projet'!$B$11,Paramètres!$A$1:$I$89,3,0)*VLOOKUP('Données projet'!$B$11,Paramètres!$A$1:$I$89,5,0)</f>
        <v>267.77194080000044</v>
      </c>
      <c r="BF108" s="13">
        <f t="shared" si="91"/>
        <v>64.376191096600778</v>
      </c>
      <c r="BG108" s="20">
        <f t="shared" si="61"/>
        <v>578.49132971991378</v>
      </c>
      <c r="BH108" s="59">
        <f t="shared" si="62"/>
        <v>871.82466305324715</v>
      </c>
      <c r="BI108" s="59">
        <f ca="1">AVERAGE(OFFSET($BH$3,0,0,'Données projet'!$E$11+1,1))-AVERAGE(OFFSET($H$3,0,0,'Données projet'!$E$11+1,1))</f>
        <v>490.06222615476065</v>
      </c>
      <c r="BJ108" s="59">
        <f t="shared" si="92"/>
        <v>310.43914804089906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28.16642427899799</v>
      </c>
      <c r="BQ108" s="21">
        <f>EXP(-LN(2)/25)*BQ107+(1-EXP(-LN(2)/25))/(LN(2)/25)*Calculateur!BL108*Calculateur!BN108*VLOOKUP('Données projet'!$B$11,Paramètres!$A$1:$I$89,3,0)*0.475*44/12</f>
        <v>22.396389126885527</v>
      </c>
      <c r="BR108" s="21">
        <f>EXP(-LN(2)/2)*BR107+(1-EXP(-LN(2)/2))/(LN(2)/2)*BL108*BO108*VLOOKUP('Données projet'!$B$11,Paramètres!$A$1:$I$89,3,0)*0.475*44/12</f>
        <v>2.4843769138224983</v>
      </c>
      <c r="BS108" s="22">
        <f t="shared" si="63"/>
        <v>53.047190319706019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231.0167946666665</v>
      </c>
      <c r="CA108" s="13">
        <f t="shared" si="93"/>
        <v>56.50247983642894</v>
      </c>
      <c r="CB108" s="20">
        <f t="shared" si="64"/>
        <v>500.76273642622454</v>
      </c>
      <c r="CC108" s="59">
        <f t="shared" si="65"/>
        <v>794.09606975955785</v>
      </c>
      <c r="CD108" s="59">
        <f ca="1">AVERAGE(OFFSET($CC$3,0,0,'Données projet'!$E$12+1,1))-AVERAGE(OFFSET($H$3,0,0,'Données projet'!$E$12+1,1))</f>
        <v>510.71380643466227</v>
      </c>
      <c r="CE108" s="59">
        <f t="shared" si="94"/>
        <v>252.40654099948841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11.380615476514059</v>
      </c>
      <c r="CL108" s="21">
        <f>EXP(-LN(2)/25)*CL107+(1-EXP(-LN(2)/25))/(LN(2)/25)*Calculateur!CG108*Calculateur!CI108*VLOOKUP('Données projet'!$B$12,Paramètres!$A$1:$I$89,3,0)*0.475*44/12</f>
        <v>16.552500844623641</v>
      </c>
      <c r="CM108" s="21">
        <f>EXP(-LN(2)/2)*CM107+(1-EXP(-LN(2)/2))/(LN(2)/2)*CG108*CJ108*VLOOKUP('Données projet'!$B$12,Paramètres!$A$1:$I$89,3,0)*0.475*44/12</f>
        <v>6.6693224823326771</v>
      </c>
      <c r="CN108" s="22">
        <f t="shared" si="66"/>
        <v>34.602438803470378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8.7540000000000013</v>
      </c>
      <c r="CT108" s="12">
        <f>IF('Données projet'!$A$140&gt;35,CT107+CS108-DB107,IF(A108&lt;'Données projet'!$A$140,$CQ$205^A108,IF(A108='Données projet'!$A$140,'Données projet'!$B$140,CT107+CS108-DB107)))</f>
        <v>321.14800000000014</v>
      </c>
      <c r="CU108" s="17">
        <f>CT108*VLOOKUP('Données projet'!$B$13,Paramètres!$A$1:$I$89,3,0)*VLOOKUP('Données projet'!$B$13,Paramètres!$A$1:$I$89,5,0)</f>
        <v>345.68370720000013</v>
      </c>
      <c r="CV108" s="13">
        <f t="shared" si="95"/>
        <v>80.673100873364589</v>
      </c>
      <c r="CW108" s="20">
        <f t="shared" si="67"/>
        <v>742.57144072777692</v>
      </c>
      <c r="CX108" s="59">
        <f t="shared" si="68"/>
        <v>1035.9047740611102</v>
      </c>
      <c r="CY108" s="59">
        <f ca="1">AVERAGE(OFFSET($CX$3,0,0,'Données projet'!$E$13+1,1))-AVERAGE(OFFSET($H$3,0,0,'Données projet'!$E$13+1,1))</f>
        <v>502.65044103360322</v>
      </c>
      <c r="CZ108" s="59">
        <f t="shared" si="96"/>
        <v>321.65762891855167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49.746770993175566</v>
      </c>
      <c r="DG108" s="21">
        <f>EXP(-LN(2)/25)*DG107+(1-EXP(-LN(2)/25))/(LN(2)/25)*Calculateur!DB108*Calculateur!DD108*VLOOKUP('Données projet'!$B$13,Paramètres!$A$1:$I$89,3,0)*0.475*44/12</f>
        <v>27.681233362671939</v>
      </c>
      <c r="DH108" s="21">
        <f>EXP(-LN(2)/2)*DH107+(1-EXP(-LN(2)/2))/(LN(2)/2)*DB108*DE108*VLOOKUP('Données projet'!$B$13,Paramètres!$A$1:$I$89,3,0)*0.475*44/12</f>
        <v>2.6222218658780122E-3</v>
      </c>
      <c r="DI108" s="22">
        <f t="shared" si="69"/>
        <v>77.430626577713383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-25.899999999999977</v>
      </c>
      <c r="DP108" s="17">
        <f>DO108*VLOOKUP('Données projet'!$B$14,Paramètres!$A$1:$I$89,3,0)*VLOOKUP('Données projet'!$B$14,Paramètres!$A$1:$I$89,5,0)</f>
        <v>-13.171703999999989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63.94726564348116</v>
      </c>
      <c r="DU108" s="59">
        <f t="shared" si="98"/>
        <v>280.8165028422905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11.552873204353904</v>
      </c>
      <c r="EB108" s="21">
        <f>EXP(-LN(2)/25)*EB107+(1-EXP(-LN(2)/25))/(LN(2)/25)*Calculateur!DW108*Calculateur!DY108*VLOOKUP('Données projet'!$B$14,Paramètres!$A$1:$I$89,3,0)*0.475*44/12</f>
        <v>0.81224696796885287</v>
      </c>
      <c r="EC108" s="21">
        <f>EXP(-LN(2)/2)*EC107+(1-EXP(-LN(2)/2))/(LN(2)/2)*DW108*DZ108*VLOOKUP('Données projet'!$B$14,Paramètres!$A$1:$I$89,3,0)*0.475*44/12</f>
        <v>4.9991559135783621E-13</v>
      </c>
      <c r="ED108" s="22">
        <f t="shared" si="72"/>
        <v>12.365120172323257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-5.9685589803848416E-13</v>
      </c>
      <c r="O109" s="13">
        <f>N109*VLOOKUP('Données projet'!$B$9,Paramètres!$A$1:$I$89,3,0)*VLOOKUP('Données projet'!$B$9,Paramètres!$A$1:$I$89,5,0)</f>
        <v>-3.4140157367801295E-13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294.9631697747962</v>
      </c>
      <c r="T109" s="59">
        <f t="shared" si="88"/>
        <v>202.04924881627716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99.121307707715829</v>
      </c>
      <c r="AA109" s="21">
        <f>EXP(-LN(2)/25)*AA108+(1-EXP(-LN(2)/25))/(LN(2)/25)*Calculateur!V109*Calculateur!X109*VLOOKUP('Données projet'!$B$9,Paramètres!$A$1:$I$89,3,0)*0.475*44/12</f>
        <v>31.10569828901556</v>
      </c>
      <c r="AB109" s="21">
        <f>EXP(-LN(2)/2)*AB108+(1-EXP(-LN(2)/2))/(LN(2)/2)*V109*Y109*VLOOKUP('Données projet'!$B$9,Paramètres!$A$1:$I$89,3,0)*0.475*44/12</f>
        <v>10.974092272548578</v>
      </c>
      <c r="AC109" s="22">
        <f t="shared" si="57"/>
        <v>141.20109826927995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349.71285006949597</v>
      </c>
      <c r="AO109" s="59">
        <f t="shared" si="90"/>
        <v>258.51550516456842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91.585707983833373</v>
      </c>
      <c r="AV109" s="21">
        <f>EXP(-LN(2)/25)*AV108+(1-EXP(-LN(2)/25))/(LN(2)/25)*Calculateur!AQ109*Calculateur!AS109*VLOOKUP('Données projet'!$B$10,Paramètres!$A$1:$I$89,3,0)*0.475*44/12</f>
        <v>25.164710091778524</v>
      </c>
      <c r="AW109" s="21">
        <f>EXP(-LN(2)/2)*AW108+(1-EXP(-LN(2)/2))/(LN(2)/2)*AQ109*AT109*VLOOKUP('Données projet'!$B$10,Paramètres!$A$1:$I$89,3,0)*0.475*44/12</f>
        <v>8.6324026856944222E-3</v>
      </c>
      <c r="AX109" s="21">
        <f t="shared" si="60"/>
        <v>116.75905047829758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7.5129999999999999</v>
      </c>
      <c r="BD109" s="12">
        <f>IF('Données projet'!$A$88&gt;35,BD108+BC109-BL108,IF(A109&lt;'Données projet'!$A$88,$BA$205^A109,IF(A109='Données projet'!$A$88,'Données projet'!$B$88,BD108+BC109-BL108)))</f>
        <v>303.45900000000046</v>
      </c>
      <c r="BE109" s="13">
        <f>BD109*VLOOKUP('Données projet'!$B$11,Paramètres!$A$1:$I$89,3,0)*VLOOKUP('Données projet'!$B$11,Paramètres!$A$1:$I$89,5,0)</f>
        <v>274.56970320000039</v>
      </c>
      <c r="BF109" s="13">
        <f t="shared" si="91"/>
        <v>65.818126318370446</v>
      </c>
      <c r="BG109" s="20">
        <f t="shared" si="61"/>
        <v>592.84213641116253</v>
      </c>
      <c r="BH109" s="59">
        <f t="shared" si="62"/>
        <v>886.17546974449579</v>
      </c>
      <c r="BI109" s="59">
        <f ca="1">AVERAGE(OFFSET($BH$3,0,0,'Données projet'!$E$11+1,1))-AVERAGE(OFFSET($H$3,0,0,'Données projet'!$E$11+1,1))</f>
        <v>490.06222615476065</v>
      </c>
      <c r="BJ109" s="59">
        <f t="shared" si="92"/>
        <v>310.43914804089906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27.614097878709284</v>
      </c>
      <c r="BQ109" s="21">
        <f>EXP(-LN(2)/25)*BQ108+(1-EXP(-LN(2)/25))/(LN(2)/25)*Calculateur!BL109*Calculateur!BN109*VLOOKUP('Données projet'!$B$11,Paramètres!$A$1:$I$89,3,0)*0.475*44/12</f>
        <v>21.783958688435927</v>
      </c>
      <c r="BR109" s="21">
        <f>EXP(-LN(2)/2)*BR108+(1-EXP(-LN(2)/2))/(LN(2)/2)*BL109*BO109*VLOOKUP('Données projet'!$B$11,Paramètres!$A$1:$I$89,3,0)*0.475*44/12</f>
        <v>1.7567197627871955</v>
      </c>
      <c r="BS109" s="22">
        <f t="shared" si="63"/>
        <v>51.154776329932403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237.67220533333315</v>
      </c>
      <c r="CA109" s="13">
        <f t="shared" si="93"/>
        <v>57.938410377158242</v>
      </c>
      <c r="CB109" s="20">
        <f t="shared" si="64"/>
        <v>514.8551556957724</v>
      </c>
      <c r="CC109" s="59">
        <f t="shared" si="65"/>
        <v>808.18848902910577</v>
      </c>
      <c r="CD109" s="59">
        <f ca="1">AVERAGE(OFFSET($CC$3,0,0,'Données projet'!$E$12+1,1))-AVERAGE(OFFSET($H$3,0,0,'Données projet'!$E$12+1,1))</f>
        <v>510.71380643466227</v>
      </c>
      <c r="CE109" s="59">
        <f t="shared" si="94"/>
        <v>252.40654099948841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11.157448548509644</v>
      </c>
      <c r="CL109" s="21">
        <f>EXP(-LN(2)/25)*CL108+(1-EXP(-LN(2)/25))/(LN(2)/25)*Calculateur!CG109*Calculateur!CI109*VLOOKUP('Données projet'!$B$12,Paramètres!$A$1:$I$89,3,0)*0.475*44/12</f>
        <v>16.099871838569218</v>
      </c>
      <c r="CM109" s="21">
        <f>EXP(-LN(2)/2)*CM108+(1-EXP(-LN(2)/2))/(LN(2)/2)*CG109*CJ109*VLOOKUP('Données projet'!$B$12,Paramètres!$A$1:$I$89,3,0)*0.475*44/12</f>
        <v>4.7159231531773349</v>
      </c>
      <c r="CN109" s="22">
        <f t="shared" si="66"/>
        <v>31.973243540256199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8.7540000000000013</v>
      </c>
      <c r="CT109" s="12">
        <f>IF('Données projet'!$A$140&gt;35,CT108+CS109-DB108,IF(A109&lt;'Données projet'!$A$140,$CQ$205^A109,IF(A109='Données projet'!$A$140,'Données projet'!$B$140,CT108+CS109-DB108)))</f>
        <v>329.90200000000016</v>
      </c>
      <c r="CU109" s="17">
        <f>CT109*VLOOKUP('Données projet'!$B$13,Paramètres!$A$1:$I$89,3,0)*VLOOKUP('Données projet'!$B$13,Paramètres!$A$1:$I$89,5,0)</f>
        <v>355.10651280000019</v>
      </c>
      <c r="CV109" s="13">
        <f t="shared" si="95"/>
        <v>82.613107210689279</v>
      </c>
      <c r="CW109" s="20">
        <f t="shared" si="67"/>
        <v>762.36167151861753</v>
      </c>
      <c r="CX109" s="59">
        <f t="shared" si="68"/>
        <v>1055.6950048519509</v>
      </c>
      <c r="CY109" s="59">
        <f ca="1">AVERAGE(OFFSET($CX$3,0,0,'Données projet'!$E$13+1,1))-AVERAGE(OFFSET($H$3,0,0,'Données projet'!$E$13+1,1))</f>
        <v>502.65044103360322</v>
      </c>
      <c r="CZ109" s="59">
        <f t="shared" si="96"/>
        <v>321.65762891855167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48.771267156533625</v>
      </c>
      <c r="DG109" s="21">
        <f>EXP(-LN(2)/25)*DG108+(1-EXP(-LN(2)/25))/(LN(2)/25)*Calculateur!DB109*Calculateur!DD109*VLOOKUP('Données projet'!$B$13,Paramètres!$A$1:$I$89,3,0)*0.475*44/12</f>
        <v>26.92428858067688</v>
      </c>
      <c r="DH109" s="21">
        <f>EXP(-LN(2)/2)*DH108+(1-EXP(-LN(2)/2))/(LN(2)/2)*DB109*DE109*VLOOKUP('Données projet'!$B$13,Paramètres!$A$1:$I$89,3,0)*0.475*44/12</f>
        <v>1.854190863137984E-3</v>
      </c>
      <c r="DI109" s="22">
        <f t="shared" si="69"/>
        <v>75.69740992807364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-25.899999999999977</v>
      </c>
      <c r="DP109" s="17">
        <f>DO109*VLOOKUP('Données projet'!$B$14,Paramètres!$A$1:$I$89,3,0)*VLOOKUP('Données projet'!$B$14,Paramètres!$A$1:$I$89,5,0)</f>
        <v>-13.171703999999989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63.94726564348116</v>
      </c>
      <c r="DU109" s="59">
        <f t="shared" si="98"/>
        <v>280.8165028422905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11.326328407373389</v>
      </c>
      <c r="EB109" s="21">
        <f>EXP(-LN(2)/25)*EB108+(1-EXP(-LN(2)/25))/(LN(2)/25)*Calculateur!DW109*Calculateur!DY109*VLOOKUP('Données projet'!$B$14,Paramètres!$A$1:$I$89,3,0)*0.475*44/12</f>
        <v>0.79003603191553295</v>
      </c>
      <c r="EC109" s="21">
        <f>EXP(-LN(2)/2)*EC108+(1-EXP(-LN(2)/2))/(LN(2)/2)*DW109*DZ109*VLOOKUP('Données projet'!$B$14,Paramètres!$A$1:$I$89,3,0)*0.475*44/12</f>
        <v>3.5349370467000901E-13</v>
      </c>
      <c r="ED109" s="22">
        <f t="shared" si="72"/>
        <v>12.116364439289274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-5.9685589803848416E-13</v>
      </c>
      <c r="O110" s="13">
        <f>N110*VLOOKUP('Données projet'!$B$9,Paramètres!$A$1:$I$89,3,0)*VLOOKUP('Données projet'!$B$9,Paramètres!$A$1:$I$89,5,0)</f>
        <v>-3.4140157367801295E-13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294.9631697747962</v>
      </c>
      <c r="T110" s="59">
        <f t="shared" si="88"/>
        <v>202.04924881627716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97.177599321595494</v>
      </c>
      <c r="AA110" s="21">
        <f>EXP(-LN(2)/25)*AA109+(1-EXP(-LN(2)/25))/(LN(2)/25)*Calculateur!V110*Calculateur!X110*VLOOKUP('Données projet'!$B$9,Paramètres!$A$1:$I$89,3,0)*0.475*44/12</f>
        <v>30.255111333524848</v>
      </c>
      <c r="AB110" s="21">
        <f>EXP(-LN(2)/2)*AB109+(1-EXP(-LN(2)/2))/(LN(2)/2)*V110*Y110*VLOOKUP('Données projet'!$B$9,Paramètres!$A$1:$I$89,3,0)*0.475*44/12</f>
        <v>7.7598550632859897</v>
      </c>
      <c r="AC110" s="22">
        <f t="shared" si="57"/>
        <v>135.19256571840634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349.71285006949597</v>
      </c>
      <c r="AO110" s="59">
        <f t="shared" si="90"/>
        <v>258.51550516456842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89.789768112036384</v>
      </c>
      <c r="AV110" s="21">
        <f>EXP(-LN(2)/25)*AV109+(1-EXP(-LN(2)/25))/(LN(2)/25)*Calculateur!AQ110*Calculateur!AS110*VLOOKUP('Données projet'!$B$10,Paramètres!$A$1:$I$89,3,0)*0.475*44/12</f>
        <v>24.47657977096425</v>
      </c>
      <c r="AW110" s="21">
        <f>EXP(-LN(2)/2)*AW109+(1-EXP(-LN(2)/2))/(LN(2)/2)*AQ110*AT110*VLOOKUP('Données projet'!$B$10,Paramètres!$A$1:$I$89,3,0)*0.475*44/12</f>
        <v>6.104030476987491E-3</v>
      </c>
      <c r="AX110" s="21">
        <f t="shared" si="60"/>
        <v>114.27245191347762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7.5129999999999999</v>
      </c>
      <c r="BD110" s="12">
        <f>IF('Données projet'!$A$88&gt;35,BD109+BC110-BL109,IF(A110&lt;'Données projet'!$A$88,$BA$205^A110,IF(A110='Données projet'!$A$88,'Données projet'!$B$88,BD109+BC110-BL109)))</f>
        <v>310.97200000000043</v>
      </c>
      <c r="BE110" s="13">
        <f>BD110*VLOOKUP('Données projet'!$B$11,Paramètres!$A$1:$I$89,3,0)*VLOOKUP('Données projet'!$B$11,Paramètres!$A$1:$I$89,5,0)</f>
        <v>281.3674656000004</v>
      </c>
      <c r="BF110" s="13">
        <f t="shared" si="91"/>
        <v>67.255911680958462</v>
      </c>
      <c r="BG110" s="20">
        <f t="shared" si="61"/>
        <v>607.18571543100336</v>
      </c>
      <c r="BH110" s="59">
        <f t="shared" si="62"/>
        <v>900.51904876433673</v>
      </c>
      <c r="BI110" s="59">
        <f ca="1">AVERAGE(OFFSET($BH$3,0,0,'Données projet'!$E$11+1,1))-AVERAGE(OFFSET($H$3,0,0,'Données projet'!$E$11+1,1))</f>
        <v>490.06222615476065</v>
      </c>
      <c r="BJ110" s="59">
        <f t="shared" si="92"/>
        <v>310.43914804089906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27.072602262244398</v>
      </c>
      <c r="BQ110" s="21">
        <f>EXP(-LN(2)/25)*BQ109+(1-EXP(-LN(2)/25))/(LN(2)/25)*Calculateur!BL110*Calculateur!BN110*VLOOKUP('Données projet'!$B$11,Paramètres!$A$1:$I$89,3,0)*0.475*44/12</f>
        <v>21.188275192532046</v>
      </c>
      <c r="BR110" s="21">
        <f>EXP(-LN(2)/2)*BR109+(1-EXP(-LN(2)/2))/(LN(2)/2)*BL110*BO110*VLOOKUP('Données projet'!$B$11,Paramètres!$A$1:$I$89,3,0)*0.475*44/12</f>
        <v>1.2421884569112494</v>
      </c>
      <c r="BS110" s="22">
        <f t="shared" si="63"/>
        <v>49.503065911687699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244.32761599999981</v>
      </c>
      <c r="CA110" s="13">
        <f t="shared" si="93"/>
        <v>59.369667493101296</v>
      </c>
      <c r="CB110" s="20">
        <f t="shared" si="64"/>
        <v>528.93943541715112</v>
      </c>
      <c r="CC110" s="59">
        <f t="shared" si="65"/>
        <v>822.27276875048437</v>
      </c>
      <c r="CD110" s="59">
        <f ca="1">AVERAGE(OFFSET($CC$3,0,0,'Données projet'!$E$12+1,1))-AVERAGE(OFFSET($H$3,0,0,'Données projet'!$E$12+1,1))</f>
        <v>510.71380643466227</v>
      </c>
      <c r="CE110" s="59">
        <f t="shared" si="94"/>
        <v>252.40654099948841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10.93865778784501</v>
      </c>
      <c r="CL110" s="21">
        <f>EXP(-LN(2)/25)*CL109+(1-EXP(-LN(2)/25))/(LN(2)/25)*Calculateur!CG110*Calculateur!CI110*VLOOKUP('Données projet'!$B$12,Paramètres!$A$1:$I$89,3,0)*0.475*44/12</f>
        <v>15.659619996488079</v>
      </c>
      <c r="CM110" s="21">
        <f>EXP(-LN(2)/2)*CM109+(1-EXP(-LN(2)/2))/(LN(2)/2)*CG110*CJ110*VLOOKUP('Données projet'!$B$12,Paramètres!$A$1:$I$89,3,0)*0.475*44/12</f>
        <v>3.3346612411663394</v>
      </c>
      <c r="CN110" s="22">
        <f t="shared" si="66"/>
        <v>29.932939025499429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8.7540000000000013</v>
      </c>
      <c r="CT110" s="12">
        <f>IF('Données projet'!$A$140&gt;35,CT109+CS110-DB109,IF(A110&lt;'Données projet'!$A$140,$CQ$205^A110,IF(A110='Données projet'!$A$140,'Données projet'!$B$140,CT109+CS110-DB109)))</f>
        <v>338.65600000000018</v>
      </c>
      <c r="CU110" s="17">
        <f>CT110*VLOOKUP('Données projet'!$B$13,Paramètres!$A$1:$I$89,3,0)*VLOOKUP('Données projet'!$B$13,Paramètres!$A$1:$I$89,5,0)</f>
        <v>364.52931840000019</v>
      </c>
      <c r="CV110" s="13">
        <f t="shared" si="95"/>
        <v>84.54712996865311</v>
      </c>
      <c r="CW110" s="20">
        <f t="shared" si="67"/>
        <v>782.14148090873778</v>
      </c>
      <c r="CX110" s="59">
        <f t="shared" si="68"/>
        <v>1075.474814242071</v>
      </c>
      <c r="CY110" s="59">
        <f ca="1">AVERAGE(OFFSET($CX$3,0,0,'Données projet'!$E$13+1,1))-AVERAGE(OFFSET($H$3,0,0,'Données projet'!$E$13+1,1))</f>
        <v>502.65044103360322</v>
      </c>
      <c r="CZ110" s="59">
        <f t="shared" si="96"/>
        <v>321.65762891855167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47.814892355129643</v>
      </c>
      <c r="DG110" s="21">
        <f>EXP(-LN(2)/25)*DG109+(1-EXP(-LN(2)/25))/(LN(2)/25)*Calculateur!DB110*Calculateur!DD110*VLOOKUP('Données projet'!$B$13,Paramètres!$A$1:$I$89,3,0)*0.475*44/12</f>
        <v>26.188042493551471</v>
      </c>
      <c r="DH110" s="21">
        <f>EXP(-LN(2)/2)*DH109+(1-EXP(-LN(2)/2))/(LN(2)/2)*DB110*DE110*VLOOKUP('Données projet'!$B$13,Paramètres!$A$1:$I$89,3,0)*0.475*44/12</f>
        <v>1.3111109329390063E-3</v>
      </c>
      <c r="DI110" s="22">
        <f t="shared" si="69"/>
        <v>74.004245959614067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-25.899999999999977</v>
      </c>
      <c r="DP110" s="17">
        <f>DO110*VLOOKUP('Données projet'!$B$14,Paramètres!$A$1:$I$89,3,0)*VLOOKUP('Données projet'!$B$14,Paramètres!$A$1:$I$89,5,0)</f>
        <v>-13.171703999999989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63.94726564348116</v>
      </c>
      <c r="DU110" s="59">
        <f t="shared" si="98"/>
        <v>280.8165028422905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11.104226015682979</v>
      </c>
      <c r="EB110" s="21">
        <f>EXP(-LN(2)/25)*EB109+(1-EXP(-LN(2)/25))/(LN(2)/25)*Calculateur!DW110*Calculateur!DY110*VLOOKUP('Données projet'!$B$14,Paramètres!$A$1:$I$89,3,0)*0.475*44/12</f>
        <v>0.7684324550766134</v>
      </c>
      <c r="EC110" s="21">
        <f>EXP(-LN(2)/2)*EC109+(1-EXP(-LN(2)/2))/(LN(2)/2)*DW110*DZ110*VLOOKUP('Données projet'!$B$14,Paramètres!$A$1:$I$89,3,0)*0.475*44/12</f>
        <v>2.4995779567891811E-13</v>
      </c>
      <c r="ED110" s="22">
        <f t="shared" si="72"/>
        <v>11.872658470759843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-5.9685589803848416E-13</v>
      </c>
      <c r="O111" s="13">
        <f>N111*VLOOKUP('Données projet'!$B$9,Paramètres!$A$1:$I$89,3,0)*VLOOKUP('Données projet'!$B$9,Paramètres!$A$1:$I$89,5,0)</f>
        <v>-3.4140157367801295E-13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294.9631697747962</v>
      </c>
      <c r="T111" s="59">
        <f t="shared" si="88"/>
        <v>202.04924881627716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95.272005871381921</v>
      </c>
      <c r="AA111" s="21">
        <f>EXP(-LN(2)/25)*AA110+(1-EXP(-LN(2)/25))/(LN(2)/25)*Calculateur!V111*Calculateur!X111*VLOOKUP('Données projet'!$B$9,Paramètres!$A$1:$I$89,3,0)*0.475*44/12</f>
        <v>29.427783723062454</v>
      </c>
      <c r="AB111" s="21">
        <f>EXP(-LN(2)/2)*AB110+(1-EXP(-LN(2)/2))/(LN(2)/2)*V111*Y111*VLOOKUP('Données projet'!$B$9,Paramètres!$A$1:$I$89,3,0)*0.475*44/12</f>
        <v>5.4870461362742899</v>
      </c>
      <c r="AC111" s="22">
        <f t="shared" si="57"/>
        <v>130.18683573071868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349.71285006949597</v>
      </c>
      <c r="AO111" s="59">
        <f t="shared" si="90"/>
        <v>258.51550516456842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88.029045525710174</v>
      </c>
      <c r="AV111" s="21">
        <f>EXP(-LN(2)/25)*AV110+(1-EXP(-LN(2)/25))/(LN(2)/25)*Calculateur!AQ111*Calculateur!AS111*VLOOKUP('Données projet'!$B$10,Paramètres!$A$1:$I$89,3,0)*0.475*44/12</f>
        <v>23.807266409959844</v>
      </c>
      <c r="AW111" s="21">
        <f>EXP(-LN(2)/2)*AW110+(1-EXP(-LN(2)/2))/(LN(2)/2)*AQ111*AT111*VLOOKUP('Données projet'!$B$10,Paramètres!$A$1:$I$89,3,0)*0.475*44/12</f>
        <v>4.3162013428472111E-3</v>
      </c>
      <c r="AX111" s="21">
        <f t="shared" si="60"/>
        <v>111.84062813701286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7.5129999999999999</v>
      </c>
      <c r="BD111" s="12">
        <f>IF('Données projet'!$A$88&gt;35,BD110+BC111-BL110,IF(A111&lt;'Données projet'!$A$88,$BA$205^A111,IF(A111='Données projet'!$A$88,'Données projet'!$B$88,BD110+BC111-BL110)))</f>
        <v>318.48500000000041</v>
      </c>
      <c r="BE111" s="13">
        <f>BD111*VLOOKUP('Données projet'!$B$11,Paramètres!$A$1:$I$89,3,0)*VLOOKUP('Données projet'!$B$11,Paramètres!$A$1:$I$89,5,0)</f>
        <v>288.16522800000035</v>
      </c>
      <c r="BF111" s="13">
        <f t="shared" si="91"/>
        <v>68.689658978808254</v>
      </c>
      <c r="BG111" s="20">
        <f t="shared" si="61"/>
        <v>621.52226148809166</v>
      </c>
      <c r="BH111" s="59">
        <f t="shared" si="62"/>
        <v>914.85559482142503</v>
      </c>
      <c r="BI111" s="59">
        <f ca="1">AVERAGE(OFFSET($BH$3,0,0,'Données projet'!$E$11+1,1))-AVERAGE(OFFSET($H$3,0,0,'Données projet'!$E$11+1,1))</f>
        <v>490.06222615476065</v>
      </c>
      <c r="BJ111" s="59">
        <f t="shared" si="92"/>
        <v>310.43914804089906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26.541725044538676</v>
      </c>
      <c r="BQ111" s="21">
        <f>EXP(-LN(2)/25)*BQ110+(1-EXP(-LN(2)/25))/(LN(2)/25)*Calculateur!BL111*Calculateur!BN111*VLOOKUP('Données projet'!$B$11,Paramètres!$A$1:$I$89,3,0)*0.475*44/12</f>
        <v>20.608880693149292</v>
      </c>
      <c r="BR111" s="21">
        <f>EXP(-LN(2)/2)*BR110+(1-EXP(-LN(2)/2))/(LN(2)/2)*BL111*BO111*VLOOKUP('Données projet'!$B$11,Paramètres!$A$1:$I$89,3,0)*0.475*44/12</f>
        <v>0.878359881393598</v>
      </c>
      <c r="BS111" s="22">
        <f t="shared" si="63"/>
        <v>48.028965619081568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250.98302666666646</v>
      </c>
      <c r="CA111" s="13">
        <f t="shared" si="93"/>
        <v>60.796393115447323</v>
      </c>
      <c r="CB111" s="20">
        <f t="shared" si="64"/>
        <v>543.01582278718149</v>
      </c>
      <c r="CC111" s="59">
        <f t="shared" si="65"/>
        <v>836.34915612051486</v>
      </c>
      <c r="CD111" s="59">
        <f ca="1">AVERAGE(OFFSET($CC$3,0,0,'Données projet'!$E$12+1,1))-AVERAGE(OFFSET($H$3,0,0,'Données projet'!$E$12+1,1))</f>
        <v>510.71380643466227</v>
      </c>
      <c r="CE111" s="59">
        <f t="shared" si="94"/>
        <v>252.40654099948841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10.724157380547823</v>
      </c>
      <c r="CL111" s="21">
        <f>EXP(-LN(2)/25)*CL110+(1-EXP(-LN(2)/25))/(LN(2)/25)*Calculateur!CG111*Calculateur!CI111*VLOOKUP('Données projet'!$B$12,Paramètres!$A$1:$I$89,3,0)*0.475*44/12</f>
        <v>15.231406864180487</v>
      </c>
      <c r="CM111" s="21">
        <f>EXP(-LN(2)/2)*CM110+(1-EXP(-LN(2)/2))/(LN(2)/2)*CG111*CJ111*VLOOKUP('Données projet'!$B$12,Paramètres!$A$1:$I$89,3,0)*0.475*44/12</f>
        <v>2.3579615765886679</v>
      </c>
      <c r="CN111" s="22">
        <f t="shared" si="66"/>
        <v>28.313525821316976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8.7540000000000013</v>
      </c>
      <c r="CT111" s="12">
        <f>IF('Données projet'!$A$140&gt;35,CT110+CS111-DB110,IF(A111&lt;'Données projet'!$A$140,$CQ$205^A111,IF(A111='Données projet'!$A$140,'Données projet'!$B$140,CT110+CS111-DB110)))</f>
        <v>347.4100000000002</v>
      </c>
      <c r="CU111" s="17">
        <f>CT111*VLOOKUP('Données projet'!$B$13,Paramètres!$A$1:$I$89,3,0)*VLOOKUP('Données projet'!$B$13,Paramètres!$A$1:$I$89,5,0)</f>
        <v>373.9521240000002</v>
      </c>
      <c r="CV111" s="13">
        <f t="shared" si="95"/>
        <v>86.475341601284939</v>
      </c>
      <c r="CW111" s="20">
        <f t="shared" si="67"/>
        <v>801.91116925557162</v>
      </c>
      <c r="CX111" s="59">
        <f t="shared" si="68"/>
        <v>1095.2445025889049</v>
      </c>
      <c r="CY111" s="59">
        <f ca="1">AVERAGE(OFFSET($CX$3,0,0,'Données projet'!$E$13+1,1))-AVERAGE(OFFSET($H$3,0,0,'Données projet'!$E$13+1,1))</f>
        <v>502.65044103360322</v>
      </c>
      <c r="CZ111" s="59">
        <f t="shared" si="96"/>
        <v>321.65762891855167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46.877271480250158</v>
      </c>
      <c r="DG111" s="21">
        <f>EXP(-LN(2)/25)*DG110+(1-EXP(-LN(2)/25))/(LN(2)/25)*Calculateur!DB111*Calculateur!DD111*VLOOKUP('Données projet'!$B$13,Paramètres!$A$1:$I$89,3,0)*0.475*44/12</f>
        <v>25.471929094396003</v>
      </c>
      <c r="DH111" s="21">
        <f>EXP(-LN(2)/2)*DH110+(1-EXP(-LN(2)/2))/(LN(2)/2)*DB111*DE111*VLOOKUP('Données projet'!$B$13,Paramètres!$A$1:$I$89,3,0)*0.475*44/12</f>
        <v>9.270954315689922E-4</v>
      </c>
      <c r="DI111" s="22">
        <f t="shared" si="69"/>
        <v>72.350127670077725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-25.899999999999977</v>
      </c>
      <c r="DP111" s="17">
        <f>DO111*VLOOKUP('Données projet'!$B$14,Paramètres!$A$1:$I$89,3,0)*VLOOKUP('Données projet'!$B$14,Paramètres!$A$1:$I$89,5,0)</f>
        <v>-13.171703999999989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63.94726564348116</v>
      </c>
      <c r="DU111" s="59">
        <f t="shared" si="98"/>
        <v>280.8165028422905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10.886478916424537</v>
      </c>
      <c r="EB111" s="21">
        <f>EXP(-LN(2)/25)*EB110+(1-EXP(-LN(2)/25))/(LN(2)/25)*Calculateur!DW111*Calculateur!DY111*VLOOKUP('Données projet'!$B$14,Paramètres!$A$1:$I$89,3,0)*0.475*44/12</f>
        <v>0.74741962918243687</v>
      </c>
      <c r="EC111" s="21">
        <f>EXP(-LN(2)/2)*EC110+(1-EXP(-LN(2)/2))/(LN(2)/2)*DW111*DZ111*VLOOKUP('Données projet'!$B$14,Paramètres!$A$1:$I$89,3,0)*0.475*44/12</f>
        <v>1.767468523350045E-13</v>
      </c>
      <c r="ED111" s="22">
        <f t="shared" si="72"/>
        <v>11.633898545607149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-5.9685589803848416E-13</v>
      </c>
      <c r="O112" s="13">
        <f>N112*VLOOKUP('Données projet'!$B$9,Paramètres!$A$1:$I$89,3,0)*VLOOKUP('Données projet'!$B$9,Paramètres!$A$1:$I$89,5,0)</f>
        <v>-3.4140157367801295E-13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294.9631697747962</v>
      </c>
      <c r="T112" s="59">
        <f t="shared" si="88"/>
        <v>202.04924881627716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93.403779946429793</v>
      </c>
      <c r="AA112" s="21">
        <f>EXP(-LN(2)/25)*AA111+(1-EXP(-LN(2)/25))/(LN(2)/25)*Calculateur!V112*Calculateur!X112*VLOOKUP('Données projet'!$B$9,Paramètres!$A$1:$I$89,3,0)*0.475*44/12</f>
        <v>28.623079429615423</v>
      </c>
      <c r="AB112" s="21">
        <f>EXP(-LN(2)/2)*AB111+(1-EXP(-LN(2)/2))/(LN(2)/2)*V112*Y112*VLOOKUP('Données projet'!$B$9,Paramètres!$A$1:$I$89,3,0)*0.475*44/12</f>
        <v>3.8799275316429958</v>
      </c>
      <c r="AC112" s="22">
        <f t="shared" si="57"/>
        <v>125.90678690768821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349.71285006949597</v>
      </c>
      <c r="AO112" s="59">
        <f t="shared" si="90"/>
        <v>258.51550516456842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86.302849635367082</v>
      </c>
      <c r="AV112" s="21">
        <f>EXP(-LN(2)/25)*AV111+(1-EXP(-LN(2)/25))/(LN(2)/25)*Calculateur!AQ112*Calculateur!AS112*VLOOKUP('Données projet'!$B$10,Paramètres!$A$1:$I$89,3,0)*0.475*44/12</f>
        <v>23.156255458009763</v>
      </c>
      <c r="AW112" s="21">
        <f>EXP(-LN(2)/2)*AW111+(1-EXP(-LN(2)/2))/(LN(2)/2)*AQ112*AT112*VLOOKUP('Données projet'!$B$10,Paramètres!$A$1:$I$89,3,0)*0.475*44/12</f>
        <v>3.0520152384937455E-3</v>
      </c>
      <c r="AX112" s="21">
        <f t="shared" si="60"/>
        <v>109.46215710861534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7.5129999999999999</v>
      </c>
      <c r="BD112" s="12">
        <f>IF('Données projet'!$A$88&gt;35,BD111+BC112-BL111,IF(A112&lt;'Données projet'!$A$88,$BA$205^A112,IF(A112='Données projet'!$A$88,'Données projet'!$B$88,BD111+BC112-BL111)))</f>
        <v>325.99800000000039</v>
      </c>
      <c r="BE112" s="13">
        <f>BD112*VLOOKUP('Données projet'!$B$11,Paramètres!$A$1:$I$89,3,0)*VLOOKUP('Données projet'!$B$11,Paramètres!$A$1:$I$89,5,0)</f>
        <v>294.96299040000036</v>
      </c>
      <c r="BF112" s="13">
        <f t="shared" si="91"/>
        <v>70.119474431072192</v>
      </c>
      <c r="BG112" s="20">
        <f t="shared" si="61"/>
        <v>635.85195958078464</v>
      </c>
      <c r="BH112" s="59">
        <f t="shared" si="62"/>
        <v>929.18529291411801</v>
      </c>
      <c r="BI112" s="59">
        <f ca="1">AVERAGE(OFFSET($BH$3,0,0,'Données projet'!$E$11+1,1))-AVERAGE(OFFSET($H$3,0,0,'Données projet'!$E$11+1,1))</f>
        <v>490.06222615476065</v>
      </c>
      <c r="BJ112" s="59">
        <f t="shared" si="92"/>
        <v>310.43914804089906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26.021258005269033</v>
      </c>
      <c r="BQ112" s="21">
        <f>EXP(-LN(2)/25)*BQ111+(1-EXP(-LN(2)/25))/(LN(2)/25)*Calculateur!BL112*Calculateur!BN112*VLOOKUP('Données projet'!$B$11,Paramètres!$A$1:$I$89,3,0)*0.475*44/12</f>
        <v>20.04532976682119</v>
      </c>
      <c r="BR112" s="21">
        <f>EXP(-LN(2)/2)*BR111+(1-EXP(-LN(2)/2))/(LN(2)/2)*BL112*BO112*VLOOKUP('Données projet'!$B$11,Paramètres!$A$1:$I$89,3,0)*0.475*44/12</f>
        <v>0.62109422845562479</v>
      </c>
      <c r="BS112" s="22">
        <f t="shared" si="63"/>
        <v>46.687682000545848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257.63843733333317</v>
      </c>
      <c r="CA112" s="13">
        <f t="shared" si="93"/>
        <v>62.218721219477693</v>
      </c>
      <c r="CB112" s="20">
        <f t="shared" si="64"/>
        <v>557.0845511461456</v>
      </c>
      <c r="CC112" s="59">
        <f t="shared" si="65"/>
        <v>850.41788447947897</v>
      </c>
      <c r="CD112" s="59">
        <f ca="1">AVERAGE(OFFSET($CC$3,0,0,'Données projet'!$E$12+1,1))-AVERAGE(OFFSET($H$3,0,0,'Données projet'!$E$12+1,1))</f>
        <v>510.71380643466227</v>
      </c>
      <c r="CE112" s="59">
        <f t="shared" si="94"/>
        <v>252.40654099948841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10.513863195405403</v>
      </c>
      <c r="CL112" s="21">
        <f>EXP(-LN(2)/25)*CL111+(1-EXP(-LN(2)/25))/(LN(2)/25)*Calculateur!CG112*Calculateur!CI112*VLOOKUP('Données projet'!$B$12,Paramètres!$A$1:$I$89,3,0)*0.475*44/12</f>
        <v>14.814903242494596</v>
      </c>
      <c r="CM112" s="21">
        <f>EXP(-LN(2)/2)*CM111+(1-EXP(-LN(2)/2))/(LN(2)/2)*CG112*CJ112*VLOOKUP('Données projet'!$B$12,Paramètres!$A$1:$I$89,3,0)*0.475*44/12</f>
        <v>1.6673306205831699</v>
      </c>
      <c r="CN112" s="22">
        <f t="shared" si="66"/>
        <v>26.996097058483169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8.7540000000000013</v>
      </c>
      <c r="CT112" s="12">
        <f>IF('Données projet'!$A$140&gt;35,CT111+CS112-DB111,IF(A112&lt;'Données projet'!$A$140,$CQ$205^A112,IF(A112='Données projet'!$A$140,'Données projet'!$B$140,CT111+CS112-DB111)))</f>
        <v>356.16400000000021</v>
      </c>
      <c r="CU112" s="17">
        <f>CT112*VLOOKUP('Données projet'!$B$13,Paramètres!$A$1:$I$89,3,0)*VLOOKUP('Données projet'!$B$13,Paramètres!$A$1:$I$89,5,0)</f>
        <v>383.3749296000002</v>
      </c>
      <c r="CV112" s="13">
        <f t="shared" si="95"/>
        <v>88.397905376386277</v>
      </c>
      <c r="CW112" s="20">
        <f t="shared" si="67"/>
        <v>821.67102091720653</v>
      </c>
      <c r="CX112" s="59">
        <f t="shared" si="68"/>
        <v>1115.0043542505398</v>
      </c>
      <c r="CY112" s="59">
        <f ca="1">AVERAGE(OFFSET($CX$3,0,0,'Données projet'!$E$13+1,1))-AVERAGE(OFFSET($H$3,0,0,'Données projet'!$E$13+1,1))</f>
        <v>502.65044103360322</v>
      </c>
      <c r="CZ112" s="59">
        <f t="shared" si="96"/>
        <v>321.65762891855167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45.958036778834803</v>
      </c>
      <c r="DG112" s="21">
        <f>EXP(-LN(2)/25)*DG111+(1-EXP(-LN(2)/25))/(LN(2)/25)*Calculateur!DB112*Calculateur!DD112*VLOOKUP('Données projet'!$B$13,Paramètres!$A$1:$I$89,3,0)*0.475*44/12</f>
        <v>24.775397853799209</v>
      </c>
      <c r="DH112" s="21">
        <f>EXP(-LN(2)/2)*DH111+(1-EXP(-LN(2)/2))/(LN(2)/2)*DB112*DE112*VLOOKUP('Données projet'!$B$13,Paramètres!$A$1:$I$89,3,0)*0.475*44/12</f>
        <v>6.5555546646950326E-4</v>
      </c>
      <c r="DI112" s="22">
        <f t="shared" si="69"/>
        <v>70.734090188100481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-25.899999999999977</v>
      </c>
      <c r="DP112" s="17">
        <f>DO112*VLOOKUP('Données projet'!$B$14,Paramètres!$A$1:$I$89,3,0)*VLOOKUP('Données projet'!$B$14,Paramètres!$A$1:$I$89,5,0)</f>
        <v>-13.171703999999989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63.94726564348116</v>
      </c>
      <c r="DU112" s="59">
        <f t="shared" si="98"/>
        <v>280.8165028422905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10.673001704969936</v>
      </c>
      <c r="EB112" s="21">
        <f>EXP(-LN(2)/25)*EB111+(1-EXP(-LN(2)/25))/(LN(2)/25)*Calculateur!DW112*Calculateur!DY112*VLOOKUP('Données projet'!$B$14,Paramètres!$A$1:$I$89,3,0)*0.475*44/12</f>
        <v>0.72698140011735313</v>
      </c>
      <c r="EC112" s="21">
        <f>EXP(-LN(2)/2)*EC111+(1-EXP(-LN(2)/2))/(LN(2)/2)*DW112*DZ112*VLOOKUP('Données projet'!$B$14,Paramètres!$A$1:$I$89,3,0)*0.475*44/12</f>
        <v>1.2497889783945905E-13</v>
      </c>
      <c r="ED112" s="22">
        <f t="shared" si="72"/>
        <v>11.399983105087413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-5.9685589803848416E-13</v>
      </c>
      <c r="O113" s="13">
        <f>N113*VLOOKUP('Données projet'!$B$9,Paramètres!$A$1:$I$89,3,0)*VLOOKUP('Données projet'!$B$9,Paramètres!$A$1:$I$89,5,0)</f>
        <v>-3.4140157367801295E-13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294.9631697747962</v>
      </c>
      <c r="T113" s="59">
        <f t="shared" si="88"/>
        <v>202.04924881627716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91.572188792360691</v>
      </c>
      <c r="AA113" s="21">
        <f>EXP(-LN(2)/25)*AA112+(1-EXP(-LN(2)/25))/(LN(2)/25)*Calculateur!V113*Calculateur!X113*VLOOKUP('Données projet'!$B$9,Paramètres!$A$1:$I$89,3,0)*0.475*44/12</f>
        <v>27.840379817390261</v>
      </c>
      <c r="AB113" s="21">
        <f>EXP(-LN(2)/2)*AB112+(1-EXP(-LN(2)/2))/(LN(2)/2)*V113*Y113*VLOOKUP('Données projet'!$B$9,Paramètres!$A$1:$I$89,3,0)*0.475*44/12</f>
        <v>2.7435230681371454</v>
      </c>
      <c r="AC113" s="22">
        <f t="shared" si="57"/>
        <v>122.1560916778881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349.71285006949597</v>
      </c>
      <c r="AO113" s="59">
        <f t="shared" si="90"/>
        <v>258.51550516456842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84.610503393558091</v>
      </c>
      <c r="AV113" s="21">
        <f>EXP(-LN(2)/25)*AV112+(1-EXP(-LN(2)/25))/(LN(2)/25)*Calculateur!AQ113*Calculateur!AS113*VLOOKUP('Données projet'!$B$10,Paramètres!$A$1:$I$89,3,0)*0.475*44/12</f>
        <v>22.523046434775935</v>
      </c>
      <c r="AW113" s="21">
        <f>EXP(-LN(2)/2)*AW112+(1-EXP(-LN(2)/2))/(LN(2)/2)*AQ113*AT113*VLOOKUP('Données projet'!$B$10,Paramètres!$A$1:$I$89,3,0)*0.475*44/12</f>
        <v>2.1581006714236056E-3</v>
      </c>
      <c r="AX113" s="21">
        <f t="shared" si="60"/>
        <v>107.13570792900545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7.5129999999999999</v>
      </c>
      <c r="BD113" s="12">
        <f>IF('Données projet'!$A$88&gt;35,BD112+BC113-BL112,IF(A113&lt;'Données projet'!$A$88,$BA$205^A113,IF(A113='Données projet'!$A$88,'Données projet'!$B$88,BD112+BC113-BL112)))</f>
        <v>333.51100000000037</v>
      </c>
      <c r="BE113" s="13">
        <f>BD113*VLOOKUP('Données projet'!$B$11,Paramètres!$A$1:$I$89,3,0)*VLOOKUP('Données projet'!$B$11,Paramètres!$A$1:$I$89,5,0)</f>
        <v>301.76075280000032</v>
      </c>
      <c r="BF113" s="13">
        <f t="shared" si="91"/>
        <v>71.545459081640786</v>
      </c>
      <c r="BG113" s="20">
        <f t="shared" si="61"/>
        <v>650.17498569385816</v>
      </c>
      <c r="BH113" s="59">
        <f t="shared" si="62"/>
        <v>943.50831902719142</v>
      </c>
      <c r="BI113" s="59">
        <f ca="1">AVERAGE(OFFSET($BH$3,0,0,'Données projet'!$E$11+1,1))-AVERAGE(OFFSET($H$3,0,0,'Données projet'!$E$11+1,1))</f>
        <v>490.06222615476065</v>
      </c>
      <c r="BJ113" s="59">
        <f t="shared" si="92"/>
        <v>310.43914804089906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25.510997007185921</v>
      </c>
      <c r="BQ113" s="21">
        <f>EXP(-LN(2)/25)*BQ112+(1-EXP(-LN(2)/25))/(LN(2)/25)*Calculateur!BL113*Calculateur!BN113*VLOOKUP('Données projet'!$B$11,Paramètres!$A$1:$I$89,3,0)*0.475*44/12</f>
        <v>19.497189170209385</v>
      </c>
      <c r="BR113" s="21">
        <f>EXP(-LN(2)/2)*BR112+(1-EXP(-LN(2)/2))/(LN(2)/2)*BL113*BO113*VLOOKUP('Données projet'!$B$11,Paramètres!$A$1:$I$89,3,0)*0.475*44/12</f>
        <v>0.43917994069679905</v>
      </c>
      <c r="BS113" s="22">
        <f t="shared" si="63"/>
        <v>45.447366118092098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264.29384799999985</v>
      </c>
      <c r="CA113" s="13">
        <f t="shared" si="93"/>
        <v>63.636778464374139</v>
      </c>
      <c r="CB113" s="20">
        <f t="shared" si="64"/>
        <v>571.14584109211796</v>
      </c>
      <c r="CC113" s="59">
        <f t="shared" si="65"/>
        <v>864.47917442545122</v>
      </c>
      <c r="CD113" s="59">
        <f ca="1">AVERAGE(OFFSET($CC$3,0,0,'Données projet'!$E$12+1,1))-AVERAGE(OFFSET($H$3,0,0,'Données projet'!$E$12+1,1))</f>
        <v>510.71380643466227</v>
      </c>
      <c r="CE113" s="59">
        <f t="shared" si="94"/>
        <v>252.40654099948841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10.307692750966838</v>
      </c>
      <c r="CL113" s="21">
        <f>EXP(-LN(2)/25)*CL112+(1-EXP(-LN(2)/25))/(LN(2)/25)*Calculateur!CG113*Calculateur!CI113*VLOOKUP('Données projet'!$B$12,Paramètres!$A$1:$I$89,3,0)*0.475*44/12</f>
        <v>14.409788934246679</v>
      </c>
      <c r="CM113" s="21">
        <f>EXP(-LN(2)/2)*CM112+(1-EXP(-LN(2)/2))/(LN(2)/2)*CG113*CJ113*VLOOKUP('Données projet'!$B$12,Paramètres!$A$1:$I$89,3,0)*0.475*44/12</f>
        <v>1.1789807882943342</v>
      </c>
      <c r="CN113" s="22">
        <f t="shared" si="66"/>
        <v>25.896462473507853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8.7540000000000013</v>
      </c>
      <c r="CT113" s="12">
        <f>IF('Données projet'!$A$140&gt;35,CT112+CS113-DB112,IF(A113&lt;'Données projet'!$A$140,$CQ$205^A113,IF(A113='Données projet'!$A$140,'Données projet'!$B$140,CT112+CS113-DB112)))</f>
        <v>364.91800000000023</v>
      </c>
      <c r="CU113" s="17">
        <f>CT113*VLOOKUP('Données projet'!$B$13,Paramètres!$A$1:$I$89,3,0)*VLOOKUP('Données projet'!$B$13,Paramètres!$A$1:$I$89,5,0)</f>
        <v>392.7977352000002</v>
      </c>
      <c r="CV113" s="13">
        <f t="shared" si="95"/>
        <v>90.314976078445369</v>
      </c>
      <c r="CW113" s="20">
        <f t="shared" si="67"/>
        <v>841.42130547662589</v>
      </c>
      <c r="CX113" s="59">
        <f t="shared" si="68"/>
        <v>1134.7546388099593</v>
      </c>
      <c r="CY113" s="59">
        <f ca="1">AVERAGE(OFFSET($CX$3,0,0,'Données projet'!$E$13+1,1))-AVERAGE(OFFSET($H$3,0,0,'Données projet'!$E$13+1,1))</f>
        <v>502.65044103360322</v>
      </c>
      <c r="CZ113" s="59">
        <f t="shared" si="96"/>
        <v>321.65762891855167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45.056827709236394</v>
      </c>
      <c r="DG113" s="21">
        <f>EXP(-LN(2)/25)*DG112+(1-EXP(-LN(2)/25))/(LN(2)/25)*Calculateur!DB113*Calculateur!DD113*VLOOKUP('Données projet'!$B$13,Paramètres!$A$1:$I$89,3,0)*0.475*44/12</f>
        <v>24.097913296605523</v>
      </c>
      <c r="DH113" s="21">
        <f>EXP(-LN(2)/2)*DH112+(1-EXP(-LN(2)/2))/(LN(2)/2)*DB113*DE113*VLOOKUP('Données projet'!$B$13,Paramètres!$A$1:$I$89,3,0)*0.475*44/12</f>
        <v>4.6354771578449615E-4</v>
      </c>
      <c r="DI113" s="22">
        <f t="shared" si="69"/>
        <v>69.155204553557695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-25.899999999999977</v>
      </c>
      <c r="DP113" s="17">
        <f>DO113*VLOOKUP('Données projet'!$B$14,Paramètres!$A$1:$I$89,3,0)*VLOOKUP('Données projet'!$B$14,Paramètres!$A$1:$I$89,5,0)</f>
        <v>-13.171703999999989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63.94726564348116</v>
      </c>
      <c r="DU113" s="59">
        <f t="shared" si="98"/>
        <v>280.8165028422905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10.463710651423717</v>
      </c>
      <c r="EB113" s="21">
        <f>EXP(-LN(2)/25)*EB112+(1-EXP(-LN(2)/25))/(LN(2)/25)*Calculateur!DW113*Calculateur!DY113*VLOOKUP('Données projet'!$B$14,Paramètres!$A$1:$I$89,3,0)*0.475*44/12</f>
        <v>0.70710205550085381</v>
      </c>
      <c r="EC113" s="21">
        <f>EXP(-LN(2)/2)*EC112+(1-EXP(-LN(2)/2))/(LN(2)/2)*DW113*DZ113*VLOOKUP('Données projet'!$B$14,Paramètres!$A$1:$I$89,3,0)*0.475*44/12</f>
        <v>8.8373426167502252E-14</v>
      </c>
      <c r="ED113" s="22">
        <f t="shared" si="72"/>
        <v>11.170812706924661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-5.9685589803848416E-13</v>
      </c>
      <c r="O114" s="13">
        <f>N114*VLOOKUP('Données projet'!$B$9,Paramètres!$A$1:$I$89,3,0)*VLOOKUP('Données projet'!$B$9,Paramètres!$A$1:$I$89,5,0)</f>
        <v>-3.4140157367801295E-13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294.9631697747962</v>
      </c>
      <c r="T114" s="59">
        <f t="shared" si="88"/>
        <v>202.04924881627716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89.776514023662585</v>
      </c>
      <c r="AA114" s="21">
        <f>EXP(-LN(2)/25)*AA113+(1-EXP(-LN(2)/25))/(LN(2)/25)*Calculateur!V114*Calculateur!X114*VLOOKUP('Données projet'!$B$9,Paramètres!$A$1:$I$89,3,0)*0.475*44/12</f>
        <v>27.079083167221778</v>
      </c>
      <c r="AB114" s="21">
        <f>EXP(-LN(2)/2)*AB113+(1-EXP(-LN(2)/2))/(LN(2)/2)*V114*Y114*VLOOKUP('Données projet'!$B$9,Paramètres!$A$1:$I$89,3,0)*0.475*44/12</f>
        <v>1.9399637658214981</v>
      </c>
      <c r="AC114" s="22">
        <f t="shared" si="57"/>
        <v>118.79556095670587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349.71285006949597</v>
      </c>
      <c r="AO114" s="59">
        <f t="shared" si="90"/>
        <v>258.51550516456842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82.951343029321691</v>
      </c>
      <c r="AV114" s="21">
        <f>EXP(-LN(2)/25)*AV113+(1-EXP(-LN(2)/25))/(LN(2)/25)*Calculateur!AQ114*Calculateur!AS114*VLOOKUP('Données projet'!$B$10,Paramètres!$A$1:$I$89,3,0)*0.475*44/12</f>
        <v>21.907152545581454</v>
      </c>
      <c r="AW114" s="21">
        <f>EXP(-LN(2)/2)*AW113+(1-EXP(-LN(2)/2))/(LN(2)/2)*AQ114*AT114*VLOOKUP('Données projet'!$B$10,Paramètres!$A$1:$I$89,3,0)*0.475*44/12</f>
        <v>1.5260076192468728E-3</v>
      </c>
      <c r="AX114" s="21">
        <f t="shared" si="60"/>
        <v>104.86002158252239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7.5129999999999999</v>
      </c>
      <c r="BD114" s="12">
        <f>IF('Données projet'!$A$88&gt;35,BD113+BC114-BL113,IF(A114&lt;'Données projet'!$A$88,$BA$205^A114,IF(A114='Données projet'!$A$88,'Données projet'!$B$88,BD113+BC114-BL113)))</f>
        <v>341.02400000000034</v>
      </c>
      <c r="BE114" s="13">
        <f>BD114*VLOOKUP('Données projet'!$B$11,Paramètres!$A$1:$I$89,3,0)*VLOOKUP('Données projet'!$B$11,Paramètres!$A$1:$I$89,5,0)</f>
        <v>308.55851520000027</v>
      </c>
      <c r="BF114" s="13">
        <f t="shared" si="91"/>
        <v>72.967709162109642</v>
      </c>
      <c r="BG114" s="20">
        <f t="shared" si="61"/>
        <v>664.4915074306748</v>
      </c>
      <c r="BH114" s="59">
        <f t="shared" si="62"/>
        <v>957.82484076400806</v>
      </c>
      <c r="BI114" s="59">
        <f ca="1">AVERAGE(OFFSET($BH$3,0,0,'Données projet'!$E$11+1,1))-AVERAGE(OFFSET($H$3,0,0,'Données projet'!$E$11+1,1))</f>
        <v>490.06222615476065</v>
      </c>
      <c r="BJ114" s="59">
        <f t="shared" si="92"/>
        <v>310.43914804089906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25.01074191604674</v>
      </c>
      <c r="BQ114" s="21">
        <f>EXP(-LN(2)/25)*BQ113+(1-EXP(-LN(2)/25))/(LN(2)/25)*Calculateur!BL114*Calculateur!BN114*VLOOKUP('Données projet'!$B$11,Paramètres!$A$1:$I$89,3,0)*0.475*44/12</f>
        <v>18.964037507037393</v>
      </c>
      <c r="BR114" s="21">
        <f>EXP(-LN(2)/2)*BR113+(1-EXP(-LN(2)/2))/(LN(2)/2)*BL114*BO114*VLOOKUP('Données projet'!$B$11,Paramètres!$A$1:$I$89,3,0)*0.475*44/12</f>
        <v>0.31054711422781245</v>
      </c>
      <c r="BS114" s="22">
        <f t="shared" si="63"/>
        <v>44.285326537311938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270.94925866666654</v>
      </c>
      <c r="CA114" s="13">
        <f t="shared" si="93"/>
        <v>65.050684766766153</v>
      </c>
      <c r="CB114" s="20">
        <f t="shared" si="64"/>
        <v>585.19990147989529</v>
      </c>
      <c r="CC114" s="59">
        <f t="shared" si="65"/>
        <v>878.53323481322855</v>
      </c>
      <c r="CD114" s="59">
        <f ca="1">AVERAGE(OFFSET($CC$3,0,0,'Données projet'!$E$12+1,1))-AVERAGE(OFFSET($H$3,0,0,'Données projet'!$E$12+1,1))</f>
        <v>510.71380643466227</v>
      </c>
      <c r="CE114" s="59">
        <f t="shared" si="94"/>
        <v>252.40654099948841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10.10556518319216</v>
      </c>
      <c r="CL114" s="21">
        <f>EXP(-LN(2)/25)*CL113+(1-EXP(-LN(2)/25))/(LN(2)/25)*Calculateur!CG114*Calculateur!CI114*VLOOKUP('Données projet'!$B$12,Paramètres!$A$1:$I$89,3,0)*0.475*44/12</f>
        <v>14.015752498061838</v>
      </c>
      <c r="CM114" s="21">
        <f>EXP(-LN(2)/2)*CM113+(1-EXP(-LN(2)/2))/(LN(2)/2)*CG114*CJ114*VLOOKUP('Données projet'!$B$12,Paramètres!$A$1:$I$89,3,0)*0.475*44/12</f>
        <v>0.83366531029158508</v>
      </c>
      <c r="CN114" s="22">
        <f t="shared" si="66"/>
        <v>24.954982991545585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8.7540000000000013</v>
      </c>
      <c r="CT114" s="12">
        <f>IF('Données projet'!$A$140&gt;35,CT113+CS114-DB113,IF(A114&lt;'Données projet'!$A$140,$CQ$205^A114,IF(A114='Données projet'!$A$140,'Données projet'!$B$140,CT113+CS114-DB113)))</f>
        <v>373.67200000000025</v>
      </c>
      <c r="CU114" s="17">
        <f>CT114*VLOOKUP('Données projet'!$B$13,Paramètres!$A$1:$I$89,3,0)*VLOOKUP('Données projet'!$B$13,Paramètres!$A$1:$I$89,5,0)</f>
        <v>402.22054080000021</v>
      </c>
      <c r="CV114" s="13">
        <f t="shared" si="95"/>
        <v>92.2267006422028</v>
      </c>
      <c r="CW114" s="20">
        <f t="shared" si="67"/>
        <v>861.16227884517014</v>
      </c>
      <c r="CX114" s="59">
        <f t="shared" si="68"/>
        <v>1154.4956121785035</v>
      </c>
      <c r="CY114" s="59">
        <f ca="1">AVERAGE(OFFSET($CX$3,0,0,'Données projet'!$E$13+1,1))-AVERAGE(OFFSET($H$3,0,0,'Données projet'!$E$13+1,1))</f>
        <v>502.65044103360322</v>
      </c>
      <c r="CZ114" s="59">
        <f t="shared" si="96"/>
        <v>321.65762891855167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44.173290799809557</v>
      </c>
      <c r="DG114" s="21">
        <f>EXP(-LN(2)/25)*DG113+(1-EXP(-LN(2)/25))/(LN(2)/25)*Calculateur!DB114*Calculateur!DD114*VLOOKUP('Données projet'!$B$13,Paramètres!$A$1:$I$89,3,0)*0.475*44/12</f>
        <v>23.438954590255662</v>
      </c>
      <c r="DH114" s="21">
        <f>EXP(-LN(2)/2)*DH113+(1-EXP(-LN(2)/2))/(LN(2)/2)*DB114*DE114*VLOOKUP('Données projet'!$B$13,Paramètres!$A$1:$I$89,3,0)*0.475*44/12</f>
        <v>3.2777773323475169E-4</v>
      </c>
      <c r="DI114" s="22">
        <f t="shared" si="69"/>
        <v>67.612573167798459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-25.899999999999977</v>
      </c>
      <c r="DP114" s="17">
        <f>DO114*VLOOKUP('Données projet'!$B$14,Paramètres!$A$1:$I$89,3,0)*VLOOKUP('Données projet'!$B$14,Paramètres!$A$1:$I$89,5,0)</f>
        <v>-13.171703999999989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63.94726564348116</v>
      </c>
      <c r="DU114" s="59">
        <f t="shared" si="98"/>
        <v>280.8165028422905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10.258523667782603</v>
      </c>
      <c r="EB114" s="21">
        <f>EXP(-LN(2)/25)*EB113+(1-EXP(-LN(2)/25))/(LN(2)/25)*Calculateur!DW114*Calculateur!DY114*VLOOKUP('Données projet'!$B$14,Paramètres!$A$1:$I$89,3,0)*0.475*44/12</f>
        <v>0.68776631260830201</v>
      </c>
      <c r="EC114" s="21">
        <f>EXP(-LN(2)/2)*EC113+(1-EXP(-LN(2)/2))/(LN(2)/2)*DW114*DZ114*VLOOKUP('Données projet'!$B$14,Paramètres!$A$1:$I$89,3,0)*0.475*44/12</f>
        <v>6.2489448919729527E-14</v>
      </c>
      <c r="ED114" s="22">
        <f t="shared" si="72"/>
        <v>10.946289980390967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-5.9685589803848416E-13</v>
      </c>
      <c r="O115" s="13">
        <f>N115*VLOOKUP('Données projet'!$B$9,Paramètres!$A$1:$I$89,3,0)*VLOOKUP('Données projet'!$B$9,Paramètres!$A$1:$I$89,5,0)</f>
        <v>-3.4140157367801295E-13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294.9631697747962</v>
      </c>
      <c r="T115" s="59">
        <f t="shared" si="88"/>
        <v>202.04924881627716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88.016051341925191</v>
      </c>
      <c r="AA115" s="21">
        <f>EXP(-LN(2)/25)*AA114+(1-EXP(-LN(2)/25))/(LN(2)/25)*Calculateur!V115*Calculateur!X115*VLOOKUP('Données projet'!$B$9,Paramètres!$A$1:$I$89,3,0)*0.475*44/12</f>
        <v>26.338604213987004</v>
      </c>
      <c r="AB115" s="21">
        <f>EXP(-LN(2)/2)*AB114+(1-EXP(-LN(2)/2))/(LN(2)/2)*V115*Y115*VLOOKUP('Données projet'!$B$9,Paramètres!$A$1:$I$89,3,0)*0.475*44/12</f>
        <v>1.3717615340685729</v>
      </c>
      <c r="AC115" s="22">
        <f t="shared" si="57"/>
        <v>115.72641708998076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349.71285006949597</v>
      </c>
      <c r="AO115" s="59">
        <f t="shared" si="90"/>
        <v>258.51550516456842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81.324717787840072</v>
      </c>
      <c r="AV115" s="21">
        <f>EXP(-LN(2)/25)*AV114+(1-EXP(-LN(2)/25))/(LN(2)/25)*Calculateur!AQ115*Calculateur!AS115*VLOOKUP('Données projet'!$B$10,Paramètres!$A$1:$I$89,3,0)*0.475*44/12</f>
        <v>21.308100307175447</v>
      </c>
      <c r="AW115" s="21">
        <f>EXP(-LN(2)/2)*AW114+(1-EXP(-LN(2)/2))/(LN(2)/2)*AQ115*AT115*VLOOKUP('Données projet'!$B$10,Paramètres!$A$1:$I$89,3,0)*0.475*44/12</f>
        <v>1.0790503357118028E-3</v>
      </c>
      <c r="AX115" s="21">
        <f t="shared" si="60"/>
        <v>102.63389714535124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7.5129999999999999</v>
      </c>
      <c r="BD115" s="12">
        <f>IF('Données projet'!$A$88&gt;35,BD114+BC115-BL114,IF(A115&lt;'Données projet'!$A$88,$BA$205^A115,IF(A115='Données projet'!$A$88,'Données projet'!$B$88,BD114+BC115-BL114)))</f>
        <v>348.53700000000032</v>
      </c>
      <c r="BE115" s="13">
        <f>BD115*VLOOKUP('Données projet'!$B$11,Paramètres!$A$1:$I$89,3,0)*VLOOKUP('Données projet'!$B$11,Paramètres!$A$1:$I$89,5,0)</f>
        <v>315.35627760000028</v>
      </c>
      <c r="BF115" s="13">
        <f t="shared" si="91"/>
        <v>74.386316421858538</v>
      </c>
      <c r="BG115" s="20">
        <f t="shared" si="61"/>
        <v>678.80168458807077</v>
      </c>
      <c r="BH115" s="59">
        <f t="shared" si="62"/>
        <v>972.13501792140414</v>
      </c>
      <c r="BI115" s="59">
        <f ca="1">AVERAGE(OFFSET($BH$3,0,0,'Données projet'!$E$11+1,1))-AVERAGE(OFFSET($H$3,0,0,'Données projet'!$E$11+1,1))</f>
        <v>490.06222615476065</v>
      </c>
      <c r="BJ115" s="59">
        <f t="shared" si="92"/>
        <v>310.43914804089906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24.52029652211932</v>
      </c>
      <c r="BQ115" s="21">
        <f>EXP(-LN(2)/25)*BQ114+(1-EXP(-LN(2)/25))/(LN(2)/25)*Calculateur!BL115*Calculateur!BN115*VLOOKUP('Données projet'!$B$11,Paramètres!$A$1:$I$89,3,0)*0.475*44/12</f>
        <v>18.445464904132066</v>
      </c>
      <c r="BR115" s="21">
        <f>EXP(-LN(2)/2)*BR114+(1-EXP(-LN(2)/2))/(LN(2)/2)*BL115*BO115*VLOOKUP('Données projet'!$B$11,Paramètres!$A$1:$I$89,3,0)*0.475*44/12</f>
        <v>0.21958997034839958</v>
      </c>
      <c r="BS115" s="22">
        <f t="shared" si="63"/>
        <v>43.185351396599792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277.60466933333322</v>
      </c>
      <c r="CA115" s="13">
        <f t="shared" si="93"/>
        <v>66.460553816339257</v>
      </c>
      <c r="CB115" s="20">
        <f t="shared" si="64"/>
        <v>599.24693031901279</v>
      </c>
      <c r="CC115" s="59">
        <f t="shared" si="65"/>
        <v>892.58026365234605</v>
      </c>
      <c r="CD115" s="59">
        <f ca="1">AVERAGE(OFFSET($CC$3,0,0,'Données projet'!$E$12+1,1))-AVERAGE(OFFSET($H$3,0,0,'Données projet'!$E$12+1,1))</f>
        <v>510.71380643466227</v>
      </c>
      <c r="CE115" s="59">
        <f t="shared" si="94"/>
        <v>252.40654099948841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9.9074012137359002</v>
      </c>
      <c r="CL115" s="21">
        <f>EXP(-LN(2)/25)*CL114+(1-EXP(-LN(2)/25))/(LN(2)/25)*Calculateur!CG115*Calculateur!CI115*VLOOKUP('Données projet'!$B$12,Paramètres!$A$1:$I$89,3,0)*0.475*44/12</f>
        <v>13.632491008945946</v>
      </c>
      <c r="CM115" s="21">
        <f>EXP(-LN(2)/2)*CM114+(1-EXP(-LN(2)/2))/(LN(2)/2)*CG115*CJ115*VLOOKUP('Données projet'!$B$12,Paramètres!$A$1:$I$89,3,0)*0.475*44/12</f>
        <v>0.58949039414716708</v>
      </c>
      <c r="CN115" s="22">
        <f t="shared" si="66"/>
        <v>24.129382616829012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8.7540000000000013</v>
      </c>
      <c r="CT115" s="12">
        <f>IF('Données projet'!$A$140&gt;35,CT114+CS115-DB114,IF(A115&lt;'Données projet'!$A$140,$CQ$205^A115,IF(A115='Données projet'!$A$140,'Données projet'!$B$140,CT114+CS115-DB114)))</f>
        <v>382.42600000000027</v>
      </c>
      <c r="CU115" s="17">
        <f>CT115*VLOOKUP('Données projet'!$B$13,Paramètres!$A$1:$I$89,3,0)*VLOOKUP('Données projet'!$B$13,Paramètres!$A$1:$I$89,5,0)</f>
        <v>411.64334640000027</v>
      </c>
      <c r="CV115" s="13">
        <f t="shared" si="95"/>
        <v>94.133218725173833</v>
      </c>
      <c r="CW115" s="20">
        <f t="shared" si="67"/>
        <v>880.89418425967813</v>
      </c>
      <c r="CX115" s="59">
        <f t="shared" si="68"/>
        <v>1174.2275175930115</v>
      </c>
      <c r="CY115" s="59">
        <f ca="1">AVERAGE(OFFSET($CX$3,0,0,'Données projet'!$E$13+1,1))-AVERAGE(OFFSET($H$3,0,0,'Données projet'!$E$13+1,1))</f>
        <v>502.65044103360322</v>
      </c>
      <c r="CZ115" s="59">
        <f t="shared" si="96"/>
        <v>321.65762891855167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43.307079510272274</v>
      </c>
      <c r="DG115" s="21">
        <f>EXP(-LN(2)/25)*DG114+(1-EXP(-LN(2)/25))/(LN(2)/25)*Calculateur!DB115*Calculateur!DD115*VLOOKUP('Données projet'!$B$13,Paramètres!$A$1:$I$89,3,0)*0.475*44/12</f>
        <v>22.79801514438407</v>
      </c>
      <c r="DH115" s="21">
        <f>EXP(-LN(2)/2)*DH114+(1-EXP(-LN(2)/2))/(LN(2)/2)*DB115*DE115*VLOOKUP('Données projet'!$B$13,Paramètres!$A$1:$I$89,3,0)*0.475*44/12</f>
        <v>2.3177385789224813E-4</v>
      </c>
      <c r="DI115" s="22">
        <f t="shared" si="69"/>
        <v>66.105326428514232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-25.899999999999977</v>
      </c>
      <c r="DP115" s="17">
        <f>DO115*VLOOKUP('Données projet'!$B$14,Paramètres!$A$1:$I$89,3,0)*VLOOKUP('Données projet'!$B$14,Paramètres!$A$1:$I$89,5,0)</f>
        <v>-13.171703999999989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63.94726564348116</v>
      </c>
      <c r="DU115" s="59">
        <f t="shared" si="98"/>
        <v>280.8165028422905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10.057360275738988</v>
      </c>
      <c r="EB115" s="21">
        <f>EXP(-LN(2)/25)*EB114+(1-EXP(-LN(2)/25))/(LN(2)/25)*Calculateur!DW115*Calculateur!DY115*VLOOKUP('Données projet'!$B$14,Paramètres!$A$1:$I$89,3,0)*0.475*44/12</f>
        <v>0.66895930662196956</v>
      </c>
      <c r="EC115" s="21">
        <f>EXP(-LN(2)/2)*EC114+(1-EXP(-LN(2)/2))/(LN(2)/2)*DW115*DZ115*VLOOKUP('Données projet'!$B$14,Paramètres!$A$1:$I$89,3,0)*0.475*44/12</f>
        <v>4.4186713083751126E-14</v>
      </c>
      <c r="ED115" s="22">
        <f t="shared" si="72"/>
        <v>10.726319582361002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-5.9685589803848416E-13</v>
      </c>
      <c r="O116" s="13">
        <f>N116*VLOOKUP('Données projet'!$B$9,Paramètres!$A$1:$I$89,3,0)*VLOOKUP('Données projet'!$B$9,Paramètres!$A$1:$I$89,5,0)</f>
        <v>-3.4140157367801295E-13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294.9631697747962</v>
      </c>
      <c r="T116" s="59">
        <f t="shared" si="88"/>
        <v>202.04924881627716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86.290110259600453</v>
      </c>
      <c r="AA116" s="21">
        <f>EXP(-LN(2)/25)*AA115+(1-EXP(-LN(2)/25))/(LN(2)/25)*Calculateur!V116*Calculateur!X116*VLOOKUP('Données projet'!$B$9,Paramètres!$A$1:$I$89,3,0)*0.475*44/12</f>
        <v>25.618373696668531</v>
      </c>
      <c r="AB116" s="21">
        <f>EXP(-LN(2)/2)*AB115+(1-EXP(-LN(2)/2))/(LN(2)/2)*V116*Y116*VLOOKUP('Données projet'!$B$9,Paramètres!$A$1:$I$89,3,0)*0.475*44/12</f>
        <v>0.96998188291074927</v>
      </c>
      <c r="AC116" s="22">
        <f t="shared" si="57"/>
        <v>112.87846583917973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349.71285006949597</v>
      </c>
      <c r="AO116" s="59">
        <f t="shared" si="90"/>
        <v>258.51550516456842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79.729989675200471</v>
      </c>
      <c r="AV116" s="21">
        <f>EXP(-LN(2)/25)*AV115+(1-EXP(-LN(2)/25))/(LN(2)/25)*Calculateur!AQ116*Calculateur!AS116*VLOOKUP('Données projet'!$B$10,Paramètres!$A$1:$I$89,3,0)*0.475*44/12</f>
        <v>20.725429183731439</v>
      </c>
      <c r="AW116" s="21">
        <f>EXP(-LN(2)/2)*AW115+(1-EXP(-LN(2)/2))/(LN(2)/2)*AQ116*AT116*VLOOKUP('Données projet'!$B$10,Paramètres!$A$1:$I$89,3,0)*0.475*44/12</f>
        <v>7.6300380962343638E-4</v>
      </c>
      <c r="AX116" s="21">
        <f t="shared" si="60"/>
        <v>100.45618186274153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7.5129999999999999</v>
      </c>
      <c r="BC116" s="12">
        <f t="array" ref="BC116">INDEX(BB:BB,MIN(IF(ISNUMBER(BB116:BB312),ROW(BB116:BB312),"")))</f>
        <v>7.5129999999999999</v>
      </c>
      <c r="BD116" s="12">
        <f>IF('Données projet'!$A$88&gt;35,BD115+BC116-BL115,IF(A116&lt;'Données projet'!$A$88,$BA$205^A116,IF(A116='Données projet'!$A$88,'Données projet'!$B$88,BD115+BC116-BL115)))</f>
        <v>356.0500000000003</v>
      </c>
      <c r="BE116" s="13">
        <f>BD116*VLOOKUP('Données projet'!$B$11,Paramètres!$A$1:$I$89,3,0)*VLOOKUP('Données projet'!$B$11,Paramètres!$A$1:$I$89,5,0)</f>
        <v>322.15404000000024</v>
      </c>
      <c r="BF116" s="13">
        <f t="shared" si="91"/>
        <v>75.801368428867207</v>
      </c>
      <c r="BG116" s="20">
        <f t="shared" si="61"/>
        <v>693.1056696802774</v>
      </c>
      <c r="BH116" s="59">
        <f t="shared" si="62"/>
        <v>986.43900301361077</v>
      </c>
      <c r="BI116" s="59">
        <f ca="1">AVERAGE(OFFSET($BH$3,0,0,'Données projet'!$E$11+1,1))-AVERAGE(OFFSET($H$3,0,0,'Données projet'!$E$11+1,1))</f>
        <v>490.06222615476065</v>
      </c>
      <c r="BJ116" s="59">
        <f t="shared" si="92"/>
        <v>310.43914804089906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45.660000000000025</v>
      </c>
      <c r="BM116" s="16">
        <f>IF(ISNA(VLOOKUP(A116,'Données projet'!$A$87:$I$107,5,0)),0%,VLOOKUP(A116,'Données projet'!$A$87:$I$107,5,0)*VLOOKUP('Données projet'!$B$11,Paramètres!$A$1:$I$89,7,0))</f>
        <v>0.215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33.858622417588407</v>
      </c>
      <c r="BQ116" s="21">
        <f>EXP(-LN(2)/25)*BQ115+(1-EXP(-LN(2)/25))/(LN(2)/25)*Calculateur!BL116*Calculateur!BN116*VLOOKUP('Données projet'!$B$11,Paramètres!$A$1:$I$89,3,0)*0.475*44/12</f>
        <v>21.853269577865508</v>
      </c>
      <c r="BR116" s="21">
        <f>EXP(-LN(2)/2)*BR115+(1-EXP(-LN(2)/2))/(LN(2)/2)*BL116*BO116*VLOOKUP('Données projet'!$B$11,Paramètres!$A$1:$I$89,3,0)*0.475*44/12</f>
        <v>0.15527355711390625</v>
      </c>
      <c r="BS116" s="22">
        <f t="shared" si="63"/>
        <v>55.867165552567819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284.26007999999985</v>
      </c>
      <c r="CA116" s="13">
        <f t="shared" si="93"/>
        <v>67.866493540604594</v>
      </c>
      <c r="CB116" s="20">
        <f t="shared" si="64"/>
        <v>613.28711558321936</v>
      </c>
      <c r="CC116" s="59">
        <f t="shared" si="65"/>
        <v>906.62044891655273</v>
      </c>
      <c r="CD116" s="59">
        <f ca="1">AVERAGE(OFFSET($CC$3,0,0,'Données projet'!$E$12+1,1))-AVERAGE(OFFSET($H$3,0,0,'Données projet'!$E$12+1,1))</f>
        <v>510.71380643466227</v>
      </c>
      <c r="CE116" s="59">
        <f t="shared" si="94"/>
        <v>252.40654099948841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0.1075</v>
      </c>
      <c r="CI116" s="16">
        <f>IF(ISNA(VLOOKUP(A116,'Données projet'!$A$113:$I$133,6,0)),0%,VLOOKUP(A116,'Données projet'!$A$113:$I$133,6,0)*VLOOKUP('Données projet'!$B$12,Paramètres!$A$1:$I$89,7,0))</f>
        <v>0.1075</v>
      </c>
      <c r="CJ116" s="16">
        <f>IF(ISNA(VLOOKUP(A116,'Données projet'!$A$113:$I$133,7,0)),0%,VLOOKUP(A116,'Données projet'!$A$113:$I$133,7,0))</f>
        <v>0.25</v>
      </c>
      <c r="CK116" s="21">
        <f>EXP(-LN(2)/35)*CK115+(1-EXP(-LN(2)/35))/(LN(2)/35)*CG116*CH116*VLOOKUP('Données projet'!$B$12,Paramètres!$A$1:$I$89,3,0)*0.475*44/12</f>
        <v>14.499232099191104</v>
      </c>
      <c r="CL116" s="21">
        <f>EXP(-LN(2)/25)*CL115+(1-EXP(-LN(2)/25))/(LN(2)/25)*Calculateur!CG116*Calculateur!CI116*VLOOKUP('Données projet'!$B$12,Paramètres!$A$1:$I$89,3,0)*0.475*44/12</f>
        <v>18.026974071037202</v>
      </c>
      <c r="CM116" s="21">
        <f>EXP(-LN(2)/2)*CM115+(1-EXP(-LN(2)/2))/(LN(2)/2)*CG116*CJ116*VLOOKUP('Données projet'!$B$12,Paramètres!$A$1:$I$89,3,0)*0.475*44/12</f>
        <v>9.9167824582497008</v>
      </c>
      <c r="CN116" s="22">
        <f t="shared" si="66"/>
        <v>42.442988628478005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391.18</v>
      </c>
      <c r="CR116" s="12">
        <f>VLOOKUP(A116,'Données projet'!$A$139:$I$159,9,0)</f>
        <v>8.7540000000000013</v>
      </c>
      <c r="CS116" s="12">
        <f t="array" ref="CS116">INDEX(CR:CR,MIN(IF(ISNUMBER(CR116:CR312),ROW(CR116:CR312),"")))</f>
        <v>8.7540000000000013</v>
      </c>
      <c r="CT116" s="12">
        <f>IF('Données projet'!$A$140&gt;35,CT115+CS116-DB115,IF(A116&lt;'Données projet'!$A$140,$CQ$205^A116,IF(A116='Données projet'!$A$140,'Données projet'!$B$140,CT115+CS116-DB115)))</f>
        <v>391.18000000000029</v>
      </c>
      <c r="CU116" s="17">
        <f>CT116*VLOOKUP('Données projet'!$B$13,Paramètres!$A$1:$I$89,3,0)*VLOOKUP('Données projet'!$B$13,Paramètres!$A$1:$I$89,5,0)</f>
        <v>421.06615200000027</v>
      </c>
      <c r="CV116" s="13">
        <f t="shared" si="95"/>
        <v>96.034663226272244</v>
      </c>
      <c r="CW116" s="20">
        <f t="shared" si="67"/>
        <v>900.61725318575793</v>
      </c>
      <c r="CX116" s="59">
        <f t="shared" si="68"/>
        <v>1193.9505865190913</v>
      </c>
      <c r="CY116" s="59">
        <f ca="1">AVERAGE(OFFSET($CX$3,0,0,'Données projet'!$E$13+1,1))-AVERAGE(OFFSET($H$3,0,0,'Données projet'!$E$13+1,1))</f>
        <v>502.65044103360322</v>
      </c>
      <c r="CZ116" s="59">
        <f t="shared" si="96"/>
        <v>321.65762891855167</v>
      </c>
      <c r="DA116" s="15">
        <f>IF(ISNA(VLOOKUP(A116,'Données projet'!$A$139:$I$159,3,0)),0,VLOOKUP(A116,'Données projet'!$A$139:$I$159,3,0))</f>
        <v>10</v>
      </c>
      <c r="DB116" s="15">
        <f>IF(ISNA(VLOOKUP(A116,'Données projet'!$A$139:$I$159,4,0)),0,VLOOKUP(A116,'Données projet'!$A$139:$I$159,4,0))</f>
        <v>68.670000000000016</v>
      </c>
      <c r="DC116" s="16">
        <f>IF(ISNA(VLOOKUP(A116,'Données projet'!$A$139:$I$159,5,0)),0%,VLOOKUP(A116,'Données projet'!$A$139:$I$159,5,0)*VLOOKUP('Données projet'!$B$13,Paramètres!$A$1:$I$89,7,0))</f>
        <v>0.215</v>
      </c>
      <c r="DD116" s="16">
        <f>IF(ISNA(VLOOKUP(A116,'Données projet'!$A$139:$I$159,6,0)),0%,VLOOKUP(A116,'Données projet'!$A$139:$I$159,6,0)*VLOOKUP('Données projet'!$B$13,Paramètres!$A$1:$I$89,7,0))</f>
        <v>8.6000000000000007E-2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60.026015257440037</v>
      </c>
      <c r="DG116" s="21">
        <f>EXP(-LN(2)/25)*DG115+(1-EXP(-LN(2)/25))/(LN(2)/25)*Calculateur!DB116*Calculateur!DD116*VLOOKUP('Données projet'!$B$13,Paramètres!$A$1:$I$89,3,0)*0.475*44/12</f>
        <v>29.174197668231898</v>
      </c>
      <c r="DH116" s="21">
        <f>EXP(-LN(2)/2)*DH115+(1-EXP(-LN(2)/2))/(LN(2)/2)*DB116*DE116*VLOOKUP('Données projet'!$B$13,Paramètres!$A$1:$I$89,3,0)*0.475*44/12</f>
        <v>1.6388886661737587E-4</v>
      </c>
      <c r="DI116" s="22">
        <f t="shared" si="69"/>
        <v>89.200376814538558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-25.899999999999977</v>
      </c>
      <c r="DP116" s="17">
        <f>DO116*VLOOKUP('Données projet'!$B$14,Paramètres!$A$1:$I$89,3,0)*VLOOKUP('Données projet'!$B$14,Paramètres!$A$1:$I$89,5,0)</f>
        <v>-13.171703999999989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63.94726564348116</v>
      </c>
      <c r="DU116" s="59">
        <f t="shared" si="98"/>
        <v>280.8165028422905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9.8601415751157955</v>
      </c>
      <c r="EB116" s="21">
        <f>EXP(-LN(2)/25)*EB115+(1-EXP(-LN(2)/25))/(LN(2)/25)*Calculateur!DW116*Calculateur!DY116*VLOOKUP('Données projet'!$B$14,Paramètres!$A$1:$I$89,3,0)*0.475*44/12</f>
        <v>0.6506665792033508</v>
      </c>
      <c r="EC116" s="21">
        <f>EXP(-LN(2)/2)*EC115+(1-EXP(-LN(2)/2))/(LN(2)/2)*DW116*DZ116*VLOOKUP('Données projet'!$B$14,Paramètres!$A$1:$I$89,3,0)*0.475*44/12</f>
        <v>3.1244724459864763E-14</v>
      </c>
      <c r="ED116" s="22">
        <f t="shared" si="72"/>
        <v>10.510808154319179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-5.9685589803848416E-13</v>
      </c>
      <c r="O117" s="13">
        <f>N117*VLOOKUP('Données projet'!$B$9,Paramètres!$A$1:$I$89,3,0)*VLOOKUP('Données projet'!$B$9,Paramètres!$A$1:$I$89,5,0)</f>
        <v>-3.4140157367801295E-13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294.9631697747962</v>
      </c>
      <c r="T117" s="59">
        <f t="shared" si="88"/>
        <v>202.04924881627716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84.59801382917999</v>
      </c>
      <c r="AA117" s="21">
        <f>EXP(-LN(2)/25)*AA116+(1-EXP(-LN(2)/25))/(LN(2)/25)*Calculateur!V117*Calculateur!X117*VLOOKUP('Données projet'!$B$9,Paramètres!$A$1:$I$89,3,0)*0.475*44/12</f>
        <v>24.917837920721407</v>
      </c>
      <c r="AB117" s="21">
        <f>EXP(-LN(2)/2)*AB116+(1-EXP(-LN(2)/2))/(LN(2)/2)*V117*Y117*VLOOKUP('Données projet'!$B$9,Paramètres!$A$1:$I$89,3,0)*0.475*44/12</f>
        <v>0.68588076703428658</v>
      </c>
      <c r="AC117" s="22">
        <f t="shared" si="57"/>
        <v>110.20173251693569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349.71285006949597</v>
      </c>
      <c r="AO117" s="59">
        <f t="shared" si="90"/>
        <v>258.51550516456842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78.166533208161624</v>
      </c>
      <c r="AV117" s="21">
        <f>EXP(-LN(2)/25)*AV116+(1-EXP(-LN(2)/25))/(LN(2)/25)*Calculateur!AQ117*Calculateur!AS117*VLOOKUP('Données projet'!$B$10,Paramètres!$A$1:$I$89,3,0)*0.475*44/12</f>
        <v>20.158691232799352</v>
      </c>
      <c r="AW117" s="21">
        <f>EXP(-LN(2)/2)*AW116+(1-EXP(-LN(2)/2))/(LN(2)/2)*AQ117*AT117*VLOOKUP('Données projet'!$B$10,Paramètres!$A$1:$I$89,3,0)*0.475*44/12</f>
        <v>5.3952516785590139E-4</v>
      </c>
      <c r="AX117" s="21">
        <f t="shared" si="60"/>
        <v>98.325763966128832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7.8516666666666692</v>
      </c>
      <c r="BD117" s="12">
        <f>IF('Données projet'!$A$88&gt;35,BD116+BC117-BL116,IF(A117&lt;'Données projet'!$A$88,$BA$205^A117,IF(A117='Données projet'!$A$88,'Données projet'!$B$88,BD116+BC117-BL116)))</f>
        <v>318.24166666666696</v>
      </c>
      <c r="BE117" s="13">
        <f>BD117*VLOOKUP('Données projet'!$B$11,Paramètres!$A$1:$I$89,3,0)*VLOOKUP('Données projet'!$B$11,Paramètres!$A$1:$I$89,5,0)</f>
        <v>287.94506000000024</v>
      </c>
      <c r="BF117" s="13">
        <f t="shared" si="91"/>
        <v>68.643284503725127</v>
      </c>
      <c r="BG117" s="20">
        <f t="shared" si="61"/>
        <v>621.05803334398831</v>
      </c>
      <c r="BH117" s="59">
        <f t="shared" si="62"/>
        <v>914.39136667732168</v>
      </c>
      <c r="BI117" s="59">
        <f ca="1">AVERAGE(OFFSET($BH$3,0,0,'Données projet'!$E$11+1,1))-AVERAGE(OFFSET($H$3,0,0,'Données projet'!$E$11+1,1))</f>
        <v>490.06222615476065</v>
      </c>
      <c r="BJ117" s="59">
        <f t="shared" si="92"/>
        <v>310.43914804089906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33.194675483699982</v>
      </c>
      <c r="BQ117" s="21">
        <f>EXP(-LN(2)/25)*BQ116+(1-EXP(-LN(2)/25))/(LN(2)/25)*Calculateur!BL117*Calculateur!BN117*VLOOKUP('Données projet'!$B$11,Paramètres!$A$1:$I$89,3,0)*0.475*44/12</f>
        <v>21.255690772045273</v>
      </c>
      <c r="BR117" s="21">
        <f>EXP(-LN(2)/2)*BR116+(1-EXP(-LN(2)/2))/(LN(2)/2)*BL117*BO117*VLOOKUP('Données projet'!$B$11,Paramètres!$A$1:$I$89,3,0)*0.475*44/12</f>
        <v>0.10979498517419981</v>
      </c>
      <c r="BS117" s="22">
        <f t="shared" si="63"/>
        <v>54.560161240919449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250.75734666666656</v>
      </c>
      <c r="CA117" s="13">
        <f t="shared" si="93"/>
        <v>60.748086681617018</v>
      </c>
      <c r="CB117" s="20">
        <f t="shared" si="64"/>
        <v>542.53862974826052</v>
      </c>
      <c r="CC117" s="59">
        <f t="shared" si="65"/>
        <v>835.87196308159378</v>
      </c>
      <c r="CD117" s="59">
        <f ca="1">AVERAGE(OFFSET($CC$3,0,0,'Données projet'!$E$12+1,1))-AVERAGE(OFFSET($H$3,0,0,'Données projet'!$E$12+1,1))</f>
        <v>510.71380643466227</v>
      </c>
      <c r="CE117" s="59">
        <f t="shared" si="94"/>
        <v>252.40654099948841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14.214911001384309</v>
      </c>
      <c r="CL117" s="21">
        <f>EXP(-LN(2)/25)*CL116+(1-EXP(-LN(2)/25))/(LN(2)/25)*Calculateur!CG117*Calculateur!CI117*VLOOKUP('Données projet'!$B$12,Paramètres!$A$1:$I$89,3,0)*0.475*44/12</f>
        <v>17.534025517067324</v>
      </c>
      <c r="CM117" s="21">
        <f>EXP(-LN(2)/2)*CM116+(1-EXP(-LN(2)/2))/(LN(2)/2)*CG117*CJ117*VLOOKUP('Données projet'!$B$12,Paramètres!$A$1:$I$89,3,0)*0.475*44/12</f>
        <v>7.0122241237801646</v>
      </c>
      <c r="CN117" s="22">
        <f t="shared" si="66"/>
        <v>38.7611606422318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8.7019999999999982</v>
      </c>
      <c r="CT117" s="12">
        <f>IF('Données projet'!$A$140&gt;35,CT116+CS117-DB116,IF(A117&lt;'Données projet'!$A$140,$CQ$205^A117,IF(A117='Données projet'!$A$140,'Données projet'!$B$140,CT116+CS117-DB116)))</f>
        <v>331.21200000000027</v>
      </c>
      <c r="CU117" s="17">
        <f>CT117*VLOOKUP('Données projet'!$B$13,Paramètres!$A$1:$I$89,3,0)*VLOOKUP('Données projet'!$B$13,Paramètres!$A$1:$I$89,5,0)</f>
        <v>356.51659680000029</v>
      </c>
      <c r="CV117" s="13">
        <f t="shared" si="95"/>
        <v>82.902902138726972</v>
      </c>
      <c r="CW117" s="20">
        <f t="shared" si="67"/>
        <v>765.32229398494985</v>
      </c>
      <c r="CX117" s="59">
        <f t="shared" si="68"/>
        <v>1058.6556273182832</v>
      </c>
      <c r="CY117" s="59">
        <f ca="1">AVERAGE(OFFSET($CX$3,0,0,'Données projet'!$E$13+1,1))-AVERAGE(OFFSET($H$3,0,0,'Données projet'!$E$13+1,1))</f>
        <v>502.65044103360322</v>
      </c>
      <c r="CZ117" s="59">
        <f t="shared" si="96"/>
        <v>321.65762891855167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58.848941710495787</v>
      </c>
      <c r="DG117" s="21">
        <f>EXP(-LN(2)/25)*DG116+(1-EXP(-LN(2)/25))/(LN(2)/25)*Calculateur!DB117*Calculateur!DD117*VLOOKUP('Données projet'!$B$13,Paramètres!$A$1:$I$89,3,0)*0.475*44/12</f>
        <v>28.376427698789719</v>
      </c>
      <c r="DH117" s="21">
        <f>EXP(-LN(2)/2)*DH116+(1-EXP(-LN(2)/2))/(LN(2)/2)*DB117*DE117*VLOOKUP('Données projet'!$B$13,Paramètres!$A$1:$I$89,3,0)*0.475*44/12</f>
        <v>1.1588692894612408E-4</v>
      </c>
      <c r="DI117" s="22">
        <f t="shared" si="69"/>
        <v>87.225485296214458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-25.899999999999977</v>
      </c>
      <c r="DP117" s="17">
        <f>DO117*VLOOKUP('Données projet'!$B$14,Paramètres!$A$1:$I$89,3,0)*VLOOKUP('Données projet'!$B$14,Paramètres!$A$1:$I$89,5,0)</f>
        <v>-13.171703999999989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63.94726564348116</v>
      </c>
      <c r="DU117" s="59">
        <f t="shared" si="98"/>
        <v>280.8165028422905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9.6667902129202936</v>
      </c>
      <c r="EB117" s="21">
        <f>EXP(-LN(2)/25)*EB116+(1-EXP(-LN(2)/25))/(LN(2)/25)*Calculateur!DW117*Calculateur!DY117*VLOOKUP('Données projet'!$B$14,Paramètres!$A$1:$I$89,3,0)*0.475*44/12</f>
        <v>0.63287406737796692</v>
      </c>
      <c r="EC117" s="21">
        <f>EXP(-LN(2)/2)*EC116+(1-EXP(-LN(2)/2))/(LN(2)/2)*DW117*DZ117*VLOOKUP('Données projet'!$B$14,Paramètres!$A$1:$I$89,3,0)*0.475*44/12</f>
        <v>2.2093356541875563E-14</v>
      </c>
      <c r="ED117" s="22">
        <f t="shared" si="72"/>
        <v>10.299664280298282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-5.9685589803848416E-13</v>
      </c>
      <c r="O118" s="13">
        <f>N118*VLOOKUP('Données projet'!$B$9,Paramètres!$A$1:$I$89,3,0)*VLOOKUP('Données projet'!$B$9,Paramètres!$A$1:$I$89,5,0)</f>
        <v>-3.4140157367801295E-13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294.9631697747962</v>
      </c>
      <c r="T118" s="59">
        <f t="shared" si="88"/>
        <v>202.04924881627716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82.939098377683166</v>
      </c>
      <c r="AA118" s="21">
        <f>EXP(-LN(2)/25)*AA117+(1-EXP(-LN(2)/25))/(LN(2)/25)*Calculateur!V118*Calculateur!X118*VLOOKUP('Données projet'!$B$9,Paramètres!$A$1:$I$89,3,0)*0.475*44/12</f>
        <v>24.236458332407135</v>
      </c>
      <c r="AB118" s="21">
        <f>EXP(-LN(2)/2)*AB117+(1-EXP(-LN(2)/2))/(LN(2)/2)*V118*Y118*VLOOKUP('Données projet'!$B$9,Paramètres!$A$1:$I$89,3,0)*0.475*44/12</f>
        <v>0.48499094145537469</v>
      </c>
      <c r="AC118" s="22">
        <f t="shared" si="57"/>
        <v>107.66054765154568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349.71285006949597</v>
      </c>
      <c r="AO118" s="59">
        <f t="shared" si="90"/>
        <v>258.51550516456842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76.63373516882713</v>
      </c>
      <c r="AV118" s="21">
        <f>EXP(-LN(2)/25)*AV117+(1-EXP(-LN(2)/25))/(LN(2)/25)*Calculateur!AQ118*Calculateur!AS118*VLOOKUP('Données projet'!$B$10,Paramètres!$A$1:$I$89,3,0)*0.475*44/12</f>
        <v>19.607450760938956</v>
      </c>
      <c r="AW118" s="21">
        <f>EXP(-LN(2)/2)*AW117+(1-EXP(-LN(2)/2))/(LN(2)/2)*AQ118*AT118*VLOOKUP('Données projet'!$B$10,Paramètres!$A$1:$I$89,3,0)*0.475*44/12</f>
        <v>3.8150190481171819E-4</v>
      </c>
      <c r="AX118" s="21">
        <f t="shared" si="60"/>
        <v>96.241567431670902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7.8516666666666692</v>
      </c>
      <c r="BD118" s="12">
        <f>IF('Données projet'!$A$88&gt;35,BD117+BC118-BL117,IF(A118&lt;'Données projet'!$A$88,$BA$205^A118,IF(A118='Données projet'!$A$88,'Données projet'!$B$88,BD117+BC118-BL117)))</f>
        <v>326.09333333333365</v>
      </c>
      <c r="BE118" s="13">
        <f>BD118*VLOOKUP('Données projet'!$B$11,Paramètres!$A$1:$I$89,3,0)*VLOOKUP('Données projet'!$B$11,Paramètres!$A$1:$I$89,5,0)</f>
        <v>295.04924800000026</v>
      </c>
      <c r="BF118" s="13">
        <f t="shared" si="91"/>
        <v>70.13759270458003</v>
      </c>
      <c r="BG118" s="20">
        <f t="shared" si="61"/>
        <v>636.03374756047731</v>
      </c>
      <c r="BH118" s="59">
        <f t="shared" si="62"/>
        <v>929.36708089381068</v>
      </c>
      <c r="BI118" s="59">
        <f ca="1">AVERAGE(OFFSET($BH$3,0,0,'Données projet'!$E$11+1,1))-AVERAGE(OFFSET($H$3,0,0,'Données projet'!$E$11+1,1))</f>
        <v>490.06222615476065</v>
      </c>
      <c r="BJ118" s="59">
        <f t="shared" si="92"/>
        <v>310.43914804089906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32.543748144217467</v>
      </c>
      <c r="BQ118" s="21">
        <f>EXP(-LN(2)/25)*BQ117+(1-EXP(-LN(2)/25))/(LN(2)/25)*Calculateur!BL118*Calculateur!BN118*VLOOKUP('Données projet'!$B$11,Paramètres!$A$1:$I$89,3,0)*0.475*44/12</f>
        <v>20.674452790095497</v>
      </c>
      <c r="BR118" s="21">
        <f>EXP(-LN(2)/2)*BR117+(1-EXP(-LN(2)/2))/(LN(2)/2)*BL118*BO118*VLOOKUP('Données projet'!$B$11,Paramètres!$A$1:$I$89,3,0)*0.475*44/12</f>
        <v>7.763677855695314E-2</v>
      </c>
      <c r="BS118" s="22">
        <f t="shared" si="63"/>
        <v>53.295837712869911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257.52882133333327</v>
      </c>
      <c r="CA118" s="13">
        <f t="shared" si="93"/>
        <v>62.195330109146276</v>
      </c>
      <c r="CB118" s="20">
        <f t="shared" si="64"/>
        <v>556.85289709565188</v>
      </c>
      <c r="CC118" s="59">
        <f t="shared" si="65"/>
        <v>850.18623042898525</v>
      </c>
      <c r="CD118" s="59">
        <f ca="1">AVERAGE(OFFSET($CC$3,0,0,'Données projet'!$E$12+1,1))-AVERAGE(OFFSET($H$3,0,0,'Données projet'!$E$12+1,1))</f>
        <v>510.71380643466227</v>
      </c>
      <c r="CE118" s="59">
        <f t="shared" si="94"/>
        <v>252.40654099948841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13.936165266886759</v>
      </c>
      <c r="CL118" s="21">
        <f>EXP(-LN(2)/25)*CL117+(1-EXP(-LN(2)/25))/(LN(2)/25)*Calculateur!CG118*Calculateur!CI118*VLOOKUP('Données projet'!$B$12,Paramètres!$A$1:$I$89,3,0)*0.475*44/12</f>
        <v>17.054556667228791</v>
      </c>
      <c r="CM118" s="21">
        <f>EXP(-LN(2)/2)*CM117+(1-EXP(-LN(2)/2))/(LN(2)/2)*CG118*CJ118*VLOOKUP('Données projet'!$B$12,Paramètres!$A$1:$I$89,3,0)*0.475*44/12</f>
        <v>4.9583912291248513</v>
      </c>
      <c r="CN118" s="22">
        <f t="shared" si="66"/>
        <v>35.949113163240398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8.7019999999999982</v>
      </c>
      <c r="CT118" s="12">
        <f>IF('Données projet'!$A$140&gt;35,CT117+CS118-DB117,IF(A118&lt;'Données projet'!$A$140,$CQ$205^A118,IF(A118='Données projet'!$A$140,'Données projet'!$B$140,CT117+CS118-DB117)))</f>
        <v>339.91400000000027</v>
      </c>
      <c r="CU118" s="17">
        <f>CT118*VLOOKUP('Données projet'!$B$13,Paramètres!$A$1:$I$89,3,0)*VLOOKUP('Données projet'!$B$13,Paramètres!$A$1:$I$89,5,0)</f>
        <v>365.88342960000028</v>
      </c>
      <c r="CV118" s="13">
        <f t="shared" si="95"/>
        <v>84.824578653678017</v>
      </c>
      <c r="CW118" s="20">
        <f t="shared" si="67"/>
        <v>784.98311437515633</v>
      </c>
      <c r="CX118" s="59">
        <f t="shared" si="68"/>
        <v>1078.3164477084897</v>
      </c>
      <c r="CY118" s="59">
        <f ca="1">AVERAGE(OFFSET($CX$3,0,0,'Données projet'!$E$13+1,1))-AVERAGE(OFFSET($H$3,0,0,'Données projet'!$E$13+1,1))</f>
        <v>502.65044103360322</v>
      </c>
      <c r="CZ118" s="59">
        <f t="shared" si="96"/>
        <v>321.65762891855167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57.694949857863136</v>
      </c>
      <c r="DG118" s="21">
        <f>EXP(-LN(2)/25)*DG117+(1-EXP(-LN(2)/25))/(LN(2)/25)*Calculateur!DB118*Calculateur!DD118*VLOOKUP('Données projet'!$B$13,Paramètres!$A$1:$I$89,3,0)*0.475*44/12</f>
        <v>27.600472791114836</v>
      </c>
      <c r="DH118" s="21">
        <f>EXP(-LN(2)/2)*DH117+(1-EXP(-LN(2)/2))/(LN(2)/2)*DB118*DE118*VLOOKUP('Données projet'!$B$13,Paramètres!$A$1:$I$89,3,0)*0.475*44/12</f>
        <v>8.1944433308687949E-5</v>
      </c>
      <c r="DI118" s="22">
        <f t="shared" si="69"/>
        <v>85.29550459341128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-25.899999999999977</v>
      </c>
      <c r="DP118" s="17">
        <f>DO118*VLOOKUP('Données projet'!$B$14,Paramètres!$A$1:$I$89,3,0)*VLOOKUP('Données projet'!$B$14,Paramètres!$A$1:$I$89,5,0)</f>
        <v>-13.171703999999989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63.94726564348116</v>
      </c>
      <c r="DU118" s="59">
        <f t="shared" si="98"/>
        <v>280.8165028422905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9.4772303530047584</v>
      </c>
      <c r="EB118" s="21">
        <f>EXP(-LN(2)/25)*EB117+(1-EXP(-LN(2)/25))/(LN(2)/25)*Calculateur!DW118*Calculateur!DY118*VLOOKUP('Données projet'!$B$14,Paramètres!$A$1:$I$89,3,0)*0.475*44/12</f>
        <v>0.61556809272411561</v>
      </c>
      <c r="EC118" s="21">
        <f>EXP(-LN(2)/2)*EC117+(1-EXP(-LN(2)/2))/(LN(2)/2)*DW118*DZ118*VLOOKUP('Données projet'!$B$14,Paramètres!$A$1:$I$89,3,0)*0.475*44/12</f>
        <v>1.5622362229932382E-14</v>
      </c>
      <c r="ED118" s="22">
        <f t="shared" si="72"/>
        <v>10.09279844572889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-5.9685589803848416E-13</v>
      </c>
      <c r="O119" s="13">
        <f>N119*VLOOKUP('Données projet'!$B$9,Paramètres!$A$1:$I$89,3,0)*VLOOKUP('Données projet'!$B$9,Paramètres!$A$1:$I$89,5,0)</f>
        <v>-3.4140157367801295E-13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294.9631697747962</v>
      </c>
      <c r="T119" s="59">
        <f t="shared" si="88"/>
        <v>202.04924881627716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81.312713246351677</v>
      </c>
      <c r="AA119" s="21">
        <f>EXP(-LN(2)/25)*AA118+(1-EXP(-LN(2)/25))/(LN(2)/25)*Calculateur!V119*Calculateur!X119*VLOOKUP('Données projet'!$B$9,Paramètres!$A$1:$I$89,3,0)*0.475*44/12</f>
        <v>23.573711104767511</v>
      </c>
      <c r="AB119" s="21">
        <f>EXP(-LN(2)/2)*AB118+(1-EXP(-LN(2)/2))/(LN(2)/2)*V119*Y119*VLOOKUP('Données projet'!$B$9,Paramètres!$A$1:$I$89,3,0)*0.475*44/12</f>
        <v>0.34294038351714334</v>
      </c>
      <c r="AC119" s="22">
        <f t="shared" si="57"/>
        <v>105.22936473463633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349.71285006949597</v>
      </c>
      <c r="AO119" s="59">
        <f t="shared" si="90"/>
        <v>258.51550516456842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75.130994364129492</v>
      </c>
      <c r="AV119" s="21">
        <f>EXP(-LN(2)/25)*AV118+(1-EXP(-LN(2)/25))/(LN(2)/25)*Calculateur!AQ119*Calculateur!AS119*VLOOKUP('Données projet'!$B$10,Paramètres!$A$1:$I$89,3,0)*0.475*44/12</f>
        <v>19.071283988770059</v>
      </c>
      <c r="AW119" s="21">
        <f>EXP(-LN(2)/2)*AW118+(1-EXP(-LN(2)/2))/(LN(2)/2)*AQ119*AT119*VLOOKUP('Données projet'!$B$10,Paramètres!$A$1:$I$89,3,0)*0.475*44/12</f>
        <v>2.6976258392795069E-4</v>
      </c>
      <c r="AX119" s="21">
        <f t="shared" si="60"/>
        <v>94.202548115483481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7.8516666666666692</v>
      </c>
      <c r="BD119" s="12">
        <f>IF('Données projet'!$A$88&gt;35,BD118+BC119-BL118,IF(A119&lt;'Données projet'!$A$88,$BA$205^A119,IF(A119='Données projet'!$A$88,'Données projet'!$B$88,BD118+BC119-BL118)))</f>
        <v>333.94500000000033</v>
      </c>
      <c r="BE119" s="13">
        <f>BD119*VLOOKUP('Données projet'!$B$11,Paramètres!$A$1:$I$89,3,0)*VLOOKUP('Données projet'!$B$11,Paramètres!$A$1:$I$89,5,0)</f>
        <v>302.15343600000028</v>
      </c>
      <c r="BF119" s="13">
        <f t="shared" si="91"/>
        <v>71.627718279800249</v>
      </c>
      <c r="BG119" s="20">
        <f t="shared" si="61"/>
        <v>651.00217703731926</v>
      </c>
      <c r="BH119" s="59">
        <f t="shared" si="62"/>
        <v>944.33551037065263</v>
      </c>
      <c r="BI119" s="59">
        <f ca="1">AVERAGE(OFFSET($BH$3,0,0,'Données projet'!$E$11+1,1))-AVERAGE(OFFSET($H$3,0,0,'Données projet'!$E$11+1,1))</f>
        <v>490.06222615476065</v>
      </c>
      <c r="BJ119" s="59">
        <f t="shared" si="92"/>
        <v>310.43914804089906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31.905585092835732</v>
      </c>
      <c r="BQ119" s="21">
        <f>EXP(-LN(2)/25)*BQ118+(1-EXP(-LN(2)/25))/(LN(2)/25)*Calculateur!BL119*Calculateur!BN119*VLOOKUP('Données projet'!$B$11,Paramètres!$A$1:$I$89,3,0)*0.475*44/12</f>
        <v>20.109108791328115</v>
      </c>
      <c r="BR119" s="21">
        <f>EXP(-LN(2)/2)*BR118+(1-EXP(-LN(2)/2))/(LN(2)/2)*BL119*BO119*VLOOKUP('Données projet'!$B$11,Paramètres!$A$1:$I$89,3,0)*0.475*44/12</f>
        <v>5.4897492587099909E-2</v>
      </c>
      <c r="BS119" s="22">
        <f t="shared" si="63"/>
        <v>52.06959137675095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264.30029599999995</v>
      </c>
      <c r="CA119" s="13">
        <f t="shared" si="93"/>
        <v>63.638150297391014</v>
      </c>
      <c r="CB119" s="20">
        <f t="shared" si="64"/>
        <v>571.15946063462252</v>
      </c>
      <c r="CC119" s="59">
        <f t="shared" si="65"/>
        <v>864.49279396795578</v>
      </c>
      <c r="CD119" s="59">
        <f ca="1">AVERAGE(OFFSET($CC$3,0,0,'Données projet'!$E$12+1,1))-AVERAGE(OFFSET($H$3,0,0,'Données projet'!$E$12+1,1))</f>
        <v>510.71380643466227</v>
      </c>
      <c r="CE119" s="59">
        <f t="shared" si="94"/>
        <v>252.40654099948841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13.662885566224595</v>
      </c>
      <c r="CL119" s="21">
        <f>EXP(-LN(2)/25)*CL118+(1-EXP(-LN(2)/25))/(LN(2)/25)*Calculateur!CG119*Calculateur!CI119*VLOOKUP('Données projet'!$B$12,Paramètres!$A$1:$I$89,3,0)*0.475*44/12</f>
        <v>16.588198918303263</v>
      </c>
      <c r="CM119" s="21">
        <f>EXP(-LN(2)/2)*CM118+(1-EXP(-LN(2)/2))/(LN(2)/2)*CG119*CJ119*VLOOKUP('Données projet'!$B$12,Paramètres!$A$1:$I$89,3,0)*0.475*44/12</f>
        <v>3.5061120618900827</v>
      </c>
      <c r="CN119" s="22">
        <f t="shared" si="66"/>
        <v>33.757196546417944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8.7019999999999982</v>
      </c>
      <c r="CT119" s="12">
        <f>IF('Données projet'!$A$140&gt;35,CT118+CS119-DB118,IF(A119&lt;'Données projet'!$A$140,$CQ$205^A119,IF(A119='Données projet'!$A$140,'Données projet'!$B$140,CT118+CS119-DB118)))</f>
        <v>348.61600000000027</v>
      </c>
      <c r="CU119" s="17">
        <f>CT119*VLOOKUP('Données projet'!$B$13,Paramètres!$A$1:$I$89,3,0)*VLOOKUP('Données projet'!$B$13,Paramètres!$A$1:$I$89,5,0)</f>
        <v>375.25026240000028</v>
      </c>
      <c r="CV119" s="13">
        <f t="shared" si="95"/>
        <v>86.740536610933873</v>
      </c>
      <c r="CW119" s="20">
        <f t="shared" si="67"/>
        <v>804.63397494404364</v>
      </c>
      <c r="CX119" s="59">
        <f t="shared" si="68"/>
        <v>1097.967308277377</v>
      </c>
      <c r="CY119" s="59">
        <f ca="1">AVERAGE(OFFSET($CX$3,0,0,'Données projet'!$E$13+1,1))-AVERAGE(OFFSET($H$3,0,0,'Données projet'!$E$13+1,1))</f>
        <v>502.65044103360322</v>
      </c>
      <c r="CZ119" s="59">
        <f t="shared" si="96"/>
        <v>321.65762891855167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56.563587081595088</v>
      </c>
      <c r="DG119" s="21">
        <f>EXP(-LN(2)/25)*DG118+(1-EXP(-LN(2)/25))/(LN(2)/25)*Calculateur!DB119*Calculateur!DD119*VLOOKUP('Données projet'!$B$13,Paramètres!$A$1:$I$89,3,0)*0.475*44/12</f>
        <v>26.845736411196018</v>
      </c>
      <c r="DH119" s="21">
        <f>EXP(-LN(2)/2)*DH118+(1-EXP(-LN(2)/2))/(LN(2)/2)*DB119*DE119*VLOOKUP('Données projet'!$B$13,Paramètres!$A$1:$I$89,3,0)*0.475*44/12</f>
        <v>5.7943464473062053E-5</v>
      </c>
      <c r="DI119" s="22">
        <f t="shared" si="69"/>
        <v>83.409381436255572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-25.899999999999977</v>
      </c>
      <c r="DP119" s="17">
        <f>DO119*VLOOKUP('Données projet'!$B$14,Paramètres!$A$1:$I$89,3,0)*VLOOKUP('Données projet'!$B$14,Paramètres!$A$1:$I$89,5,0)</f>
        <v>-13.171703999999989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63.94726564348116</v>
      </c>
      <c r="DU119" s="59">
        <f t="shared" si="98"/>
        <v>280.8165028422905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9.2913876463220699</v>
      </c>
      <c r="EB119" s="21">
        <f>EXP(-LN(2)/25)*EB118+(1-EXP(-LN(2)/25))/(LN(2)/25)*Calculateur!DW119*Calculateur!DY119*VLOOKUP('Données projet'!$B$14,Paramètres!$A$1:$I$89,3,0)*0.475*44/12</f>
        <v>0.5987353508572556</v>
      </c>
      <c r="EC119" s="21">
        <f>EXP(-LN(2)/2)*EC118+(1-EXP(-LN(2)/2))/(LN(2)/2)*DW119*DZ119*VLOOKUP('Données projet'!$B$14,Paramètres!$A$1:$I$89,3,0)*0.475*44/12</f>
        <v>1.1046678270937781E-14</v>
      </c>
      <c r="ED119" s="22">
        <f t="shared" si="72"/>
        <v>9.8901229971793363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-5.9685589803848416E-13</v>
      </c>
      <c r="O120" s="13">
        <f>N120*VLOOKUP('Données projet'!$B$9,Paramètres!$A$1:$I$89,3,0)*VLOOKUP('Données projet'!$B$9,Paramètres!$A$1:$I$89,5,0)</f>
        <v>-3.4140157367801295E-13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294.9631697747962</v>
      </c>
      <c r="T120" s="59">
        <f t="shared" si="88"/>
        <v>202.04924881627716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79.718220535448623</v>
      </c>
      <c r="AA120" s="21">
        <f>EXP(-LN(2)/25)*AA119+(1-EXP(-LN(2)/25))/(LN(2)/25)*Calculateur!V120*Calculateur!X120*VLOOKUP('Données projet'!$B$9,Paramètres!$A$1:$I$89,3,0)*0.475*44/12</f>
        <v>22.929086734920055</v>
      </c>
      <c r="AB120" s="21">
        <f>EXP(-LN(2)/2)*AB119+(1-EXP(-LN(2)/2))/(LN(2)/2)*V120*Y120*VLOOKUP('Données projet'!$B$9,Paramètres!$A$1:$I$89,3,0)*0.475*44/12</f>
        <v>0.24249547072768737</v>
      </c>
      <c r="AC120" s="22">
        <f t="shared" si="57"/>
        <v>102.88980274109637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349.71285006949597</v>
      </c>
      <c r="AO120" s="59">
        <f t="shared" si="90"/>
        <v>258.51550516456842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73.657721390030588</v>
      </c>
      <c r="AV120" s="21">
        <f>EXP(-LN(2)/25)*AV119+(1-EXP(-LN(2)/25))/(LN(2)/25)*Calculateur!AQ120*Calculateur!AS120*VLOOKUP('Données projet'!$B$10,Paramètres!$A$1:$I$89,3,0)*0.475*44/12</f>
        <v>18.549778725181906</v>
      </c>
      <c r="AW120" s="21">
        <f>EXP(-LN(2)/2)*AW119+(1-EXP(-LN(2)/2))/(LN(2)/2)*AQ120*AT120*VLOOKUP('Données projet'!$B$10,Paramètres!$A$1:$I$89,3,0)*0.475*44/12</f>
        <v>1.907509524058591E-4</v>
      </c>
      <c r="AX120" s="21">
        <f t="shared" si="60"/>
        <v>92.207690866164896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7.8516666666666692</v>
      </c>
      <c r="BD120" s="12">
        <f>IF('Données projet'!$A$88&gt;35,BD119+BC120-BL119,IF(A120&lt;'Données projet'!$A$88,$BA$205^A120,IF(A120='Données projet'!$A$88,'Données projet'!$B$88,BD119+BC120-BL119)))</f>
        <v>341.79666666666702</v>
      </c>
      <c r="BE120" s="13">
        <f>BD120*VLOOKUP('Données projet'!$B$11,Paramètres!$A$1:$I$89,3,0)*VLOOKUP('Données projet'!$B$11,Paramètres!$A$1:$I$89,5,0)</f>
        <v>309.25762400000031</v>
      </c>
      <c r="BF120" s="13">
        <f t="shared" si="91"/>
        <v>73.113770887931139</v>
      </c>
      <c r="BG120" s="20">
        <f t="shared" si="61"/>
        <v>665.96351276314715</v>
      </c>
      <c r="BH120" s="59">
        <f t="shared" si="62"/>
        <v>959.29684609648052</v>
      </c>
      <c r="BI120" s="59">
        <f ca="1">AVERAGE(OFFSET($BH$3,0,0,'Données projet'!$E$11+1,1))-AVERAGE(OFFSET($H$3,0,0,'Données projet'!$E$11+1,1))</f>
        <v>490.06222615476065</v>
      </c>
      <c r="BJ120" s="59">
        <f t="shared" si="92"/>
        <v>310.43914804089906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31.279936029650568</v>
      </c>
      <c r="BQ120" s="21">
        <f>EXP(-LN(2)/25)*BQ119+(1-EXP(-LN(2)/25))/(LN(2)/25)*Calculateur!BL120*Calculateur!BN120*VLOOKUP('Données projet'!$B$11,Paramètres!$A$1:$I$89,3,0)*0.475*44/12</f>
        <v>19.559224153937176</v>
      </c>
      <c r="BR120" s="21">
        <f>EXP(-LN(2)/2)*BR119+(1-EXP(-LN(2)/2))/(LN(2)/2)*BL120*BO120*VLOOKUP('Données projet'!$B$11,Paramètres!$A$1:$I$89,3,0)*0.475*44/12</f>
        <v>3.881838927847657E-2</v>
      </c>
      <c r="BS120" s="22">
        <f t="shared" si="63"/>
        <v>50.877978572866219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271.07177066666662</v>
      </c>
      <c r="CA120" s="13">
        <f t="shared" si="93"/>
        <v>65.076673601984467</v>
      </c>
      <c r="CB120" s="20">
        <f t="shared" si="64"/>
        <v>585.45854043456723</v>
      </c>
      <c r="CC120" s="59">
        <f t="shared" si="65"/>
        <v>878.7918737679006</v>
      </c>
      <c r="CD120" s="59">
        <f ca="1">AVERAGE(OFFSET($CC$3,0,0,'Données projet'!$E$12+1,1))-AVERAGE(OFFSET($H$3,0,0,'Données projet'!$E$12+1,1))</f>
        <v>510.71380643466227</v>
      </c>
      <c r="CE120" s="59">
        <f t="shared" si="94"/>
        <v>252.40654099948841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13.394964713808259</v>
      </c>
      <c r="CL120" s="21">
        <f>EXP(-LN(2)/25)*CL119+(1-EXP(-LN(2)/25))/(LN(2)/25)*Calculateur!CG120*Calculateur!CI120*VLOOKUP('Données projet'!$B$12,Paramètres!$A$1:$I$89,3,0)*0.475*44/12</f>
        <v>16.134593746546791</v>
      </c>
      <c r="CM120" s="21">
        <f>EXP(-LN(2)/2)*CM119+(1-EXP(-LN(2)/2))/(LN(2)/2)*CG120*CJ120*VLOOKUP('Données projet'!$B$12,Paramètres!$A$1:$I$89,3,0)*0.475*44/12</f>
        <v>2.4791956145624257</v>
      </c>
      <c r="CN120" s="22">
        <f t="shared" si="66"/>
        <v>32.008754074917476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8.7019999999999982</v>
      </c>
      <c r="CT120" s="12">
        <f>IF('Données projet'!$A$140&gt;35,CT119+CS120-DB119,IF(A120&lt;'Données projet'!$A$140,$CQ$205^A120,IF(A120='Données projet'!$A$140,'Données projet'!$B$140,CT119+CS120-DB119)))</f>
        <v>357.31800000000027</v>
      </c>
      <c r="CU120" s="17">
        <f>CT120*VLOOKUP('Données projet'!$B$13,Paramètres!$A$1:$I$89,3,0)*VLOOKUP('Données projet'!$B$13,Paramètres!$A$1:$I$89,5,0)</f>
        <v>384.61709520000028</v>
      </c>
      <c r="CV120" s="13">
        <f t="shared" si="95"/>
        <v>88.650935172194906</v>
      </c>
      <c r="CW120" s="20">
        <f t="shared" si="67"/>
        <v>824.27515289823998</v>
      </c>
      <c r="CX120" s="59">
        <f t="shared" si="68"/>
        <v>1117.6084862315734</v>
      </c>
      <c r="CY120" s="59">
        <f ca="1">AVERAGE(OFFSET($CX$3,0,0,'Données projet'!$E$13+1,1))-AVERAGE(OFFSET($H$3,0,0,'Données projet'!$E$13+1,1))</f>
        <v>502.65044103360322</v>
      </c>
      <c r="CZ120" s="59">
        <f t="shared" si="96"/>
        <v>321.65762891855167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55.454409639306498</v>
      </c>
      <c r="DG120" s="21">
        <f>EXP(-LN(2)/25)*DG119+(1-EXP(-LN(2)/25))/(LN(2)/25)*Calculateur!DB120*Calculateur!DD120*VLOOKUP('Données projet'!$B$13,Paramètres!$A$1:$I$89,3,0)*0.475*44/12</f>
        <v>26.111638337275942</v>
      </c>
      <c r="DH120" s="21">
        <f>EXP(-LN(2)/2)*DH119+(1-EXP(-LN(2)/2))/(LN(2)/2)*DB120*DE120*VLOOKUP('Données projet'!$B$13,Paramètres!$A$1:$I$89,3,0)*0.475*44/12</f>
        <v>4.0972216654343981E-5</v>
      </c>
      <c r="DI120" s="22">
        <f t="shared" si="69"/>
        <v>81.566088948799091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-25.899999999999977</v>
      </c>
      <c r="DP120" s="17">
        <f>DO120*VLOOKUP('Données projet'!$B$14,Paramètres!$A$1:$I$89,3,0)*VLOOKUP('Données projet'!$B$14,Paramètres!$A$1:$I$89,5,0)</f>
        <v>-13.171703999999989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63.94726564348116</v>
      </c>
      <c r="DU120" s="59">
        <f t="shared" si="98"/>
        <v>280.8165028422905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9.1091892017645701</v>
      </c>
      <c r="EB120" s="21">
        <f>EXP(-LN(2)/25)*EB119+(1-EXP(-LN(2)/25))/(LN(2)/25)*Calculateur!DW120*Calculateur!DY120*VLOOKUP('Données projet'!$B$14,Paramètres!$A$1:$I$89,3,0)*0.475*44/12</f>
        <v>0.58236290120194023</v>
      </c>
      <c r="EC120" s="21">
        <f>EXP(-LN(2)/2)*EC119+(1-EXP(-LN(2)/2))/(LN(2)/2)*DW120*DZ120*VLOOKUP('Données projet'!$B$14,Paramètres!$A$1:$I$89,3,0)*0.475*44/12</f>
        <v>7.8111811149661908E-15</v>
      </c>
      <c r="ED120" s="22">
        <f t="shared" si="72"/>
        <v>9.6915521029665168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-5.9685589803848416E-13</v>
      </c>
      <c r="O121" s="13">
        <f>N121*VLOOKUP('Données projet'!$B$9,Paramètres!$A$1:$I$89,3,0)*VLOOKUP('Données projet'!$B$9,Paramètres!$A$1:$I$89,5,0)</f>
        <v>-3.4140157367801295E-13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294.9631697747962</v>
      </c>
      <c r="T121" s="59">
        <f t="shared" si="88"/>
        <v>202.04924881627716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78.154994854061854</v>
      </c>
      <c r="AA121" s="21">
        <f>EXP(-LN(2)/25)*AA120+(1-EXP(-LN(2)/25))/(LN(2)/25)*Calculateur!V121*Calculateur!X121*VLOOKUP('Données projet'!$B$9,Paramètres!$A$1:$I$89,3,0)*0.475*44/12</f>
        <v>22.3020896523654</v>
      </c>
      <c r="AB121" s="21">
        <f>EXP(-LN(2)/2)*AB120+(1-EXP(-LN(2)/2))/(LN(2)/2)*V121*Y121*VLOOKUP('Données projet'!$B$9,Paramètres!$A$1:$I$89,3,0)*0.475*44/12</f>
        <v>0.1714701917585717</v>
      </c>
      <c r="AC121" s="22">
        <f t="shared" si="57"/>
        <v>100.62855469818582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349.71285006949597</v>
      </c>
      <c r="AO121" s="59">
        <f t="shared" si="90"/>
        <v>258.51550516456842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72.213338400345989</v>
      </c>
      <c r="AV121" s="21">
        <f>EXP(-LN(2)/25)*AV120+(1-EXP(-LN(2)/25))/(LN(2)/25)*Calculateur!AQ121*Calculateur!AS121*VLOOKUP('Données projet'!$B$10,Paramètres!$A$1:$I$89,3,0)*0.475*44/12</f>
        <v>18.042534050451341</v>
      </c>
      <c r="AW121" s="21">
        <f>EXP(-LN(2)/2)*AW120+(1-EXP(-LN(2)/2))/(LN(2)/2)*AQ121*AT121*VLOOKUP('Données projet'!$B$10,Paramètres!$A$1:$I$89,3,0)*0.475*44/12</f>
        <v>1.3488129196397535E-4</v>
      </c>
      <c r="AX121" s="21">
        <f t="shared" si="60"/>
        <v>90.256007332089297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7.8516666666666692</v>
      </c>
      <c r="BD121" s="12">
        <f>IF('Données projet'!$A$88&gt;35,BD120+BC121-BL120,IF(A121&lt;'Données projet'!$A$88,$BA$205^A121,IF(A121='Données projet'!$A$88,'Données projet'!$B$88,BD120+BC121-BL120)))</f>
        <v>349.64833333333371</v>
      </c>
      <c r="BE121" s="13">
        <f>BD121*VLOOKUP('Données projet'!$B$11,Paramètres!$A$1:$I$89,3,0)*VLOOKUP('Données projet'!$B$11,Paramètres!$A$1:$I$89,5,0)</f>
        <v>316.36181200000033</v>
      </c>
      <c r="BF121" s="13">
        <f t="shared" si="91"/>
        <v>74.59585486191655</v>
      </c>
      <c r="BG121" s="20">
        <f t="shared" si="61"/>
        <v>680.91793645117184</v>
      </c>
      <c r="BH121" s="59">
        <f t="shared" si="62"/>
        <v>974.25126978450521</v>
      </c>
      <c r="BI121" s="59">
        <f ca="1">AVERAGE(OFFSET($BH$3,0,0,'Données projet'!$E$11+1,1))-AVERAGE(OFFSET($H$3,0,0,'Données projet'!$E$11+1,1))</f>
        <v>490.06222615476065</v>
      </c>
      <c r="BJ121" s="59">
        <f t="shared" si="92"/>
        <v>310.43914804089906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30.666555562986215</v>
      </c>
      <c r="BQ121" s="21">
        <f>EXP(-LN(2)/25)*BQ120+(1-EXP(-LN(2)/25))/(LN(2)/25)*Calculateur!BL121*Calculateur!BN121*VLOOKUP('Données projet'!$B$11,Paramètres!$A$1:$I$89,3,0)*0.475*44/12</f>
        <v>19.024376140872871</v>
      </c>
      <c r="BR121" s="21">
        <f>EXP(-LN(2)/2)*BR120+(1-EXP(-LN(2)/2))/(LN(2)/2)*BL121*BO121*VLOOKUP('Données projet'!$B$11,Paramètres!$A$1:$I$89,3,0)*0.475*44/12</f>
        <v>2.7448746293549955E-2</v>
      </c>
      <c r="BS121" s="22">
        <f t="shared" si="63"/>
        <v>49.718380450152637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277.8432453333333</v>
      </c>
      <c r="CA121" s="13">
        <f t="shared" si="93"/>
        <v>66.511019705942104</v>
      </c>
      <c r="CB121" s="20">
        <f t="shared" si="64"/>
        <v>599.75034494340457</v>
      </c>
      <c r="CC121" s="59">
        <f t="shared" si="65"/>
        <v>893.08367827673783</v>
      </c>
      <c r="CD121" s="59">
        <f ca="1">AVERAGE(OFFSET($CC$3,0,0,'Données projet'!$E$12+1,1))-AVERAGE(OFFSET($H$3,0,0,'Données projet'!$E$12+1,1))</f>
        <v>510.71380643466227</v>
      </c>
      <c r="CE121" s="59">
        <f t="shared" si="94"/>
        <v>252.40654099948841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13.132297625892221</v>
      </c>
      <c r="CL121" s="21">
        <f>EXP(-LN(2)/25)*CL120+(1-EXP(-LN(2)/25))/(LN(2)/25)*Calculateur!CG121*Calculateur!CI121*VLOOKUP('Données projet'!$B$12,Paramètres!$A$1:$I$89,3,0)*0.475*44/12</f>
        <v>15.69339243206606</v>
      </c>
      <c r="CM121" s="21">
        <f>EXP(-LN(2)/2)*CM120+(1-EXP(-LN(2)/2))/(LN(2)/2)*CG121*CJ121*VLOOKUP('Données projet'!$B$12,Paramètres!$A$1:$I$89,3,0)*0.475*44/12</f>
        <v>1.7530560309450414</v>
      </c>
      <c r="CN121" s="22">
        <f t="shared" si="66"/>
        <v>30.578746088903326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8.7019999999999982</v>
      </c>
      <c r="CT121" s="12">
        <f>IF('Données projet'!$A$140&gt;35,CT120+CS121-DB120,IF(A121&lt;'Données projet'!$A$140,$CQ$205^A121,IF(A121='Données projet'!$A$140,'Données projet'!$B$140,CT120+CS121-DB120)))</f>
        <v>366.02000000000027</v>
      </c>
      <c r="CU121" s="17">
        <f>CT121*VLOOKUP('Données projet'!$B$13,Paramètres!$A$1:$I$89,3,0)*VLOOKUP('Données projet'!$B$13,Paramètres!$A$1:$I$89,5,0)</f>
        <v>393.98392800000028</v>
      </c>
      <c r="CV121" s="13">
        <f t="shared" si="95"/>
        <v>90.555925304812519</v>
      </c>
      <c r="CW121" s="20">
        <f t="shared" si="67"/>
        <v>843.90691117254892</v>
      </c>
      <c r="CX121" s="59">
        <f t="shared" si="68"/>
        <v>1137.2402445058822</v>
      </c>
      <c r="CY121" s="59">
        <f ca="1">AVERAGE(OFFSET($CX$3,0,0,'Données projet'!$E$13+1,1))-AVERAGE(OFFSET($H$3,0,0,'Données projet'!$E$13+1,1))</f>
        <v>502.65044103360322</v>
      </c>
      <c r="CZ121" s="59">
        <f t="shared" si="96"/>
        <v>321.65762891855167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54.36698249012975</v>
      </c>
      <c r="DG121" s="21">
        <f>EXP(-LN(2)/25)*DG120+(1-EXP(-LN(2)/25))/(LN(2)/25)*Calculateur!DB121*Calculateur!DD121*VLOOKUP('Données projet'!$B$13,Paramètres!$A$1:$I$89,3,0)*0.475*44/12</f>
        <v>25.397614213791751</v>
      </c>
      <c r="DH121" s="21">
        <f>EXP(-LN(2)/2)*DH120+(1-EXP(-LN(2)/2))/(LN(2)/2)*DB121*DE121*VLOOKUP('Données projet'!$B$13,Paramètres!$A$1:$I$89,3,0)*0.475*44/12</f>
        <v>2.897173223653103E-5</v>
      </c>
      <c r="DI121" s="22">
        <f t="shared" si="69"/>
        <v>79.764625675653733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-25.899999999999977</v>
      </c>
      <c r="DP121" s="17">
        <f>DO121*VLOOKUP('Données projet'!$B$14,Paramètres!$A$1:$I$89,3,0)*VLOOKUP('Données projet'!$B$14,Paramètres!$A$1:$I$89,5,0)</f>
        <v>-13.171703999999989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63.94726564348116</v>
      </c>
      <c r="DU121" s="59">
        <f t="shared" si="98"/>
        <v>280.8165028422905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8.9305635575747644</v>
      </c>
      <c r="EB121" s="21">
        <f>EXP(-LN(2)/25)*EB120+(1-EXP(-LN(2)/25))/(LN(2)/25)*Calculateur!DW121*Calculateur!DY121*VLOOKUP('Données projet'!$B$14,Paramètres!$A$1:$I$89,3,0)*0.475*44/12</f>
        <v>0.56643815704343925</v>
      </c>
      <c r="EC121" s="21">
        <f>EXP(-LN(2)/2)*EC120+(1-EXP(-LN(2)/2))/(LN(2)/2)*DW121*DZ121*VLOOKUP('Données projet'!$B$14,Paramètres!$A$1:$I$89,3,0)*0.475*44/12</f>
        <v>5.5233391354688907E-15</v>
      </c>
      <c r="ED121" s="22">
        <f t="shared" si="72"/>
        <v>9.4970017146182091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-5.9685589803848416E-13</v>
      </c>
      <c r="O122" s="13">
        <f>N122*VLOOKUP('Données projet'!$B$9,Paramètres!$A$1:$I$89,3,0)*VLOOKUP('Données projet'!$B$9,Paramètres!$A$1:$I$89,5,0)</f>
        <v>-3.4140157367801295E-13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294.9631697747962</v>
      </c>
      <c r="T122" s="59">
        <f t="shared" si="88"/>
        <v>202.04924881627716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76.622423074813554</v>
      </c>
      <c r="AA122" s="21">
        <f>EXP(-LN(2)/25)*AA121+(1-EXP(-LN(2)/25))/(LN(2)/25)*Calculateur!V122*Calculateur!X122*VLOOKUP('Données projet'!$B$9,Paramètres!$A$1:$I$89,3,0)*0.475*44/12</f>
        <v>21.692237838005546</v>
      </c>
      <c r="AB122" s="21">
        <f>EXP(-LN(2)/2)*AB121+(1-EXP(-LN(2)/2))/(LN(2)/2)*V122*Y122*VLOOKUP('Données projet'!$B$9,Paramètres!$A$1:$I$89,3,0)*0.475*44/12</f>
        <v>0.12124773536384371</v>
      </c>
      <c r="AC122" s="22">
        <f t="shared" si="57"/>
        <v>98.435908648182945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349.71285006949597</v>
      </c>
      <c r="AO122" s="59">
        <f t="shared" si="90"/>
        <v>258.51550516456842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70.797278880102468</v>
      </c>
      <c r="AV122" s="21">
        <f>EXP(-LN(2)/25)*AV121+(1-EXP(-LN(2)/25))/(LN(2)/25)*Calculateur!AQ122*Calculateur!AS122*VLOOKUP('Données projet'!$B$10,Paramètres!$A$1:$I$89,3,0)*0.475*44/12</f>
        <v>17.549160008026121</v>
      </c>
      <c r="AW122" s="21">
        <f>EXP(-LN(2)/2)*AW121+(1-EXP(-LN(2)/2))/(LN(2)/2)*AQ122*AT122*VLOOKUP('Données projet'!$B$10,Paramètres!$A$1:$I$89,3,0)*0.475*44/12</f>
        <v>9.5375476202929548E-5</v>
      </c>
      <c r="AX122" s="21">
        <f t="shared" si="60"/>
        <v>88.346534263604795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7.8516666666666692</v>
      </c>
      <c r="BD122" s="12">
        <f>IF('Données projet'!$A$88&gt;35,BD121+BC122-BL121,IF(A122&lt;'Données projet'!$A$88,$BA$205^A122,IF(A122='Données projet'!$A$88,'Données projet'!$B$88,BD121+BC122-BL121)))</f>
        <v>357.5000000000004</v>
      </c>
      <c r="BE122" s="13">
        <f>BD122*VLOOKUP('Données projet'!$B$11,Paramètres!$A$1:$I$89,3,0)*VLOOKUP('Données projet'!$B$11,Paramètres!$A$1:$I$89,5,0)</f>
        <v>323.46600000000035</v>
      </c>
      <c r="BF122" s="13">
        <f t="shared" si="91"/>
        <v>76.074069581431218</v>
      </c>
      <c r="BG122" s="20">
        <f t="shared" si="61"/>
        <v>695.86562118765994</v>
      </c>
      <c r="BH122" s="59">
        <f t="shared" si="62"/>
        <v>989.19895452099331</v>
      </c>
      <c r="BI122" s="59">
        <f ca="1">AVERAGE(OFFSET($BH$3,0,0,'Données projet'!$E$11+1,1))-AVERAGE(OFFSET($H$3,0,0,'Données projet'!$E$11+1,1))</f>
        <v>490.06222615476065</v>
      </c>
      <c r="BJ122" s="59">
        <f t="shared" si="92"/>
        <v>310.43914804089906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30.065203113148009</v>
      </c>
      <c r="BQ122" s="21">
        <f>EXP(-LN(2)/25)*BQ121+(1-EXP(-LN(2)/25))/(LN(2)/25)*Calculateur!BL122*Calculateur!BN122*VLOOKUP('Données projet'!$B$11,Paramètres!$A$1:$I$89,3,0)*0.475*44/12</f>
        <v>18.504153574852243</v>
      </c>
      <c r="BR122" s="21">
        <f>EXP(-LN(2)/2)*BR121+(1-EXP(-LN(2)/2))/(LN(2)/2)*BL122*BO122*VLOOKUP('Données projet'!$B$11,Paramètres!$A$1:$I$89,3,0)*0.475*44/12</f>
        <v>1.9409194639238285E-2</v>
      </c>
      <c r="BS122" s="22">
        <f t="shared" si="63"/>
        <v>48.588765882639493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284.61471999999998</v>
      </c>
      <c r="CA122" s="13">
        <f t="shared" si="93"/>
        <v>67.941302125940567</v>
      </c>
      <c r="CB122" s="20">
        <f t="shared" si="64"/>
        <v>614.03507186934644</v>
      </c>
      <c r="CC122" s="59">
        <f t="shared" si="65"/>
        <v>907.3684052026797</v>
      </c>
      <c r="CD122" s="59">
        <f ca="1">AVERAGE(OFFSET($CC$3,0,0,'Données projet'!$E$12+1,1))-AVERAGE(OFFSET($H$3,0,0,'Données projet'!$E$12+1,1))</f>
        <v>510.71380643466227</v>
      </c>
      <c r="CE122" s="59">
        <f t="shared" si="94"/>
        <v>252.40654099948841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12.874781279359114</v>
      </c>
      <c r="CL122" s="21">
        <f>EXP(-LN(2)/25)*CL121+(1-EXP(-LN(2)/25))/(LN(2)/25)*Calculateur!CG122*Calculateur!CI122*VLOOKUP('Données projet'!$B$12,Paramètres!$A$1:$I$89,3,0)*0.475*44/12</f>
        <v>15.264255790731573</v>
      </c>
      <c r="CM122" s="21">
        <f>EXP(-LN(2)/2)*CM121+(1-EXP(-LN(2)/2))/(LN(2)/2)*CG122*CJ122*VLOOKUP('Données projet'!$B$12,Paramètres!$A$1:$I$89,3,0)*0.475*44/12</f>
        <v>1.2395978072812128</v>
      </c>
      <c r="CN122" s="22">
        <f t="shared" si="66"/>
        <v>29.378634877371901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8.7019999999999982</v>
      </c>
      <c r="CT122" s="12">
        <f>IF('Données projet'!$A$140&gt;35,CT121+CS122-DB121,IF(A122&lt;'Données projet'!$A$140,$CQ$205^A122,IF(A122='Données projet'!$A$140,'Données projet'!$B$140,CT121+CS122-DB121)))</f>
        <v>374.72200000000026</v>
      </c>
      <c r="CU122" s="17">
        <f>CT122*VLOOKUP('Données projet'!$B$13,Paramètres!$A$1:$I$89,3,0)*VLOOKUP('Données projet'!$B$13,Paramètres!$A$1:$I$89,5,0)</f>
        <v>403.35076080000027</v>
      </c>
      <c r="CV122" s="13">
        <f t="shared" si="95"/>
        <v>92.455650388310644</v>
      </c>
      <c r="CW122" s="20">
        <f t="shared" si="67"/>
        <v>863.52949948630805</v>
      </c>
      <c r="CX122" s="59">
        <f t="shared" si="68"/>
        <v>1156.8628328196414</v>
      </c>
      <c r="CY122" s="59">
        <f ca="1">AVERAGE(OFFSET($CX$3,0,0,'Données projet'!$E$13+1,1))-AVERAGE(OFFSET($H$3,0,0,'Données projet'!$E$13+1,1))</f>
        <v>502.65044103360322</v>
      </c>
      <c r="CZ122" s="59">
        <f t="shared" si="96"/>
        <v>321.65762891855167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53.300879124083288</v>
      </c>
      <c r="DG122" s="21">
        <f>EXP(-LN(2)/25)*DG121+(1-EXP(-LN(2)/25))/(LN(2)/25)*Calculateur!DB122*Calculateur!DD122*VLOOKUP('Données projet'!$B$13,Paramètres!$A$1:$I$89,3,0)*0.475*44/12</f>
        <v>24.703115117513132</v>
      </c>
      <c r="DH122" s="21">
        <f>EXP(-LN(2)/2)*DH121+(1-EXP(-LN(2)/2))/(LN(2)/2)*DB122*DE122*VLOOKUP('Données projet'!$B$13,Paramètres!$A$1:$I$89,3,0)*0.475*44/12</f>
        <v>2.0486108327171994E-5</v>
      </c>
      <c r="DI122" s="22">
        <f t="shared" si="69"/>
        <v>78.004014727704742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-25.899999999999977</v>
      </c>
      <c r="DP122" s="17">
        <f>DO122*VLOOKUP('Données projet'!$B$14,Paramètres!$A$1:$I$89,3,0)*VLOOKUP('Données projet'!$B$14,Paramètres!$A$1:$I$89,5,0)</f>
        <v>-13.171703999999989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63.94726564348116</v>
      </c>
      <c r="DU122" s="59">
        <f t="shared" si="98"/>
        <v>280.8165028422905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8.7554406533166365</v>
      </c>
      <c r="EB122" s="21">
        <f>EXP(-LN(2)/25)*EB121+(1-EXP(-LN(2)/25))/(LN(2)/25)*Calculateur!DW122*Calculateur!DY122*VLOOKUP('Données projet'!$B$14,Paramètres!$A$1:$I$89,3,0)*0.475*44/12</f>
        <v>0.55094887585139829</v>
      </c>
      <c r="EC122" s="21">
        <f>EXP(-LN(2)/2)*EC121+(1-EXP(-LN(2)/2))/(LN(2)/2)*DW122*DZ122*VLOOKUP('Données projet'!$B$14,Paramètres!$A$1:$I$89,3,0)*0.475*44/12</f>
        <v>3.9055905574830954E-15</v>
      </c>
      <c r="ED122" s="22">
        <f t="shared" si="72"/>
        <v>9.3063895291680385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-5.9685589803848416E-13</v>
      </c>
      <c r="O123" s="13">
        <f>N123*VLOOKUP('Données projet'!$B$9,Paramètres!$A$1:$I$89,3,0)*VLOOKUP('Données projet'!$B$9,Paramètres!$A$1:$I$89,5,0)</f>
        <v>-3.4140157367801295E-13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294.9631697747962</v>
      </c>
      <c r="T123" s="59">
        <f t="shared" si="88"/>
        <v>202.04924881627716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75.11990409337983</v>
      </c>
      <c r="AA123" s="21">
        <f>EXP(-LN(2)/25)*AA122+(1-EXP(-LN(2)/25))/(LN(2)/25)*Calculateur!V123*Calculateur!X123*VLOOKUP('Données projet'!$B$9,Paramètres!$A$1:$I$89,3,0)*0.475*44/12</f>
        <v>21.099062453580075</v>
      </c>
      <c r="AB123" s="21">
        <f>EXP(-LN(2)/2)*AB122+(1-EXP(-LN(2)/2))/(LN(2)/2)*V123*Y123*VLOOKUP('Données projet'!$B$9,Paramètres!$A$1:$I$89,3,0)*0.475*44/12</f>
        <v>8.5735095879285864E-2</v>
      </c>
      <c r="AC123" s="22">
        <f t="shared" si="57"/>
        <v>96.304701642839191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349.71285006949597</v>
      </c>
      <c r="AO123" s="59">
        <f t="shared" si="90"/>
        <v>258.51550516456842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69.408987423339894</v>
      </c>
      <c r="AV123" s="21">
        <f>EXP(-LN(2)/25)*AV122+(1-EXP(-LN(2)/25))/(LN(2)/25)*Calculateur!AQ123*Calculateur!AS123*VLOOKUP('Données projet'!$B$10,Paramètres!$A$1:$I$89,3,0)*0.475*44/12</f>
        <v>17.069277304736431</v>
      </c>
      <c r="AW123" s="21">
        <f>EXP(-LN(2)/2)*AW122+(1-EXP(-LN(2)/2))/(LN(2)/2)*AQ123*AT123*VLOOKUP('Données projet'!$B$10,Paramètres!$A$1:$I$89,3,0)*0.475*44/12</f>
        <v>6.7440645981987673E-5</v>
      </c>
      <c r="AX123" s="21">
        <f t="shared" si="60"/>
        <v>86.478332168722304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7.8516666666666692</v>
      </c>
      <c r="BD123" s="12">
        <f>IF('Données projet'!$A$88&gt;35,BD122+BC123-BL122,IF(A123&lt;'Données projet'!$A$88,$BA$205^A123,IF(A123='Données projet'!$A$88,'Données projet'!$B$88,BD122+BC123-BL122)))</f>
        <v>365.35166666666709</v>
      </c>
      <c r="BE123" s="13">
        <f>BD123*VLOOKUP('Données projet'!$B$11,Paramètres!$A$1:$I$89,3,0)*VLOOKUP('Données projet'!$B$11,Paramètres!$A$1:$I$89,5,0)</f>
        <v>330.57018800000037</v>
      </c>
      <c r="BF123" s="13">
        <f t="shared" si="91"/>
        <v>77.548509811581681</v>
      </c>
      <c r="BG123" s="20">
        <f t="shared" si="61"/>
        <v>710.80673202183868</v>
      </c>
      <c r="BH123" s="59">
        <f t="shared" si="62"/>
        <v>1004.1400653551721</v>
      </c>
      <c r="BI123" s="59">
        <f ca="1">AVERAGE(OFFSET($BH$3,0,0,'Données projet'!$E$11+1,1))-AVERAGE(OFFSET($H$3,0,0,'Données projet'!$E$11+1,1))</f>
        <v>490.06222615476065</v>
      </c>
      <c r="BJ123" s="59">
        <f t="shared" si="92"/>
        <v>310.43914804089906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29.475642818062351</v>
      </c>
      <c r="BQ123" s="21">
        <f>EXP(-LN(2)/25)*BQ122+(1-EXP(-LN(2)/25))/(LN(2)/25)*Calculateur!BL123*Calculateur!BN123*VLOOKUP('Données projet'!$B$11,Paramètres!$A$1:$I$89,3,0)*0.475*44/12</f>
        <v>17.998156522256764</v>
      </c>
      <c r="BR123" s="21">
        <f>EXP(-LN(2)/2)*BR122+(1-EXP(-LN(2)/2))/(LN(2)/2)*BL123*BO123*VLOOKUP('Données projet'!$B$11,Paramètres!$A$1:$I$89,3,0)*0.475*44/12</f>
        <v>1.3724373146774977E-2</v>
      </c>
      <c r="BS123" s="22">
        <f t="shared" si="63"/>
        <v>47.48752371346589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291.38619466666665</v>
      </c>
      <c r="CA123" s="13">
        <f t="shared" si="93"/>
        <v>69.367628669059272</v>
      </c>
      <c r="CB123" s="20">
        <f t="shared" si="64"/>
        <v>628.31290897638928</v>
      </c>
      <c r="CC123" s="59">
        <f t="shared" si="65"/>
        <v>921.64624230972254</v>
      </c>
      <c r="CD123" s="59">
        <f ca="1">AVERAGE(OFFSET($CC$3,0,0,'Données projet'!$E$12+1,1))-AVERAGE(OFFSET($H$3,0,0,'Données projet'!$E$12+1,1))</f>
        <v>510.71380643466227</v>
      </c>
      <c r="CE123" s="59">
        <f t="shared" si="94"/>
        <v>252.40654099948841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12.622314671312058</v>
      </c>
      <c r="CL123" s="21">
        <f>EXP(-LN(2)/25)*CL122+(1-EXP(-LN(2)/25))/(LN(2)/25)*Calculateur!CG123*Calculateur!CI123*VLOOKUP('Données projet'!$B$12,Paramètres!$A$1:$I$89,3,0)*0.475*44/12</f>
        <v>14.846853913421693</v>
      </c>
      <c r="CM123" s="21">
        <f>EXP(-LN(2)/2)*CM122+(1-EXP(-LN(2)/2))/(LN(2)/2)*CG123*CJ123*VLOOKUP('Données projet'!$B$12,Paramètres!$A$1:$I$89,3,0)*0.475*44/12</f>
        <v>0.87652801547252068</v>
      </c>
      <c r="CN123" s="22">
        <f t="shared" si="66"/>
        <v>28.345696600206271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8.7019999999999982</v>
      </c>
      <c r="CT123" s="12">
        <f>IF('Données projet'!$A$140&gt;35,CT122+CS123-DB122,IF(A123&lt;'Données projet'!$A$140,$CQ$205^A123,IF(A123='Données projet'!$A$140,'Données projet'!$B$140,CT122+CS123-DB122)))</f>
        <v>383.42400000000026</v>
      </c>
      <c r="CU123" s="17">
        <f>CT123*VLOOKUP('Données projet'!$B$13,Paramètres!$A$1:$I$89,3,0)*VLOOKUP('Données projet'!$B$13,Paramètres!$A$1:$I$89,5,0)</f>
        <v>412.71759360000021</v>
      </c>
      <c r="CV123" s="13">
        <f t="shared" si="95"/>
        <v>94.350246762978841</v>
      </c>
      <c r="CW123" s="20">
        <f t="shared" si="67"/>
        <v>883.14315529885516</v>
      </c>
      <c r="CX123" s="59">
        <f t="shared" si="68"/>
        <v>1176.4764886321884</v>
      </c>
      <c r="CY123" s="59">
        <f ca="1">AVERAGE(OFFSET($CX$3,0,0,'Données projet'!$E$13+1,1))-AVERAGE(OFFSET($H$3,0,0,'Données projet'!$E$13+1,1))</f>
        <v>502.65044103360322</v>
      </c>
      <c r="CZ123" s="59">
        <f t="shared" si="96"/>
        <v>321.65762891855167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52.255681394786151</v>
      </c>
      <c r="DG123" s="21">
        <f>EXP(-LN(2)/25)*DG122+(1-EXP(-LN(2)/25))/(LN(2)/25)*Calculateur!DB123*Calculateur!DD123*VLOOKUP('Données projet'!$B$13,Paramètres!$A$1:$I$89,3,0)*0.475*44/12</f>
        <v>24.027607135544372</v>
      </c>
      <c r="DH123" s="21">
        <f>EXP(-LN(2)/2)*DH122+(1-EXP(-LN(2)/2))/(LN(2)/2)*DB123*DE123*VLOOKUP('Données projet'!$B$13,Paramètres!$A$1:$I$89,3,0)*0.475*44/12</f>
        <v>1.4485866118265517E-5</v>
      </c>
      <c r="DI123" s="22">
        <f t="shared" si="69"/>
        <v>76.283303016196641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-25.899999999999977</v>
      </c>
      <c r="DP123" s="17">
        <f>DO123*VLOOKUP('Données projet'!$B$14,Paramètres!$A$1:$I$89,3,0)*VLOOKUP('Données projet'!$B$14,Paramètres!$A$1:$I$89,5,0)</f>
        <v>-13.171703999999989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63.94726564348116</v>
      </c>
      <c r="DU123" s="59">
        <f t="shared" si="98"/>
        <v>280.8165028422905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8.583751802396586</v>
      </c>
      <c r="EB123" s="21">
        <f>EXP(-LN(2)/25)*EB122+(1-EXP(-LN(2)/25))/(LN(2)/25)*Calculateur!DW123*Calculateur!DY123*VLOOKUP('Données projet'!$B$14,Paramètres!$A$1:$I$89,3,0)*0.475*44/12</f>
        <v>0.5358831498680996</v>
      </c>
      <c r="EC123" s="21">
        <f>EXP(-LN(2)/2)*EC122+(1-EXP(-LN(2)/2))/(LN(2)/2)*DW123*DZ123*VLOOKUP('Données projet'!$B$14,Paramètres!$A$1:$I$89,3,0)*0.475*44/12</f>
        <v>2.7616695677344454E-15</v>
      </c>
      <c r="ED123" s="22">
        <f t="shared" si="72"/>
        <v>9.1196349522646898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-5.9685589803848416E-13</v>
      </c>
      <c r="O124" s="13">
        <f>N124*VLOOKUP('Données projet'!$B$9,Paramètres!$A$1:$I$89,3,0)*VLOOKUP('Données projet'!$B$9,Paramètres!$A$1:$I$89,5,0)</f>
        <v>-3.4140157367801295E-13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294.9631697747962</v>
      </c>
      <c r="T124" s="59">
        <f t="shared" si="88"/>
        <v>202.04924881627716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73.646848592725931</v>
      </c>
      <c r="AA124" s="21">
        <f>EXP(-LN(2)/25)*AA123+(1-EXP(-LN(2)/25))/(LN(2)/25)*Calculateur!V124*Calculateur!X124*VLOOKUP('Données projet'!$B$9,Paramètres!$A$1:$I$89,3,0)*0.475*44/12</f>
        <v>20.522107481235455</v>
      </c>
      <c r="AB124" s="21">
        <f>EXP(-LN(2)/2)*AB123+(1-EXP(-LN(2)/2))/(LN(2)/2)*V124*Y124*VLOOKUP('Données projet'!$B$9,Paramètres!$A$1:$I$89,3,0)*0.475*44/12</f>
        <v>6.0623867681921864E-2</v>
      </c>
      <c r="AC124" s="22">
        <f t="shared" si="57"/>
        <v>94.229579941643308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349.71285006949597</v>
      </c>
      <c r="AO124" s="59">
        <f t="shared" si="90"/>
        <v>258.51550516456842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68.047919515270266</v>
      </c>
      <c r="AV124" s="21">
        <f>EXP(-LN(2)/25)*AV123+(1-EXP(-LN(2)/25))/(LN(2)/25)*Calculateur!AQ124*Calculateur!AS124*VLOOKUP('Données projet'!$B$10,Paramètres!$A$1:$I$89,3,0)*0.475*44/12</f>
        <v>16.602517019204132</v>
      </c>
      <c r="AW124" s="21">
        <f>EXP(-LN(2)/2)*AW123+(1-EXP(-LN(2)/2))/(LN(2)/2)*AQ124*AT124*VLOOKUP('Données projet'!$B$10,Paramètres!$A$1:$I$89,3,0)*0.475*44/12</f>
        <v>4.7687738101464774E-5</v>
      </c>
      <c r="AX124" s="21">
        <f t="shared" si="60"/>
        <v>84.650484222212498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7.8516666666666692</v>
      </c>
      <c r="BD124" s="12">
        <f>IF('Données projet'!$A$88&gt;35,BD123+BC124-BL123,IF(A124&lt;'Données projet'!$A$88,$BA$205^A124,IF(A124='Données projet'!$A$88,'Données projet'!$B$88,BD123+BC124-BL123)))</f>
        <v>373.20333333333377</v>
      </c>
      <c r="BE124" s="13">
        <f>BD124*VLOOKUP('Données projet'!$B$11,Paramètres!$A$1:$I$89,3,0)*VLOOKUP('Données projet'!$B$11,Paramètres!$A$1:$I$89,5,0)</f>
        <v>337.67437600000039</v>
      </c>
      <c r="BF124" s="13">
        <f t="shared" si="91"/>
        <v>79.019266011670013</v>
      </c>
      <c r="BG124" s="20">
        <f t="shared" si="61"/>
        <v>725.74142650365923</v>
      </c>
      <c r="BH124" s="59">
        <f t="shared" si="62"/>
        <v>1019.0747598369926</v>
      </c>
      <c r="BI124" s="59">
        <f ca="1">AVERAGE(OFFSET($BH$3,0,0,'Données projet'!$E$11+1,1))-AVERAGE(OFFSET($H$3,0,0,'Données projet'!$E$11+1,1))</f>
        <v>490.06222615476065</v>
      </c>
      <c r="BJ124" s="59">
        <f t="shared" si="92"/>
        <v>310.43914804089906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28.897643440767052</v>
      </c>
      <c r="BQ124" s="21">
        <f>EXP(-LN(2)/25)*BQ123+(1-EXP(-LN(2)/25))/(LN(2)/25)*Calculateur!BL124*Calculateur!BN124*VLOOKUP('Données projet'!$B$11,Paramètres!$A$1:$I$89,3,0)*0.475*44/12</f>
        <v>17.505995985673735</v>
      </c>
      <c r="BR124" s="21">
        <f>EXP(-LN(2)/2)*BR123+(1-EXP(-LN(2)/2))/(LN(2)/2)*BL124*BO124*VLOOKUP('Données projet'!$B$11,Paramètres!$A$1:$I$89,3,0)*0.475*44/12</f>
        <v>9.7045973196191425E-3</v>
      </c>
      <c r="BS124" s="22">
        <f t="shared" si="63"/>
        <v>46.413344023760409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298.15766933333333</v>
      </c>
      <c r="CA124" s="13">
        <f t="shared" si="93"/>
        <v>70.790101845868477</v>
      </c>
      <c r="CB124" s="20">
        <f t="shared" si="64"/>
        <v>642.58403480377649</v>
      </c>
      <c r="CC124" s="59">
        <f t="shared" si="65"/>
        <v>935.91736813710986</v>
      </c>
      <c r="CD124" s="59">
        <f ca="1">AVERAGE(OFFSET($CC$3,0,0,'Données projet'!$E$12+1,1))-AVERAGE(OFFSET($H$3,0,0,'Données projet'!$E$12+1,1))</f>
        <v>510.71380643466227</v>
      </c>
      <c r="CE124" s="59">
        <f t="shared" si="94"/>
        <v>252.40654099948841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12.374798779459379</v>
      </c>
      <c r="CL124" s="21">
        <f>EXP(-LN(2)/25)*CL123+(1-EXP(-LN(2)/25))/(LN(2)/25)*Calculateur!CG124*Calculateur!CI124*VLOOKUP('Données projet'!$B$12,Paramètres!$A$1:$I$89,3,0)*0.475*44/12</f>
        <v>14.440865912397063</v>
      </c>
      <c r="CM124" s="21">
        <f>EXP(-LN(2)/2)*CM123+(1-EXP(-LN(2)/2))/(LN(2)/2)*CG124*CJ124*VLOOKUP('Données projet'!$B$12,Paramètres!$A$1:$I$89,3,0)*0.475*44/12</f>
        <v>0.61979890364060641</v>
      </c>
      <c r="CN124" s="22">
        <f t="shared" si="66"/>
        <v>27.435463595497048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8.7019999999999982</v>
      </c>
      <c r="CT124" s="12">
        <f>IF('Données projet'!$A$140&gt;35,CT123+CS124-DB123,IF(A124&lt;'Données projet'!$A$140,$CQ$205^A124,IF(A124='Données projet'!$A$140,'Données projet'!$B$140,CT123+CS124-DB123)))</f>
        <v>392.12600000000026</v>
      </c>
      <c r="CU124" s="17">
        <f>CT124*VLOOKUP('Données projet'!$B$13,Paramètres!$A$1:$I$89,3,0)*VLOOKUP('Données projet'!$B$13,Paramètres!$A$1:$I$89,5,0)</f>
        <v>422.08442640000027</v>
      </c>
      <c r="CV124" s="13">
        <f t="shared" si="95"/>
        <v>96.239844227259752</v>
      </c>
      <c r="CW124" s="20">
        <f t="shared" si="67"/>
        <v>902.74810467581119</v>
      </c>
      <c r="CX124" s="59">
        <f t="shared" si="68"/>
        <v>1196.0814380091444</v>
      </c>
      <c r="CY124" s="59">
        <f ca="1">AVERAGE(OFFSET($CX$3,0,0,'Données projet'!$E$13+1,1))-AVERAGE(OFFSET($H$3,0,0,'Données projet'!$E$13+1,1))</f>
        <v>502.65044103360322</v>
      </c>
      <c r="CZ124" s="59">
        <f t="shared" si="96"/>
        <v>321.65762891855167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51.230979355452867</v>
      </c>
      <c r="DG124" s="21">
        <f>EXP(-LN(2)/25)*DG123+(1-EXP(-LN(2)/25))/(LN(2)/25)*Calculateur!DB124*Calculateur!DD124*VLOOKUP('Données projet'!$B$13,Paramètres!$A$1:$I$89,3,0)*0.475*44/12</f>
        <v>23.370570954865968</v>
      </c>
      <c r="DH124" s="21">
        <f>EXP(-LN(2)/2)*DH123+(1-EXP(-LN(2)/2))/(LN(2)/2)*DB124*DE124*VLOOKUP('Données projet'!$B$13,Paramètres!$A$1:$I$89,3,0)*0.475*44/12</f>
        <v>1.0243054163585999E-5</v>
      </c>
      <c r="DI124" s="22">
        <f t="shared" si="69"/>
        <v>74.601560553372991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-25.899999999999977</v>
      </c>
      <c r="DP124" s="17">
        <f>DO124*VLOOKUP('Données projet'!$B$14,Paramètres!$A$1:$I$89,3,0)*VLOOKUP('Données projet'!$B$14,Paramètres!$A$1:$I$89,5,0)</f>
        <v>-13.171703999999989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63.94726564348116</v>
      </c>
      <c r="DU124" s="59">
        <f t="shared" si="98"/>
        <v>280.8165028422905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8.4154296651232183</v>
      </c>
      <c r="EB124" s="21">
        <f>EXP(-LN(2)/25)*EB123+(1-EXP(-LN(2)/25))/(LN(2)/25)*Calculateur!DW124*Calculateur!DY124*VLOOKUP('Données projet'!$B$14,Paramètres!$A$1:$I$89,3,0)*0.475*44/12</f>
        <v>0.52122939695408632</v>
      </c>
      <c r="EC124" s="21">
        <f>EXP(-LN(2)/2)*EC123+(1-EXP(-LN(2)/2))/(LN(2)/2)*DW124*DZ124*VLOOKUP('Données projet'!$B$14,Paramètres!$A$1:$I$89,3,0)*0.475*44/12</f>
        <v>1.9527952787415477E-15</v>
      </c>
      <c r="ED124" s="22">
        <f t="shared" si="72"/>
        <v>8.9366590620773056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-5.9685589803848416E-13</v>
      </c>
      <c r="O125" s="13">
        <f>N125*VLOOKUP('Données projet'!$B$9,Paramètres!$A$1:$I$89,3,0)*VLOOKUP('Données projet'!$B$9,Paramètres!$A$1:$I$89,5,0)</f>
        <v>-3.4140157367801295E-13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294.9631697747962</v>
      </c>
      <c r="T125" s="59">
        <f t="shared" si="88"/>
        <v>202.04924881627716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72.202678811964716</v>
      </c>
      <c r="AA125" s="21">
        <f>EXP(-LN(2)/25)*AA124+(1-EXP(-LN(2)/25))/(LN(2)/25)*Calculateur!V125*Calculateur!X125*VLOOKUP('Données projet'!$B$9,Paramètres!$A$1:$I$89,3,0)*0.475*44/12</f>
        <v>19.960929372950343</v>
      </c>
      <c r="AB125" s="21">
        <f>EXP(-LN(2)/2)*AB124+(1-EXP(-LN(2)/2))/(LN(2)/2)*V125*Y125*VLOOKUP('Données projet'!$B$9,Paramètres!$A$1:$I$89,3,0)*0.475*44/12</f>
        <v>4.2867547939642939E-2</v>
      </c>
      <c r="AC125" s="22">
        <f t="shared" si="57"/>
        <v>92.206475732854699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349.71285006949597</v>
      </c>
      <c r="AO125" s="59">
        <f t="shared" si="90"/>
        <v>258.51550516456842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66.713541318708423</v>
      </c>
      <c r="AV125" s="21">
        <f>EXP(-LN(2)/25)*AV124+(1-EXP(-LN(2)/25))/(LN(2)/25)*Calculateur!AQ125*Calculateur!AS125*VLOOKUP('Données projet'!$B$10,Paramètres!$A$1:$I$89,3,0)*0.475*44/12</f>
        <v>16.148520318225572</v>
      </c>
      <c r="AW125" s="21">
        <f>EXP(-LN(2)/2)*AW124+(1-EXP(-LN(2)/2))/(LN(2)/2)*AQ125*AT125*VLOOKUP('Données projet'!$B$10,Paramètres!$A$1:$I$89,3,0)*0.475*44/12</f>
        <v>3.3720322990993837E-5</v>
      </c>
      <c r="AX125" s="21">
        <f t="shared" si="60"/>
        <v>82.862095357256976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7.8516666666666692</v>
      </c>
      <c r="BD125" s="12">
        <f>IF('Données projet'!$A$88&gt;35,BD124+BC125-BL124,IF(A125&lt;'Données projet'!$A$88,$BA$205^A125,IF(A125='Données projet'!$A$88,'Données projet'!$B$88,BD124+BC125-BL124)))</f>
        <v>381.05500000000046</v>
      </c>
      <c r="BE125" s="13">
        <f>BD125*VLOOKUP('Données projet'!$B$11,Paramètres!$A$1:$I$89,3,0)*VLOOKUP('Données projet'!$B$11,Paramètres!$A$1:$I$89,5,0)</f>
        <v>344.77856400000042</v>
      </c>
      <c r="BF125" s="13">
        <f t="shared" si="91"/>
        <v>80.486424617240047</v>
      </c>
      <c r="BG125" s="20">
        <f t="shared" si="61"/>
        <v>740.66985517502701</v>
      </c>
      <c r="BH125" s="59">
        <f t="shared" si="62"/>
        <v>1034.0031885083604</v>
      </c>
      <c r="BI125" s="59">
        <f ca="1">AVERAGE(OFFSET($BH$3,0,0,'Données projet'!$E$11+1,1))-AVERAGE(OFFSET($H$3,0,0,'Données projet'!$E$11+1,1))</f>
        <v>490.06222615476065</v>
      </c>
      <c r="BJ125" s="59">
        <f t="shared" si="92"/>
        <v>310.43914804089906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28.330978278715705</v>
      </c>
      <c r="BQ125" s="21">
        <f>EXP(-LN(2)/25)*BQ124+(1-EXP(-LN(2)/25))/(LN(2)/25)*Calculateur!BL125*Calculateur!BN125*VLOOKUP('Données projet'!$B$11,Paramètres!$A$1:$I$89,3,0)*0.475*44/12</f>
        <v>17.02729360484517</v>
      </c>
      <c r="BR125" s="21">
        <f>EXP(-LN(2)/2)*BR124+(1-EXP(-LN(2)/2))/(LN(2)/2)*BL125*BO125*VLOOKUP('Données projet'!$B$11,Paramètres!$A$1:$I$89,3,0)*0.475*44/12</f>
        <v>6.8621865733874887E-3</v>
      </c>
      <c r="BS125" s="22">
        <f t="shared" si="63"/>
        <v>45.36513407013426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304.92914400000006</v>
      </c>
      <c r="CA125" s="13">
        <f t="shared" si="93"/>
        <v>72.20881924493338</v>
      </c>
      <c r="CB125" s="20">
        <f t="shared" si="64"/>
        <v>656.84861931825901</v>
      </c>
      <c r="CC125" s="59">
        <f t="shared" si="65"/>
        <v>950.18195265159238</v>
      </c>
      <c r="CD125" s="59">
        <f ca="1">AVERAGE(OFFSET($CC$3,0,0,'Données projet'!$E$12+1,1))-AVERAGE(OFFSET($H$3,0,0,'Données projet'!$E$12+1,1))</f>
        <v>510.71380643466227</v>
      </c>
      <c r="CE125" s="59">
        <f t="shared" si="94"/>
        <v>252.40654099948841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0.1075</v>
      </c>
      <c r="CI125" s="16">
        <f>IF(ISNA(VLOOKUP(A125,'Données projet'!$A$113:$I$133,6,0)),0%,VLOOKUP(A125,'Données projet'!$A$113:$I$133,6,0)*VLOOKUP('Données projet'!$B$12,Paramètres!$A$1:$I$89,7,0))</f>
        <v>0.1075</v>
      </c>
      <c r="CJ125" s="16">
        <f>IF(ISNA(VLOOKUP(A125,'Données projet'!$A$113:$I$133,7,0)),0%,VLOOKUP(A125,'Données projet'!$A$113:$I$133,7,0))</f>
        <v>0.25</v>
      </c>
      <c r="CK125" s="21">
        <f>EXP(-LN(2)/35)*CK124+(1-EXP(-LN(2)/35))/(LN(2)/35)*CG125*CH125*VLOOKUP('Données projet'!$B$12,Paramètres!$A$1:$I$89,3,0)*0.475*44/12</f>
        <v>17.399844846256791</v>
      </c>
      <c r="CL125" s="21">
        <f>EXP(-LN(2)/25)*CL124+(1-EXP(-LN(2)/25))/(LN(2)/25)*Calculateur!CG125*Calculateur!CI125*VLOOKUP('Données projet'!$B$12,Paramètres!$A$1:$I$89,3,0)*0.475*44/12</f>
        <v>19.292947022769273</v>
      </c>
      <c r="CM125" s="21">
        <f>EXP(-LN(2)/2)*CM124+(1-EXP(-LN(2)/2))/(LN(2)/2)*CG125*CJ125*VLOOKUP('Données projet'!$B$12,Paramètres!$A$1:$I$89,3,0)*0.475*44/12</f>
        <v>10.894140556157298</v>
      </c>
      <c r="CN125" s="22">
        <f t="shared" si="66"/>
        <v>47.586932425183363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8.7019999999999982</v>
      </c>
      <c r="CT125" s="12">
        <f>IF('Données projet'!$A$140&gt;35,CT124+CS125-DB124,IF(A125&lt;'Données projet'!$A$140,$CQ$205^A125,IF(A125='Données projet'!$A$140,'Données projet'!$B$140,CT124+CS125-DB124)))</f>
        <v>400.82800000000026</v>
      </c>
      <c r="CU125" s="17">
        <f>CT125*VLOOKUP('Données projet'!$B$13,Paramètres!$A$1:$I$89,3,0)*VLOOKUP('Données projet'!$B$13,Paramètres!$A$1:$I$89,5,0)</f>
        <v>431.45125920000032</v>
      </c>
      <c r="CV125" s="13">
        <f t="shared" si="95"/>
        <v>98.124566489739522</v>
      </c>
      <c r="CW125" s="20">
        <f t="shared" si="67"/>
        <v>922.34456307629682</v>
      </c>
      <c r="CX125" s="59">
        <f t="shared" si="68"/>
        <v>1215.6778964096302</v>
      </c>
      <c r="CY125" s="59">
        <f ca="1">AVERAGE(OFFSET($CX$3,0,0,'Données projet'!$E$13+1,1))-AVERAGE(OFFSET($H$3,0,0,'Données projet'!$E$13+1,1))</f>
        <v>502.65044103360322</v>
      </c>
      <c r="CZ125" s="59">
        <f t="shared" si="96"/>
        <v>321.65762891855167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50.22637109810438</v>
      </c>
      <c r="DG125" s="21">
        <f>EXP(-LN(2)/25)*DG124+(1-EXP(-LN(2)/25))/(LN(2)/25)*Calculateur!DB125*Calculateur!DD125*VLOOKUP('Données projet'!$B$13,Paramètres!$A$1:$I$89,3,0)*0.475*44/12</f>
        <v>22.731501463100248</v>
      </c>
      <c r="DH125" s="21">
        <f>EXP(-LN(2)/2)*DH124+(1-EXP(-LN(2)/2))/(LN(2)/2)*DB125*DE125*VLOOKUP('Données projet'!$B$13,Paramètres!$A$1:$I$89,3,0)*0.475*44/12</f>
        <v>7.24293305913276E-6</v>
      </c>
      <c r="DI125" s="22">
        <f t="shared" si="69"/>
        <v>72.95787980413769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-25.899999999999977</v>
      </c>
      <c r="DP125" s="17">
        <f>DO125*VLOOKUP('Données projet'!$B$14,Paramètres!$A$1:$I$89,3,0)*VLOOKUP('Données projet'!$B$14,Paramètres!$A$1:$I$89,5,0)</f>
        <v>-13.171703999999989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63.94726564348116</v>
      </c>
      <c r="DU125" s="59">
        <f t="shared" si="98"/>
        <v>280.8165028422905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8.250408222295416</v>
      </c>
      <c r="EB125" s="21">
        <f>EXP(-LN(2)/25)*EB124+(1-EXP(-LN(2)/25))/(LN(2)/25)*Calculateur!DW125*Calculateur!DY125*VLOOKUP('Données projet'!$B$14,Paramètres!$A$1:$I$89,3,0)*0.475*44/12</f>
        <v>0.50697635168411415</v>
      </c>
      <c r="EC125" s="21">
        <f>EXP(-LN(2)/2)*EC124+(1-EXP(-LN(2)/2))/(LN(2)/2)*DW125*DZ125*VLOOKUP('Données projet'!$B$14,Paramètres!$A$1:$I$89,3,0)*0.475*44/12</f>
        <v>1.3808347838672227E-15</v>
      </c>
      <c r="ED125" s="22">
        <f t="shared" si="72"/>
        <v>8.7573845739795324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-5.9685589803848416E-13</v>
      </c>
      <c r="O126" s="13">
        <f>N126*VLOOKUP('Données projet'!$B$9,Paramètres!$A$1:$I$89,3,0)*VLOOKUP('Données projet'!$B$9,Paramètres!$A$1:$I$89,5,0)</f>
        <v>-3.4140157367801295E-13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294.9631697747962</v>
      </c>
      <c r="T126" s="59">
        <f t="shared" si="88"/>
        <v>202.04924881627716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70.786828319747642</v>
      </c>
      <c r="AA126" s="21">
        <f>EXP(-LN(2)/25)*AA125+(1-EXP(-LN(2)/25))/(LN(2)/25)*Calculateur!V126*Calculateur!X126*VLOOKUP('Données projet'!$B$9,Paramètres!$A$1:$I$89,3,0)*0.475*44/12</f>
        <v>19.41509670954736</v>
      </c>
      <c r="AB126" s="21">
        <f>EXP(-LN(2)/2)*AB125+(1-EXP(-LN(2)/2))/(LN(2)/2)*V126*Y126*VLOOKUP('Données projet'!$B$9,Paramètres!$A$1:$I$89,3,0)*0.475*44/12</f>
        <v>3.0311933840960939E-2</v>
      </c>
      <c r="AC126" s="22">
        <f t="shared" si="57"/>
        <v>90.232236963135961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349.71285006949597</v>
      </c>
      <c r="AO126" s="59">
        <f t="shared" si="90"/>
        <v>258.51550516456842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65.405329464690823</v>
      </c>
      <c r="AV126" s="21">
        <f>EXP(-LN(2)/25)*AV125+(1-EXP(-LN(2)/25))/(LN(2)/25)*Calculateur!AQ126*Calculateur!AS126*VLOOKUP('Données projet'!$B$10,Paramètres!$A$1:$I$89,3,0)*0.475*44/12</f>
        <v>15.706938180909917</v>
      </c>
      <c r="AW126" s="21">
        <f>EXP(-LN(2)/2)*AW125+(1-EXP(-LN(2)/2))/(LN(2)/2)*AQ126*AT126*VLOOKUP('Données projet'!$B$10,Paramètres!$A$1:$I$89,3,0)*0.475*44/12</f>
        <v>2.3843869050732387E-5</v>
      </c>
      <c r="AX126" s="21">
        <f t="shared" si="60"/>
        <v>81.112291489469783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7.8516666666666692</v>
      </c>
      <c r="BD126" s="12">
        <f>IF('Données projet'!$A$88&gt;35,BD125+BC126-BL125,IF(A126&lt;'Données projet'!$A$88,$BA$205^A126,IF(A126='Données projet'!$A$88,'Données projet'!$B$88,BD125+BC126-BL125)))</f>
        <v>388.90666666666715</v>
      </c>
      <c r="BE126" s="13">
        <f>BD126*VLOOKUP('Données projet'!$B$11,Paramètres!$A$1:$I$89,3,0)*VLOOKUP('Données projet'!$B$11,Paramètres!$A$1:$I$89,5,0)</f>
        <v>351.88275200000038</v>
      </c>
      <c r="BF126" s="13">
        <f t="shared" si="91"/>
        <v>81.950068298221169</v>
      </c>
      <c r="BG126" s="20">
        <f t="shared" si="61"/>
        <v>755.59216201940251</v>
      </c>
      <c r="BH126" s="59">
        <f t="shared" si="62"/>
        <v>1048.9254953527359</v>
      </c>
      <c r="BI126" s="59">
        <f ca="1">AVERAGE(OFFSET($BH$3,0,0,'Données projet'!$E$11+1,1))-AVERAGE(OFFSET($H$3,0,0,'Données projet'!$E$11+1,1))</f>
        <v>490.06222615476065</v>
      </c>
      <c r="BJ126" s="59">
        <f t="shared" si="92"/>
        <v>310.43914804089906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27.775425074860564</v>
      </c>
      <c r="BQ126" s="21">
        <f>EXP(-LN(2)/25)*BQ125+(1-EXP(-LN(2)/25))/(LN(2)/25)*Calculateur!BL126*Calculateur!BN126*VLOOKUP('Données projet'!$B$11,Paramètres!$A$1:$I$89,3,0)*0.475*44/12</f>
        <v>16.561681365794225</v>
      </c>
      <c r="BR126" s="21">
        <f>EXP(-LN(2)/2)*BR125+(1-EXP(-LN(2)/2))/(LN(2)/2)*BL126*BO126*VLOOKUP('Données projet'!$B$11,Paramètres!$A$1:$I$89,3,0)*0.475*44/12</f>
        <v>4.8522986598095712E-3</v>
      </c>
      <c r="BS126" s="22">
        <f t="shared" si="63"/>
        <v>44.341958739314606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267.48206160000007</v>
      </c>
      <c r="CA126" s="13">
        <f t="shared" si="93"/>
        <v>64.314608166975702</v>
      </c>
      <c r="CB126" s="20">
        <f t="shared" si="64"/>
        <v>577.87919984414941</v>
      </c>
      <c r="CC126" s="59">
        <f t="shared" si="65"/>
        <v>871.21253317748278</v>
      </c>
      <c r="CD126" s="59">
        <f ca="1">AVERAGE(OFFSET($CC$3,0,0,'Données projet'!$E$12+1,1))-AVERAGE(OFFSET($H$3,0,0,'Données projet'!$E$12+1,1))</f>
        <v>510.71380643466227</v>
      </c>
      <c r="CE126" s="59">
        <f t="shared" si="94"/>
        <v>252.40654099948841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17.058644501679119</v>
      </c>
      <c r="CL126" s="21">
        <f>EXP(-LN(2)/25)*CL125+(1-EXP(-LN(2)/25))/(LN(2)/25)*Calculateur!CG126*Calculateur!CI126*VLOOKUP('Données projet'!$B$12,Paramètres!$A$1:$I$89,3,0)*0.475*44/12</f>
        <v>18.765380371859656</v>
      </c>
      <c r="CM126" s="21">
        <f>EXP(-LN(2)/2)*CM125+(1-EXP(-LN(2)/2))/(LN(2)/2)*CG126*CJ126*VLOOKUP('Données projet'!$B$12,Paramètres!$A$1:$I$89,3,0)*0.475*44/12</f>
        <v>7.7033206624582125</v>
      </c>
      <c r="CN126" s="22">
        <f t="shared" si="66"/>
        <v>43.527345535996986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409.53</v>
      </c>
      <c r="CR126" s="12">
        <f>VLOOKUP(A126,'Données projet'!$A$139:$I$159,9,0)</f>
        <v>8.7019999999999982</v>
      </c>
      <c r="CS126" s="12">
        <f t="array" ref="CS126">INDEX(CR:CR,MIN(IF(ISNUMBER(CR126:CR322),ROW(CR126:CR322),"")))</f>
        <v>8.7019999999999982</v>
      </c>
      <c r="CT126" s="12">
        <f>IF('Données projet'!$A$140&gt;35,CT125+CS126-DB125,IF(A126&lt;'Données projet'!$A$140,$CQ$205^A126,IF(A126='Données projet'!$A$140,'Données projet'!$B$140,CT125+CS126-DB125)))</f>
        <v>409.53000000000026</v>
      </c>
      <c r="CU126" s="17">
        <f>CT126*VLOOKUP('Données projet'!$B$13,Paramètres!$A$1:$I$89,3,0)*VLOOKUP('Données projet'!$B$13,Paramètres!$A$1:$I$89,5,0)</f>
        <v>440.81809200000026</v>
      </c>
      <c r="CV126" s="13">
        <f t="shared" si="95"/>
        <v>100.00453158078092</v>
      </c>
      <c r="CW126" s="20">
        <f t="shared" si="67"/>
        <v>941.93273606986043</v>
      </c>
      <c r="CX126" s="59">
        <f t="shared" si="68"/>
        <v>1235.2660694031938</v>
      </c>
      <c r="CY126" s="59">
        <f ca="1">AVERAGE(OFFSET($CX$3,0,0,'Données projet'!$E$13+1,1))-AVERAGE(OFFSET($H$3,0,0,'Données projet'!$E$13+1,1))</f>
        <v>502.65044103360322</v>
      </c>
      <c r="CZ126" s="59">
        <f t="shared" si="96"/>
        <v>321.65762891855167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203.78999999999996</v>
      </c>
      <c r="DC126" s="16">
        <f>IF(ISNA(VLOOKUP(A126,'Données projet'!$A$139:$I$159,5,0)),0%,VLOOKUP(A126,'Données projet'!$A$139:$I$159,5,0)*VLOOKUP('Données projet'!$B$13,Paramètres!$A$1:$I$89,7,0))</f>
        <v>0.19350000000000001</v>
      </c>
      <c r="DD126" s="16">
        <f>IF(ISNA(VLOOKUP(A126,'Données projet'!$A$139:$I$159,6,0)),0%,VLOOKUP(A126,'Données projet'!$A$139:$I$159,6,0)*VLOOKUP('Données projet'!$B$13,Paramètres!$A$1:$I$89,7,0))</f>
        <v>2.1500000000000002E-2</v>
      </c>
      <c r="DE126" s="16">
        <f>IF(ISNA(VLOOKUP(A126,'Données projet'!$A$139:$I$159,7,0)),0%,VLOOKUP(A126,'Données projet'!$A$139:$I$159,7,0))</f>
        <v>0.05</v>
      </c>
      <c r="DF126" s="21">
        <f>EXP(-LN(2)/35)*DF125+(1-EXP(-LN(2)/35))/(LN(2)/35)*DB126*DC126*VLOOKUP('Données projet'!$B$13,Paramètres!$A$1:$I$89,3,0)*0.475*44/12</f>
        <v>96.164340225466105</v>
      </c>
      <c r="DG126" s="21">
        <f>EXP(-LN(2)/25)*DG125+(1-EXP(-LN(2)/25))/(LN(2)/25)*Calculateur!DB126*Calculateur!DD126*VLOOKUP('Données projet'!$B$13,Paramètres!$A$1:$I$89,3,0)*0.475*44/12</f>
        <v>27.303032291448353</v>
      </c>
      <c r="DH126" s="21">
        <f>EXP(-LN(2)/2)*DH125+(1-EXP(-LN(2)/2))/(LN(2)/2)*DB126*DE126*VLOOKUP('Données projet'!$B$13,Paramètres!$A$1:$I$89,3,0)*0.475*44/12</f>
        <v>10.348587374621472</v>
      </c>
      <c r="DI126" s="22">
        <f t="shared" si="69"/>
        <v>133.81595989153593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-25.899999999999977</v>
      </c>
      <c r="DP126" s="17">
        <f>DO126*VLOOKUP('Données projet'!$B$14,Paramètres!$A$1:$I$89,3,0)*VLOOKUP('Données projet'!$B$14,Paramètres!$A$1:$I$89,5,0)</f>
        <v>-13.171703999999989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63.94726564348116</v>
      </c>
      <c r="DU126" s="59">
        <f t="shared" si="98"/>
        <v>280.8165028422905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8.0886227493083247</v>
      </c>
      <c r="EB126" s="21">
        <f>EXP(-LN(2)/25)*EB125+(1-EXP(-LN(2)/25))/(LN(2)/25)*Calculateur!DW126*Calculateur!DY126*VLOOKUP('Données projet'!$B$14,Paramètres!$A$1:$I$89,3,0)*0.475*44/12</f>
        <v>0.49311305668658439</v>
      </c>
      <c r="EC126" s="21">
        <f>EXP(-LN(2)/2)*EC125+(1-EXP(-LN(2)/2))/(LN(2)/2)*DW126*DZ126*VLOOKUP('Données projet'!$B$14,Paramètres!$A$1:$I$89,3,0)*0.475*44/12</f>
        <v>9.7639763937077386E-16</v>
      </c>
      <c r="ED126" s="22">
        <f t="shared" si="72"/>
        <v>8.58173580599491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-5.9685589803848416E-13</v>
      </c>
      <c r="O127" s="13">
        <f>N127*VLOOKUP('Données projet'!$B$9,Paramètres!$A$1:$I$89,3,0)*VLOOKUP('Données projet'!$B$9,Paramètres!$A$1:$I$89,5,0)</f>
        <v>-3.4140157367801295E-13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294.9631697747962</v>
      </c>
      <c r="T127" s="59">
        <f t="shared" si="88"/>
        <v>202.04924881627716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69.398741792099415</v>
      </c>
      <c r="AA127" s="21">
        <f>EXP(-LN(2)/25)*AA126+(1-EXP(-LN(2)/25))/(LN(2)/25)*Calculateur!V127*Calculateur!X127*VLOOKUP('Données projet'!$B$9,Paramètres!$A$1:$I$89,3,0)*0.475*44/12</f>
        <v>18.884189869029225</v>
      </c>
      <c r="AB127" s="21">
        <f>EXP(-LN(2)/2)*AB126+(1-EXP(-LN(2)/2))/(LN(2)/2)*V127*Y127*VLOOKUP('Données projet'!$B$9,Paramètres!$A$1:$I$89,3,0)*0.475*44/12</f>
        <v>2.1433773969821473E-2</v>
      </c>
      <c r="AC127" s="22">
        <f t="shared" si="57"/>
        <v>88.304365435098461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349.71285006949597</v>
      </c>
      <c r="AO127" s="59">
        <f t="shared" si="90"/>
        <v>258.51550516456842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64.122770847200073</v>
      </c>
      <c r="AV127" s="21">
        <f>EXP(-LN(2)/25)*AV126+(1-EXP(-LN(2)/25))/(LN(2)/25)*Calculateur!AQ127*Calculateur!AS127*VLOOKUP('Données projet'!$B$10,Paramètres!$A$1:$I$89,3,0)*0.475*44/12</f>
        <v>15.277431130360956</v>
      </c>
      <c r="AW127" s="21">
        <f>EXP(-LN(2)/2)*AW126+(1-EXP(-LN(2)/2))/(LN(2)/2)*AQ127*AT127*VLOOKUP('Données projet'!$B$10,Paramètres!$A$1:$I$89,3,0)*0.475*44/12</f>
        <v>1.6860161495496918E-5</v>
      </c>
      <c r="AX127" s="21">
        <f t="shared" si="60"/>
        <v>79.40021883772252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7.8516666666666692</v>
      </c>
      <c r="BD127" s="12">
        <f>IF('Données projet'!$A$88&gt;35,BD126+BC127-BL126,IF(A127&lt;'Données projet'!$A$88,$BA$205^A127,IF(A127='Données projet'!$A$88,'Données projet'!$B$88,BD126+BC127-BL126)))</f>
        <v>396.75833333333384</v>
      </c>
      <c r="BE127" s="13">
        <f>BD127*VLOOKUP('Données projet'!$B$11,Paramètres!$A$1:$I$89,3,0)*VLOOKUP('Données projet'!$B$11,Paramètres!$A$1:$I$89,5,0)</f>
        <v>358.98694000000046</v>
      </c>
      <c r="BF127" s="13">
        <f t="shared" si="91"/>
        <v>83.410276195636754</v>
      </c>
      <c r="BG127" s="20">
        <f t="shared" si="61"/>
        <v>770.50848487406813</v>
      </c>
      <c r="BH127" s="59">
        <f t="shared" si="62"/>
        <v>1063.8418182074015</v>
      </c>
      <c r="BI127" s="59">
        <f ca="1">AVERAGE(OFFSET($BH$3,0,0,'Données projet'!$E$11+1,1))-AVERAGE(OFFSET($H$3,0,0,'Données projet'!$E$11+1,1))</f>
        <v>490.06222615476065</v>
      </c>
      <c r="BJ127" s="59">
        <f t="shared" si="92"/>
        <v>310.43914804089906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27.230765930479027</v>
      </c>
      <c r="BQ127" s="21">
        <f>EXP(-LN(2)/25)*BQ126+(1-EXP(-LN(2)/25))/(LN(2)/25)*Calculateur!BL127*Calculateur!BN127*VLOOKUP('Données projet'!$B$11,Paramètres!$A$1:$I$89,3,0)*0.475*44/12</f>
        <v>16.108801317905613</v>
      </c>
      <c r="BR127" s="21">
        <f>EXP(-LN(2)/2)*BR126+(1-EXP(-LN(2)/2))/(LN(2)/2)*BL127*BO127*VLOOKUP('Données projet'!$B$11,Paramètres!$A$1:$I$89,3,0)*0.475*44/12</f>
        <v>3.4310932866937443E-3</v>
      </c>
      <c r="BS127" s="22">
        <f t="shared" si="63"/>
        <v>43.342998341671333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274.36175520000006</v>
      </c>
      <c r="CA127" s="13">
        <f t="shared" si="93"/>
        <v>65.7740786926813</v>
      </c>
      <c r="CB127" s="20">
        <f t="shared" si="64"/>
        <v>592.4032440297533</v>
      </c>
      <c r="CC127" s="59">
        <f t="shared" si="65"/>
        <v>885.73657736308655</v>
      </c>
      <c r="CD127" s="59">
        <f ca="1">AVERAGE(OFFSET($CC$3,0,0,'Données projet'!$E$12+1,1))-AVERAGE(OFFSET($H$3,0,0,'Données projet'!$E$12+1,1))</f>
        <v>510.71380643466227</v>
      </c>
      <c r="CE127" s="59">
        <f t="shared" si="94"/>
        <v>252.40654099948841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16.724134887746953</v>
      </c>
      <c r="CL127" s="21">
        <f>EXP(-LN(2)/25)*CL126+(1-EXP(-LN(2)/25))/(LN(2)/25)*Calculateur!CG127*Calculateur!CI127*VLOOKUP('Données projet'!$B$12,Paramètres!$A$1:$I$89,3,0)*0.475*44/12</f>
        <v>18.252240058762688</v>
      </c>
      <c r="CM127" s="21">
        <f>EXP(-LN(2)/2)*CM126+(1-EXP(-LN(2)/2))/(LN(2)/2)*CG127*CJ127*VLOOKUP('Données projet'!$B$12,Paramètres!$A$1:$I$89,3,0)*0.475*44/12</f>
        <v>5.44707027807865</v>
      </c>
      <c r="CN127" s="22">
        <f t="shared" si="66"/>
        <v>40.423445224588285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4.8499999999999943</v>
      </c>
      <c r="CT127" s="12">
        <f>IF('Données projet'!$A$140&gt;35,CT126+CS127-DB126,IF(A127&lt;'Données projet'!$A$140,$CQ$205^A127,IF(A127='Données projet'!$A$140,'Données projet'!$B$140,CT126+CS127-DB126)))</f>
        <v>210.59000000000026</v>
      </c>
      <c r="CU127" s="17">
        <f>CT127*VLOOKUP('Données projet'!$B$13,Paramètres!$A$1:$I$89,3,0)*VLOOKUP('Données projet'!$B$13,Paramètres!$A$1:$I$89,5,0)</f>
        <v>226.67907600000026</v>
      </c>
      <c r="CV127" s="13">
        <f t="shared" si="95"/>
        <v>55.564013437483126</v>
      </c>
      <c r="CW127" s="20">
        <f t="shared" si="67"/>
        <v>491.57338077028345</v>
      </c>
      <c r="CX127" s="59">
        <f t="shared" si="68"/>
        <v>784.90671410361676</v>
      </c>
      <c r="CY127" s="59">
        <f ca="1">AVERAGE(OFFSET($CX$3,0,0,'Données projet'!$E$13+1,1))-AVERAGE(OFFSET($H$3,0,0,'Données projet'!$E$13+1,1))</f>
        <v>502.65044103360322</v>
      </c>
      <c r="CZ127" s="59">
        <f t="shared" si="96"/>
        <v>321.65762891855167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94.278616168100612</v>
      </c>
      <c r="DG127" s="21">
        <f>EXP(-LN(2)/25)*DG126+(1-EXP(-LN(2)/25))/(LN(2)/25)*Calculateur!DB127*Calculateur!DD127*VLOOKUP('Données projet'!$B$13,Paramètres!$A$1:$I$89,3,0)*0.475*44/12</f>
        <v>26.55642943763463</v>
      </c>
      <c r="DH127" s="21">
        <f>EXP(-LN(2)/2)*DH126+(1-EXP(-LN(2)/2))/(LN(2)/2)*DB127*DE127*VLOOKUP('Données projet'!$B$13,Paramètres!$A$1:$I$89,3,0)*0.475*44/12</f>
        <v>7.317556308296334</v>
      </c>
      <c r="DI127" s="22">
        <f t="shared" si="69"/>
        <v>128.15260191403158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-25.899999999999977</v>
      </c>
      <c r="DP127" s="17">
        <f>DO127*VLOOKUP('Données projet'!$B$14,Paramètres!$A$1:$I$89,3,0)*VLOOKUP('Données projet'!$B$14,Paramètres!$A$1:$I$89,5,0)</f>
        <v>-13.171703999999989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63.94726564348116</v>
      </c>
      <c r="DU127" s="59">
        <f t="shared" si="98"/>
        <v>280.8165028422905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7.9300097907671159</v>
      </c>
      <c r="EB127" s="21">
        <f>EXP(-LN(2)/25)*EB126+(1-EXP(-LN(2)/25))/(LN(2)/25)*Calculateur!DW127*Calculateur!DY127*VLOOKUP('Données projet'!$B$14,Paramètres!$A$1:$I$89,3,0)*0.475*44/12</f>
        <v>0.47962885421980112</v>
      </c>
      <c r="EC127" s="21">
        <f>EXP(-LN(2)/2)*EC126+(1-EXP(-LN(2)/2))/(LN(2)/2)*DW127*DZ127*VLOOKUP('Données projet'!$B$14,Paramètres!$A$1:$I$89,3,0)*0.475*44/12</f>
        <v>6.9041739193361134E-16</v>
      </c>
      <c r="ED127" s="22">
        <f t="shared" si="72"/>
        <v>8.4096386449869165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-5.9685589803848416E-13</v>
      </c>
      <c r="O128" s="13">
        <f>N128*VLOOKUP('Données projet'!$B$9,Paramètres!$A$1:$I$89,3,0)*VLOOKUP('Données projet'!$B$9,Paramètres!$A$1:$I$89,5,0)</f>
        <v>-3.4140157367801295E-13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294.9631697747962</v>
      </c>
      <c r="T128" s="59">
        <f t="shared" si="88"/>
        <v>202.04924881627716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68.037874794609195</v>
      </c>
      <c r="AA128" s="21">
        <f>EXP(-LN(2)/25)*AA127+(1-EXP(-LN(2)/25))/(LN(2)/25)*Calculateur!V128*Calculateur!X128*VLOOKUP('Données projet'!$B$9,Paramètres!$A$1:$I$89,3,0)*0.475*44/12</f>
        <v>18.367800703984237</v>
      </c>
      <c r="AB128" s="21">
        <f>EXP(-LN(2)/2)*AB127+(1-EXP(-LN(2)/2))/(LN(2)/2)*V128*Y128*VLOOKUP('Données projet'!$B$9,Paramètres!$A$1:$I$89,3,0)*0.475*44/12</f>
        <v>1.5155966920480471E-2</v>
      </c>
      <c r="AC128" s="22">
        <f t="shared" si="57"/>
        <v>86.420831465513913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349.71285006949597</v>
      </c>
      <c r="AO128" s="59">
        <f t="shared" si="90"/>
        <v>258.51550516456842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62.865362421914803</v>
      </c>
      <c r="AV128" s="21">
        <f>EXP(-LN(2)/25)*AV127+(1-EXP(-LN(2)/25))/(LN(2)/25)*Calculateur!AQ128*Calculateur!AS128*VLOOKUP('Données projet'!$B$10,Paramètres!$A$1:$I$89,3,0)*0.475*44/12</f>
        <v>14.859668972696049</v>
      </c>
      <c r="AW128" s="21">
        <f>EXP(-LN(2)/2)*AW127+(1-EXP(-LN(2)/2))/(LN(2)/2)*AQ128*AT128*VLOOKUP('Données projet'!$B$10,Paramètres!$A$1:$I$89,3,0)*0.475*44/12</f>
        <v>1.1921934525366193E-5</v>
      </c>
      <c r="AX128" s="21">
        <f t="shared" si="60"/>
        <v>77.725043316545381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7.8516666666666692</v>
      </c>
      <c r="BC128" s="12">
        <f t="array" ref="BC128">INDEX(BB:BB,MIN(IF(ISNUMBER(BB128:BB324),ROW(BB128:BB324),"")))</f>
        <v>7.8516666666666692</v>
      </c>
      <c r="BD128" s="12">
        <f>IF('Données projet'!$A$88&gt;35,BD127+BC128-BL127,IF(A128&lt;'Données projet'!$A$88,$BA$205^A128,IF(A128='Données projet'!$A$88,'Données projet'!$B$88,BD127+BC128-BL127)))</f>
        <v>404.61000000000053</v>
      </c>
      <c r="BE128" s="13">
        <f>BD128*VLOOKUP('Données projet'!$B$11,Paramètres!$A$1:$I$89,3,0)*VLOOKUP('Données projet'!$B$11,Paramètres!$A$1:$I$89,5,0)</f>
        <v>366.09112800000048</v>
      </c>
      <c r="BF128" s="13">
        <f t="shared" si="91"/>
        <v>84.86712413904533</v>
      </c>
      <c r="BG128" s="20">
        <f t="shared" si="61"/>
        <v>785.41895580883818</v>
      </c>
      <c r="BH128" s="59">
        <f t="shared" si="62"/>
        <v>1078.7522891421715</v>
      </c>
      <c r="BI128" s="59">
        <f ca="1">AVERAGE(OFFSET($BH$3,0,0,'Données projet'!$E$11+1,1))-AVERAGE(OFFSET($H$3,0,0,'Données projet'!$E$11+1,1))</f>
        <v>490.06222615476065</v>
      </c>
      <c r="BJ128" s="59">
        <f t="shared" si="92"/>
        <v>310.43914804089906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70</v>
      </c>
      <c r="BM128" s="16">
        <f>IF(ISNA(VLOOKUP(A128,'Données projet'!$A$87:$I$107,5,0)),0%,VLOOKUP(A128,'Données projet'!$A$87:$I$107,5,0)*VLOOKUP('Données projet'!$B$11,Paramètres!$A$1:$I$89,7,0))</f>
        <v>0.215</v>
      </c>
      <c r="BN128" s="16">
        <f>IF(ISNA(VLOOKUP(A128,'Données projet'!$A$87:$I$107,6,0)),0%,VLOOKUP(A128,'Données projet'!$A$87:$I$107,6,0)*VLOOKUP('Données projet'!$B$11,Paramètres!$A$1:$I$89,7,0))</f>
        <v>8.6000000000000007E-2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41.750242690700809</v>
      </c>
      <c r="BQ128" s="21">
        <f>EXP(-LN(2)/25)*BQ127+(1-EXP(-LN(2)/25))/(LN(2)/25)*Calculateur!BL128*Calculateur!BN128*VLOOKUP('Données projet'!$B$11,Paramètres!$A$1:$I$89,3,0)*0.475*44/12</f>
        <v>21.665979011136745</v>
      </c>
      <c r="BR128" s="21">
        <f>EXP(-LN(2)/2)*BR127+(1-EXP(-LN(2)/2))/(LN(2)/2)*BL128*BO128*VLOOKUP('Données projet'!$B$11,Paramètres!$A$1:$I$89,3,0)*0.475*44/12</f>
        <v>2.4261493299047856E-3</v>
      </c>
      <c r="BS128" s="22">
        <f t="shared" si="63"/>
        <v>63.418647851167464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281.24144880000006</v>
      </c>
      <c r="CA128" s="13">
        <f t="shared" si="93"/>
        <v>67.2292951125862</v>
      </c>
      <c r="CB128" s="20">
        <f t="shared" si="64"/>
        <v>606.91987898108778</v>
      </c>
      <c r="CC128" s="59">
        <f t="shared" si="65"/>
        <v>900.25321231442103</v>
      </c>
      <c r="CD128" s="59">
        <f ca="1">AVERAGE(OFFSET($CC$3,0,0,'Données projet'!$E$12+1,1))-AVERAGE(OFFSET($H$3,0,0,'Données projet'!$E$12+1,1))</f>
        <v>510.71380643466227</v>
      </c>
      <c r="CE128" s="59">
        <f t="shared" si="94"/>
        <v>252.40654099948841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16.396184803313279</v>
      </c>
      <c r="CL128" s="21">
        <f>EXP(-LN(2)/25)*CL127+(1-EXP(-LN(2)/25))/(LN(2)/25)*Calculateur!CG128*Calculateur!CI128*VLOOKUP('Données projet'!$B$12,Paramètres!$A$1:$I$89,3,0)*0.475*44/12</f>
        <v>17.753131594512233</v>
      </c>
      <c r="CM128" s="21">
        <f>EXP(-LN(2)/2)*CM127+(1-EXP(-LN(2)/2))/(LN(2)/2)*CG128*CJ128*VLOOKUP('Données projet'!$B$12,Paramètres!$A$1:$I$89,3,0)*0.475*44/12</f>
        <v>3.8516603312291067</v>
      </c>
      <c r="CN128" s="22">
        <f t="shared" si="66"/>
        <v>38.000976729054621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215.44</v>
      </c>
      <c r="CR128" s="12">
        <f>VLOOKUP(A128,'Données projet'!$A$139:$I$159,9,0)</f>
        <v>4.8499999999999943</v>
      </c>
      <c r="CS128" s="12">
        <f t="array" ref="CS128">INDEX(CR:CR,MIN(IF(ISNUMBER(CR128:CR324),ROW(CR128:CR324),"")))</f>
        <v>4.8499999999999943</v>
      </c>
      <c r="CT128" s="12">
        <f>IF('Données projet'!$A$140&gt;35,CT127+CS128-DB127,IF(A128&lt;'Données projet'!$A$140,$CQ$205^A128,IF(A128='Données projet'!$A$140,'Données projet'!$B$140,CT127+CS128-DB127)))</f>
        <v>215.44000000000025</v>
      </c>
      <c r="CU128" s="17">
        <f>CT128*VLOOKUP('Données projet'!$B$13,Paramètres!$A$1:$I$89,3,0)*VLOOKUP('Données projet'!$B$13,Paramètres!$A$1:$I$89,5,0)</f>
        <v>231.89961600000024</v>
      </c>
      <c r="CV128" s="13">
        <f t="shared" si="95"/>
        <v>56.693226090154134</v>
      </c>
      <c r="CW128" s="20">
        <f t="shared" si="67"/>
        <v>502.63253330701883</v>
      </c>
      <c r="CX128" s="59">
        <f t="shared" si="68"/>
        <v>795.96586664035215</v>
      </c>
      <c r="CY128" s="59">
        <f ca="1">AVERAGE(OFFSET($CX$3,0,0,'Données projet'!$E$13+1,1))-AVERAGE(OFFSET($H$3,0,0,'Données projet'!$E$13+1,1))</f>
        <v>502.65044103360322</v>
      </c>
      <c r="CZ128" s="59">
        <f t="shared" si="96"/>
        <v>321.65762891855167</v>
      </c>
      <c r="DA128" s="15">
        <f>IF(ISNA(VLOOKUP(A128,'Données projet'!$A$139:$I$159,3,0)),0,VLOOKUP(A128,'Données projet'!$A$139:$I$159,3,0))</f>
        <v>12</v>
      </c>
      <c r="DB128" s="15">
        <f>IF(ISNA(VLOOKUP(A128,'Données projet'!$A$139:$I$159,4,0)),0,VLOOKUP(A128,'Données projet'!$A$139:$I$159,4,0))</f>
        <v>70.609999999999985</v>
      </c>
      <c r="DC128" s="16">
        <f>IF(ISNA(VLOOKUP(A128,'Données projet'!$A$139:$I$159,5,0)),0%,VLOOKUP(A128,'Données projet'!$A$139:$I$159,5,0)*VLOOKUP('Données projet'!$B$13,Paramètres!$A$1:$I$89,7,0))</f>
        <v>0.19350000000000001</v>
      </c>
      <c r="DD128" s="16">
        <f>IF(ISNA(VLOOKUP(A128,'Données projet'!$A$139:$I$159,6,0)),0%,VLOOKUP(A128,'Données projet'!$A$139:$I$159,6,0)*VLOOKUP('Données projet'!$B$13,Paramètres!$A$1:$I$89,7,0))</f>
        <v>2.1500000000000002E-2</v>
      </c>
      <c r="DE128" s="16">
        <f>IF(ISNA(VLOOKUP(A128,'Données projet'!$A$139:$I$159,7,0)),0%,VLOOKUP(A128,'Données projet'!$A$139:$I$159,7,0))</f>
        <v>0.05</v>
      </c>
      <c r="DF128" s="21">
        <f>EXP(-LN(2)/35)*DF127+(1-EXP(-LN(2)/35))/(LN(2)/35)*DB128*DC128*VLOOKUP('Données projet'!$B$13,Paramètres!$A$1:$I$89,3,0)*0.475*44/12</f>
        <v>108.68790224555241</v>
      </c>
      <c r="DG128" s="21">
        <f>EXP(-LN(2)/25)*DG127+(1-EXP(-LN(2)/25))/(LN(2)/25)*Calculateur!DB128*Calculateur!DD128*VLOOKUP('Données projet'!$B$13,Paramètres!$A$1:$I$89,3,0)*0.475*44/12</f>
        <v>27.629577830178413</v>
      </c>
      <c r="DH128" s="21">
        <f>EXP(-LN(2)/2)*DH127+(1-EXP(-LN(2)/2))/(LN(2)/2)*DB128*DE128*VLOOKUP('Données projet'!$B$13,Paramètres!$A$1:$I$89,3,0)*0.475*44/12</f>
        <v>8.7599131627069529</v>
      </c>
      <c r="DI128" s="22">
        <f t="shared" si="69"/>
        <v>145.07739323843779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-25.899999999999977</v>
      </c>
      <c r="DP128" s="17">
        <f>DO128*VLOOKUP('Données projet'!$B$14,Paramètres!$A$1:$I$89,3,0)*VLOOKUP('Données projet'!$B$14,Paramètres!$A$1:$I$89,5,0)</f>
        <v>-13.171703999999989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63.94726564348116</v>
      </c>
      <c r="DU128" s="59">
        <f t="shared" si="98"/>
        <v>280.8165028422905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7.7745071355985482</v>
      </c>
      <c r="EB128" s="21">
        <f>EXP(-LN(2)/25)*EB127+(1-EXP(-LN(2)/25))/(LN(2)/25)*Calculateur!DW128*Calculateur!DY128*VLOOKUP('Données projet'!$B$14,Paramètres!$A$1:$I$89,3,0)*0.475*44/12</f>
        <v>0.46651337797857539</v>
      </c>
      <c r="EC128" s="21">
        <f>EXP(-LN(2)/2)*EC127+(1-EXP(-LN(2)/2))/(LN(2)/2)*DW128*DZ128*VLOOKUP('Données projet'!$B$14,Paramètres!$A$1:$I$89,3,0)*0.475*44/12</f>
        <v>4.8819881968538693E-16</v>
      </c>
      <c r="ED128" s="22">
        <f t="shared" si="72"/>
        <v>8.2410205135771228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-5.9685589803848416E-13</v>
      </c>
      <c r="O129" s="13">
        <f>N129*VLOOKUP('Données projet'!$B$9,Paramètres!$A$1:$I$89,3,0)*VLOOKUP('Données projet'!$B$9,Paramètres!$A$1:$I$89,5,0)</f>
        <v>-3.4140157367801295E-13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294.9631697747962</v>
      </c>
      <c r="T129" s="59">
        <f t="shared" si="88"/>
        <v>202.04924881627716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66.703693568892845</v>
      </c>
      <c r="AA129" s="21">
        <f>EXP(-LN(2)/25)*AA128+(1-EXP(-LN(2)/25))/(LN(2)/25)*Calculateur!V129*Calculateur!X129*VLOOKUP('Données projet'!$B$9,Paramètres!$A$1:$I$89,3,0)*0.475*44/12</f>
        <v>17.86553222781313</v>
      </c>
      <c r="AB129" s="21">
        <f>EXP(-LN(2)/2)*AB128+(1-EXP(-LN(2)/2))/(LN(2)/2)*V129*Y129*VLOOKUP('Données projet'!$B$9,Paramètres!$A$1:$I$89,3,0)*0.475*44/12</f>
        <v>1.0716886984910738E-2</v>
      </c>
      <c r="AC129" s="22">
        <f t="shared" si="57"/>
        <v>84.579942683690888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349.71285006949597</v>
      </c>
      <c r="AO129" s="59">
        <f t="shared" si="90"/>
        <v>258.51550516456842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61.632611008905968</v>
      </c>
      <c r="AV129" s="21">
        <f>EXP(-LN(2)/25)*AV128+(1-EXP(-LN(2)/25))/(LN(2)/25)*Calculateur!AQ129*Calculateur!AS129*VLOOKUP('Données projet'!$B$10,Paramètres!$A$1:$I$89,3,0)*0.475*44/12</f>
        <v>14.453330543201647</v>
      </c>
      <c r="AW129" s="21">
        <f>EXP(-LN(2)/2)*AW128+(1-EXP(-LN(2)/2))/(LN(2)/2)*AQ129*AT129*VLOOKUP('Données projet'!$B$10,Paramètres!$A$1:$I$89,3,0)*0.475*44/12</f>
        <v>8.4300807477484592E-6</v>
      </c>
      <c r="AX129" s="21">
        <f t="shared" si="60"/>
        <v>76.085949982188367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7.7849999999999966</v>
      </c>
      <c r="BD129" s="12">
        <f>IF('Données projet'!$A$88&gt;35,BD128+BC129-BL128,IF(A129&lt;'Données projet'!$A$88,$BA$205^A129,IF(A129='Données projet'!$A$88,'Données projet'!$B$88,BD128+BC129-BL128)))</f>
        <v>342.39500000000055</v>
      </c>
      <c r="BE129" s="13">
        <f>BD129*VLOOKUP('Données projet'!$B$11,Paramètres!$A$1:$I$89,3,0)*VLOOKUP('Données projet'!$B$11,Paramètres!$A$1:$I$89,5,0)</f>
        <v>309.7989960000005</v>
      </c>
      <c r="BF129" s="13">
        <f t="shared" si="91"/>
        <v>73.226850951914003</v>
      </c>
      <c r="BG129" s="20">
        <f t="shared" si="61"/>
        <v>667.10335010791766</v>
      </c>
      <c r="BH129" s="59">
        <f t="shared" si="62"/>
        <v>960.43668344125103</v>
      </c>
      <c r="BI129" s="59">
        <f ca="1">AVERAGE(OFFSET($BH$3,0,0,'Données projet'!$E$11+1,1))-AVERAGE(OFFSET($H$3,0,0,'Données projet'!$E$11+1,1))</f>
        <v>490.06222615476065</v>
      </c>
      <c r="BJ129" s="59">
        <f t="shared" si="92"/>
        <v>310.43914804089906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40.931545896669732</v>
      </c>
      <c r="BQ129" s="21">
        <f>EXP(-LN(2)/25)*BQ128+(1-EXP(-LN(2)/25))/(LN(2)/25)*Calculateur!BL129*Calculateur!BN129*VLOOKUP('Données projet'!$B$11,Paramètres!$A$1:$I$89,3,0)*0.475*44/12</f>
        <v>21.073521675712893</v>
      </c>
      <c r="BR129" s="21">
        <f>EXP(-LN(2)/2)*BR128+(1-EXP(-LN(2)/2))/(LN(2)/2)*BL129*BO129*VLOOKUP('Données projet'!$B$11,Paramètres!$A$1:$I$89,3,0)*0.475*44/12</f>
        <v>1.7155466433468722E-3</v>
      </c>
      <c r="BS129" s="22">
        <f t="shared" si="63"/>
        <v>62.006783119025975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288.12114240000005</v>
      </c>
      <c r="CA129" s="13">
        <f t="shared" si="93"/>
        <v>68.680373461245836</v>
      </c>
      <c r="CB129" s="20">
        <f t="shared" si="64"/>
        <v>621.42930679167</v>
      </c>
      <c r="CC129" s="59">
        <f t="shared" si="65"/>
        <v>914.76264012500337</v>
      </c>
      <c r="CD129" s="59">
        <f ca="1">AVERAGE(OFFSET($CC$3,0,0,'Données projet'!$E$12+1,1))-AVERAGE(OFFSET($H$3,0,0,'Données projet'!$E$12+1,1))</f>
        <v>510.71380643466227</v>
      </c>
      <c r="CE129" s="59">
        <f t="shared" si="94"/>
        <v>252.40654099948841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16.07466562000555</v>
      </c>
      <c r="CL129" s="21">
        <f>EXP(-LN(2)/25)*CL128+(1-EXP(-LN(2)/25))/(LN(2)/25)*Calculateur!CG129*Calculateur!CI129*VLOOKUP('Données projet'!$B$12,Paramètres!$A$1:$I$89,3,0)*0.475*44/12</f>
        <v>17.26767127746368</v>
      </c>
      <c r="CM129" s="21">
        <f>EXP(-LN(2)/2)*CM128+(1-EXP(-LN(2)/2))/(LN(2)/2)*CG129*CJ129*VLOOKUP('Données projet'!$B$12,Paramètres!$A$1:$I$89,3,0)*0.475*44/12</f>
        <v>2.7235351390393254</v>
      </c>
      <c r="CN129" s="22">
        <f t="shared" si="66"/>
        <v>36.065872036508559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3.3249999999999886</v>
      </c>
      <c r="CT129" s="12">
        <f>IF('Données projet'!$A$140&gt;35,CT128+CS129-DB128,IF(A129&lt;'Données projet'!$A$140,$CQ$205^A129,IF(A129='Données projet'!$A$140,'Données projet'!$B$140,CT128+CS129-DB128)))</f>
        <v>148.15500000000026</v>
      </c>
      <c r="CU129" s="17">
        <f>CT129*VLOOKUP('Données projet'!$B$13,Paramètres!$A$1:$I$89,3,0)*VLOOKUP('Données projet'!$B$13,Paramètres!$A$1:$I$89,5,0)</f>
        <v>159.47404200000028</v>
      </c>
      <c r="CV129" s="13">
        <f t="shared" si="95"/>
        <v>40.723861387649414</v>
      </c>
      <c r="CW129" s="20">
        <f t="shared" si="67"/>
        <v>348.67801506682321</v>
      </c>
      <c r="CX129" s="59">
        <f t="shared" si="68"/>
        <v>642.01134840015652</v>
      </c>
      <c r="CY129" s="59">
        <f ca="1">AVERAGE(OFFSET($CX$3,0,0,'Données projet'!$E$13+1,1))-AVERAGE(OFFSET($H$3,0,0,'Données projet'!$E$13+1,1))</f>
        <v>502.65044103360322</v>
      </c>
      <c r="CZ129" s="59">
        <f t="shared" si="96"/>
        <v>321.65762891855167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106.5565987755916</v>
      </c>
      <c r="DG129" s="21">
        <f>EXP(-LN(2)/25)*DG128+(1-EXP(-LN(2)/25))/(LN(2)/25)*Calculateur!DB129*Calculateur!DD129*VLOOKUP('Données projet'!$B$13,Paramètres!$A$1:$I$89,3,0)*0.475*44/12</f>
        <v>26.874045571435833</v>
      </c>
      <c r="DH129" s="21">
        <f>EXP(-LN(2)/2)*DH128+(1-EXP(-LN(2)/2))/(LN(2)/2)*DB129*DE129*VLOOKUP('Données projet'!$B$13,Paramètres!$A$1:$I$89,3,0)*0.475*44/12</f>
        <v>6.1941939999553828</v>
      </c>
      <c r="DI129" s="22">
        <f t="shared" si="69"/>
        <v>139.62483834698281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-25.899999999999977</v>
      </c>
      <c r="DP129" s="17">
        <f>DO129*VLOOKUP('Données projet'!$B$14,Paramètres!$A$1:$I$89,3,0)*VLOOKUP('Données projet'!$B$14,Paramètres!$A$1:$I$89,5,0)</f>
        <v>-13.171703999999989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63.94726564348116</v>
      </c>
      <c r="DU129" s="59">
        <f t="shared" si="98"/>
        <v>280.8165028422905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7.6220537926505818</v>
      </c>
      <c r="EB129" s="21">
        <f>EXP(-LN(2)/25)*EB128+(1-EXP(-LN(2)/25))/(LN(2)/25)*Calculateur!DW129*Calculateur!DY129*VLOOKUP('Données projet'!$B$14,Paramètres!$A$1:$I$89,3,0)*0.475*44/12</f>
        <v>0.45375654512487895</v>
      </c>
      <c r="EC129" s="21">
        <f>EXP(-LN(2)/2)*EC128+(1-EXP(-LN(2)/2))/(LN(2)/2)*DW129*DZ129*VLOOKUP('Données projet'!$B$14,Paramètres!$A$1:$I$89,3,0)*0.475*44/12</f>
        <v>3.4520869596680567E-16</v>
      </c>
      <c r="ED129" s="22">
        <f t="shared" si="72"/>
        <v>8.0758103377754615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-5.9685589803848416E-13</v>
      </c>
      <c r="O130" s="13">
        <f>N130*VLOOKUP('Données projet'!$B$9,Paramètres!$A$1:$I$89,3,0)*VLOOKUP('Données projet'!$B$9,Paramètres!$A$1:$I$89,5,0)</f>
        <v>-3.4140157367801295E-13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294.9631697747962</v>
      </c>
      <c r="T130" s="59">
        <f t="shared" si="88"/>
        <v>202.04924881627716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65.395674823242601</v>
      </c>
      <c r="AA130" s="21">
        <f>EXP(-LN(2)/25)*AA129+(1-EXP(-LN(2)/25))/(LN(2)/25)*Calculateur!V130*Calculateur!X130*VLOOKUP('Données projet'!$B$9,Paramètres!$A$1:$I$89,3,0)*0.475*44/12</f>
        <v>17.376998309536074</v>
      </c>
      <c r="AB130" s="21">
        <f>EXP(-LN(2)/2)*AB129+(1-EXP(-LN(2)/2))/(LN(2)/2)*V130*Y130*VLOOKUP('Données projet'!$B$9,Paramètres!$A$1:$I$89,3,0)*0.475*44/12</f>
        <v>7.5779834602402365E-3</v>
      </c>
      <c r="AC130" s="22">
        <f t="shared" si="57"/>
        <v>82.780251116238915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349.71285006949597</v>
      </c>
      <c r="AO130" s="59">
        <f t="shared" si="90"/>
        <v>258.51550516456842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60.42403309920212</v>
      </c>
      <c r="AV130" s="21">
        <f>EXP(-LN(2)/25)*AV129+(1-EXP(-LN(2)/25))/(LN(2)/25)*Calculateur!AQ130*Calculateur!AS130*VLOOKUP('Données projet'!$B$10,Paramètres!$A$1:$I$89,3,0)*0.475*44/12</f>
        <v>14.058103459430178</v>
      </c>
      <c r="AW130" s="21">
        <f>EXP(-LN(2)/2)*AW129+(1-EXP(-LN(2)/2))/(LN(2)/2)*AQ130*AT130*VLOOKUP('Données projet'!$B$10,Paramètres!$A$1:$I$89,3,0)*0.475*44/12</f>
        <v>5.9609672626830967E-6</v>
      </c>
      <c r="AX130" s="21">
        <f t="shared" si="60"/>
        <v>74.482142519599563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7.7849999999999966</v>
      </c>
      <c r="BD130" s="12">
        <f>IF('Données projet'!$A$88&gt;35,BD129+BC130-BL129,IF(A130&lt;'Données projet'!$A$88,$BA$205^A130,IF(A130='Données projet'!$A$88,'Données projet'!$B$88,BD129+BC130-BL129)))</f>
        <v>350.18000000000052</v>
      </c>
      <c r="BE130" s="13">
        <f>BD130*VLOOKUP('Données projet'!$B$11,Paramètres!$A$1:$I$89,3,0)*VLOOKUP('Données projet'!$B$11,Paramètres!$A$1:$I$89,5,0)</f>
        <v>316.84286400000047</v>
      </c>
      <c r="BF130" s="13">
        <f t="shared" si="91"/>
        <v>74.696071529813665</v>
      </c>
      <c r="BG130" s="20">
        <f t="shared" si="61"/>
        <v>681.93031271442624</v>
      </c>
      <c r="BH130" s="59">
        <f t="shared" si="62"/>
        <v>975.26364604775949</v>
      </c>
      <c r="BI130" s="59">
        <f ca="1">AVERAGE(OFFSET($BH$3,0,0,'Données projet'!$E$11+1,1))-AVERAGE(OFFSET($H$3,0,0,'Données projet'!$E$11+1,1))</f>
        <v>490.06222615476065</v>
      </c>
      <c r="BJ130" s="59">
        <f t="shared" si="92"/>
        <v>310.43914804089906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40.128903247413866</v>
      </c>
      <c r="BQ130" s="21">
        <f>EXP(-LN(2)/25)*BQ129+(1-EXP(-LN(2)/25))/(LN(2)/25)*Calculateur!BL130*Calculateur!BN130*VLOOKUP('Données projet'!$B$11,Paramètres!$A$1:$I$89,3,0)*0.475*44/12</f>
        <v>20.497265117282183</v>
      </c>
      <c r="BR130" s="21">
        <f>EXP(-LN(2)/2)*BR129+(1-EXP(-LN(2)/2))/(LN(2)/2)*BL130*BO130*VLOOKUP('Données projet'!$B$11,Paramètres!$A$1:$I$89,3,0)*0.475*44/12</f>
        <v>1.2130746649523928E-3</v>
      </c>
      <c r="BS130" s="22">
        <f t="shared" si="63"/>
        <v>60.627381439361002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295.00083600000005</v>
      </c>
      <c r="CA130" s="13">
        <f t="shared" si="93"/>
        <v>70.127423915882019</v>
      </c>
      <c r="CB130" s="20">
        <f t="shared" si="64"/>
        <v>635.93171935349449</v>
      </c>
      <c r="CC130" s="59">
        <f t="shared" si="65"/>
        <v>929.26505268682786</v>
      </c>
      <c r="CD130" s="59">
        <f ca="1">AVERAGE(OFFSET($CC$3,0,0,'Données projet'!$E$12+1,1))-AVERAGE(OFFSET($H$3,0,0,'Données projet'!$E$12+1,1))</f>
        <v>510.71380643466227</v>
      </c>
      <c r="CE130" s="59">
        <f t="shared" si="94"/>
        <v>252.40654099948841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15.759451231775149</v>
      </c>
      <c r="CL130" s="21">
        <f>EXP(-LN(2)/25)*CL129+(1-EXP(-LN(2)/25))/(LN(2)/25)*Calculateur!CG130*Calculateur!CI130*VLOOKUP('Données projet'!$B$12,Paramètres!$A$1:$I$89,3,0)*0.475*44/12</f>
        <v>16.79548589831407</v>
      </c>
      <c r="CM130" s="21">
        <f>EXP(-LN(2)/2)*CM129+(1-EXP(-LN(2)/2))/(LN(2)/2)*CG130*CJ130*VLOOKUP('Données projet'!$B$12,Paramètres!$A$1:$I$89,3,0)*0.475*44/12</f>
        <v>1.9258301656145538</v>
      </c>
      <c r="CN130" s="22">
        <f t="shared" si="66"/>
        <v>34.480767295703771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151.47999999999999</v>
      </c>
      <c r="CR130" s="12">
        <f>VLOOKUP(A130,'Données projet'!$A$139:$I$159,9,0)</f>
        <v>3.3249999999999886</v>
      </c>
      <c r="CS130" s="12">
        <f t="array" ref="CS130">INDEX(CR:CR,MIN(IF(ISNUMBER(CR130:CR326),ROW(CR130:CR326),"")))</f>
        <v>3.3249999999999886</v>
      </c>
      <c r="CT130" s="12">
        <f>IF('Données projet'!$A$140&gt;35,CT129+CS130-DB129,IF(A130&lt;'Données projet'!$A$140,$CQ$205^A130,IF(A130='Données projet'!$A$140,'Données projet'!$B$140,CT129+CS130-DB129)))</f>
        <v>151.48000000000025</v>
      </c>
      <c r="CU130" s="17">
        <f>CT130*VLOOKUP('Données projet'!$B$13,Paramètres!$A$1:$I$89,3,0)*VLOOKUP('Données projet'!$B$13,Paramètres!$A$1:$I$89,5,0)</f>
        <v>163.05307200000027</v>
      </c>
      <c r="CV130" s="13">
        <f t="shared" si="95"/>
        <v>41.530384934528691</v>
      </c>
      <c r="CW130" s="20">
        <f t="shared" si="67"/>
        <v>356.31618749430459</v>
      </c>
      <c r="CX130" s="59">
        <f t="shared" si="68"/>
        <v>649.64952082763784</v>
      </c>
      <c r="CY130" s="59">
        <f ca="1">AVERAGE(OFFSET($CX$3,0,0,'Données projet'!$E$13+1,1))-AVERAGE(OFFSET($H$3,0,0,'Données projet'!$E$13+1,1))</f>
        <v>502.65044103360322</v>
      </c>
      <c r="CZ130" s="59">
        <f t="shared" si="96"/>
        <v>321.65762891855167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46.039999999999992</v>
      </c>
      <c r="DC130" s="16">
        <f>IF(ISNA(VLOOKUP(A130,'Données projet'!$A$139:$I$159,5,0)),0%,VLOOKUP(A130,'Données projet'!$A$139:$I$159,5,0)*VLOOKUP('Données projet'!$B$13,Paramètres!$A$1:$I$89,7,0))</f>
        <v>0.19350000000000001</v>
      </c>
      <c r="DD130" s="16">
        <f>IF(ISNA(VLOOKUP(A130,'Données projet'!$A$139:$I$159,6,0)),0%,VLOOKUP(A130,'Données projet'!$A$139:$I$159,6,0)*VLOOKUP('Données projet'!$B$13,Paramètres!$A$1:$I$89,7,0))</f>
        <v>2.1500000000000002E-2</v>
      </c>
      <c r="DE130" s="16">
        <f>IF(ISNA(VLOOKUP(A130,'Données projet'!$A$139:$I$159,7,0)),0%,VLOOKUP(A130,'Données projet'!$A$139:$I$159,7,0))</f>
        <v>0.05</v>
      </c>
      <c r="DF130" s="21">
        <f>EXP(-LN(2)/35)*DF129+(1-EXP(-LN(2)/35))/(LN(2)/35)*DB130*DC130*VLOOKUP('Données projet'!$B$13,Paramètres!$A$1:$I$89,3,0)*0.475*44/12</f>
        <v>115.06785085730691</v>
      </c>
      <c r="DG130" s="21">
        <f>EXP(-LN(2)/25)*DG129+(1-EXP(-LN(2)/25))/(LN(2)/25)*Calculateur!DB130*Calculateur!DD130*VLOOKUP('Données projet'!$B$13,Paramètres!$A$1:$I$89,3,0)*0.475*44/12</f>
        <v>27.312398132199505</v>
      </c>
      <c r="DH130" s="21">
        <f>EXP(-LN(2)/2)*DH129+(1-EXP(-LN(2)/2))/(LN(2)/2)*DB130*DE130*VLOOKUP('Données projet'!$B$13,Paramètres!$A$1:$I$89,3,0)*0.475*44/12</f>
        <v>6.7178962591220905</v>
      </c>
      <c r="DI130" s="22">
        <f t="shared" si="69"/>
        <v>149.0981452486285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-25.899999999999977</v>
      </c>
      <c r="DP130" s="17">
        <f>DO130*VLOOKUP('Données projet'!$B$14,Paramètres!$A$1:$I$89,3,0)*VLOOKUP('Données projet'!$B$14,Paramètres!$A$1:$I$89,5,0)</f>
        <v>-13.171703999999989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63.94726564348116</v>
      </c>
      <c r="DU130" s="59">
        <f t="shared" si="98"/>
        <v>280.8165028422905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7.4725899667704674</v>
      </c>
      <c r="EB130" s="21">
        <f>EXP(-LN(2)/25)*EB129+(1-EXP(-LN(2)/25))/(LN(2)/25)*Calculateur!DW130*Calculateur!DY130*VLOOKUP('Données projet'!$B$14,Paramètres!$A$1:$I$89,3,0)*0.475*44/12</f>
        <v>0.44134854853641953</v>
      </c>
      <c r="EC130" s="21">
        <f>EXP(-LN(2)/2)*EC129+(1-EXP(-LN(2)/2))/(LN(2)/2)*DW130*DZ130*VLOOKUP('Données projet'!$B$14,Paramètres!$A$1:$I$89,3,0)*0.475*44/12</f>
        <v>2.4409940984269346E-16</v>
      </c>
      <c r="ED130" s="22">
        <f t="shared" si="72"/>
        <v>7.9139385153068869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-5.9685589803848416E-13</v>
      </c>
      <c r="O131" s="13">
        <f>N131*VLOOKUP('Données projet'!$B$9,Paramètres!$A$1:$I$89,3,0)*VLOOKUP('Données projet'!$B$9,Paramètres!$A$1:$I$89,5,0)</f>
        <v>-3.4140157367801295E-13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294.9631697747962</v>
      </c>
      <c r="T131" s="59">
        <f t="shared" si="88"/>
        <v>202.04924881627716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64.113305527381897</v>
      </c>
      <c r="AA131" s="21">
        <f>EXP(-LN(2)/25)*AA130+(1-EXP(-LN(2)/25))/(LN(2)/25)*Calculateur!V131*Calculateur!X131*VLOOKUP('Données projet'!$B$9,Paramètres!$A$1:$I$89,3,0)*0.475*44/12</f>
        <v>16.901823376945185</v>
      </c>
      <c r="AB131" s="21">
        <f>EXP(-LN(2)/2)*AB130+(1-EXP(-LN(2)/2))/(LN(2)/2)*V131*Y131*VLOOKUP('Données projet'!$B$9,Paramètres!$A$1:$I$89,3,0)*0.475*44/12</f>
        <v>5.3584434924553699E-3</v>
      </c>
      <c r="AC131" s="22">
        <f t="shared" si="57"/>
        <v>81.02048734781954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349.71285006949597</v>
      </c>
      <c r="AO131" s="59">
        <f t="shared" si="90"/>
        <v>258.51550516456842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59.239154665147829</v>
      </c>
      <c r="AV131" s="21">
        <f>EXP(-LN(2)/25)*AV130+(1-EXP(-LN(2)/25))/(LN(2)/25)*Calculateur!AQ131*Calculateur!AS131*VLOOKUP('Données projet'!$B$10,Paramètres!$A$1:$I$89,3,0)*0.475*44/12</f>
        <v>13.673683881048529</v>
      </c>
      <c r="AW131" s="21">
        <f>EXP(-LN(2)/2)*AW130+(1-EXP(-LN(2)/2))/(LN(2)/2)*AQ131*AT131*VLOOKUP('Données projet'!$B$10,Paramètres!$A$1:$I$89,3,0)*0.475*44/12</f>
        <v>4.2150403738742296E-6</v>
      </c>
      <c r="AX131" s="21">
        <f t="shared" si="60"/>
        <v>72.912842761236732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7.7849999999999966</v>
      </c>
      <c r="BD131" s="12">
        <f>IF('Données projet'!$A$88&gt;35,BD130+BC131-BL130,IF(A131&lt;'Données projet'!$A$88,$BA$205^A131,IF(A131='Données projet'!$A$88,'Données projet'!$B$88,BD130+BC131-BL130)))</f>
        <v>357.96500000000049</v>
      </c>
      <c r="BE131" s="13">
        <f>BD131*VLOOKUP('Données projet'!$B$11,Paramètres!$A$1:$I$89,3,0)*VLOOKUP('Données projet'!$B$11,Paramètres!$A$1:$I$89,5,0)</f>
        <v>323.88673200000045</v>
      </c>
      <c r="BF131" s="13">
        <f t="shared" si="91"/>
        <v>76.161494734560648</v>
      </c>
      <c r="BG131" s="20">
        <f t="shared" si="61"/>
        <v>696.75066156269395</v>
      </c>
      <c r="BH131" s="59">
        <f t="shared" si="62"/>
        <v>990.08399489602721</v>
      </c>
      <c r="BI131" s="59">
        <f ca="1">AVERAGE(OFFSET($BH$3,0,0,'Données projet'!$E$11+1,1))-AVERAGE(OFFSET($H$3,0,0,'Données projet'!$E$11+1,1))</f>
        <v>490.06222615476065</v>
      </c>
      <c r="BJ131" s="59">
        <f t="shared" si="92"/>
        <v>310.43914804089906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39.341999930946237</v>
      </c>
      <c r="BQ131" s="21">
        <f>EXP(-LN(2)/25)*BQ130+(1-EXP(-LN(2)/25))/(LN(2)/25)*Calculateur!BL131*Calculateur!BN131*VLOOKUP('Données projet'!$B$11,Paramètres!$A$1:$I$89,3,0)*0.475*44/12</f>
        <v>19.936766324745776</v>
      </c>
      <c r="BR131" s="21">
        <f>EXP(-LN(2)/2)*BR130+(1-EXP(-LN(2)/2))/(LN(2)/2)*BL131*BO131*VLOOKUP('Données projet'!$B$11,Paramètres!$A$1:$I$89,3,0)*0.475*44/12</f>
        <v>8.5777332167343609E-4</v>
      </c>
      <c r="BS131" s="22">
        <f t="shared" si="63"/>
        <v>59.279624029013689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301.88052960000005</v>
      </c>
      <c r="CA131" s="13">
        <f t="shared" si="93"/>
        <v>71.570551221656345</v>
      </c>
      <c r="CB131" s="20">
        <f t="shared" si="64"/>
        <v>650.42729909771822</v>
      </c>
      <c r="CC131" s="59">
        <f t="shared" si="65"/>
        <v>943.76063243105159</v>
      </c>
      <c r="CD131" s="59">
        <f ca="1">AVERAGE(OFFSET($CC$3,0,0,'Données projet'!$E$12+1,1))-AVERAGE(OFFSET($H$3,0,0,'Données projet'!$E$12+1,1))</f>
        <v>510.71380643466227</v>
      </c>
      <c r="CE131" s="59">
        <f t="shared" si="94"/>
        <v>252.40654099948841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15.450418005436152</v>
      </c>
      <c r="CL131" s="21">
        <f>EXP(-LN(2)/25)*CL130+(1-EXP(-LN(2)/25))/(LN(2)/25)*Calculateur!CG131*Calculateur!CI131*VLOOKUP('Données projet'!$B$12,Paramètres!$A$1:$I$89,3,0)*0.475*44/12</f>
        <v>16.336212453188455</v>
      </c>
      <c r="CM131" s="21">
        <f>EXP(-LN(2)/2)*CM130+(1-EXP(-LN(2)/2))/(LN(2)/2)*CG131*CJ131*VLOOKUP('Données projet'!$B$12,Paramètres!$A$1:$I$89,3,0)*0.475*44/12</f>
        <v>1.3617675695196629</v>
      </c>
      <c r="CN131" s="22">
        <f t="shared" si="66"/>
        <v>33.148398028144271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2.4366666666666674</v>
      </c>
      <c r="CT131" s="12">
        <f>IF('Données projet'!$A$140&gt;35,CT130+CS131-DB130,IF(A131&lt;'Données projet'!$A$140,$CQ$205^A131,IF(A131='Données projet'!$A$140,'Données projet'!$B$140,CT130+CS131-DB130)))</f>
        <v>107.87666666666692</v>
      </c>
      <c r="CU131" s="17">
        <f>CT131*VLOOKUP('Données projet'!$B$13,Paramètres!$A$1:$I$89,3,0)*VLOOKUP('Données projet'!$B$13,Paramètres!$A$1:$I$89,5,0)</f>
        <v>116.11844400000027</v>
      </c>
      <c r="CV131" s="13">
        <f t="shared" si="95"/>
        <v>30.767964932307216</v>
      </c>
      <c r="CW131" s="20">
        <f t="shared" si="67"/>
        <v>255.82716222376891</v>
      </c>
      <c r="CX131" s="59">
        <f t="shared" si="68"/>
        <v>549.16049555710219</v>
      </c>
      <c r="CY131" s="59">
        <f ca="1">AVERAGE(OFFSET($CX$3,0,0,'Données projet'!$E$13+1,1))-AVERAGE(OFFSET($H$3,0,0,'Données projet'!$E$13+1,1))</f>
        <v>502.65044103360322</v>
      </c>
      <c r="CZ131" s="59">
        <f t="shared" si="96"/>
        <v>321.65762891855167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112.811440486454</v>
      </c>
      <c r="DG131" s="21">
        <f>EXP(-LN(2)/25)*DG130+(1-EXP(-LN(2)/25))/(LN(2)/25)*Calculateur!DB131*Calculateur!DD131*VLOOKUP('Données projet'!$B$13,Paramètres!$A$1:$I$89,3,0)*0.475*44/12</f>
        <v>26.565539168977914</v>
      </c>
      <c r="DH131" s="21">
        <f>EXP(-LN(2)/2)*DH130+(1-EXP(-LN(2)/2))/(LN(2)/2)*DB131*DE131*VLOOKUP('Données projet'!$B$13,Paramètres!$A$1:$I$89,3,0)*0.475*44/12</f>
        <v>4.7502700001329705</v>
      </c>
      <c r="DI131" s="22">
        <f t="shared" si="69"/>
        <v>144.12724965556487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-25.899999999999977</v>
      </c>
      <c r="DP131" s="17">
        <f>DO131*VLOOKUP('Données projet'!$B$14,Paramètres!$A$1:$I$89,3,0)*VLOOKUP('Données projet'!$B$14,Paramètres!$A$1:$I$89,5,0)</f>
        <v>-13.171703999999989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63.94726564348116</v>
      </c>
      <c r="DU131" s="59">
        <f t="shared" si="98"/>
        <v>280.8165028422905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7.3260570353519299</v>
      </c>
      <c r="EB131" s="21">
        <f>EXP(-LN(2)/25)*EB130+(1-EXP(-LN(2)/25))/(LN(2)/25)*Calculateur!DW131*Calculateur!DY131*VLOOKUP('Données projet'!$B$14,Paramètres!$A$1:$I$89,3,0)*0.475*44/12</f>
        <v>0.42927984926717966</v>
      </c>
      <c r="EC131" s="21">
        <f>EXP(-LN(2)/2)*EC130+(1-EXP(-LN(2)/2))/(LN(2)/2)*DW131*DZ131*VLOOKUP('Données projet'!$B$14,Paramètres!$A$1:$I$89,3,0)*0.475*44/12</f>
        <v>1.7260434798340284E-16</v>
      </c>
      <c r="ED131" s="22">
        <f t="shared" si="72"/>
        <v>7.7553368846191093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-5.9685589803848416E-13</v>
      </c>
      <c r="O132" s="13">
        <f>N132*VLOOKUP('Données projet'!$B$9,Paramètres!$A$1:$I$89,3,0)*VLOOKUP('Données projet'!$B$9,Paramètres!$A$1:$I$89,5,0)</f>
        <v>-3.4140157367801295E-13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294.9631697747962</v>
      </c>
      <c r="T132" s="59">
        <f t="shared" si="88"/>
        <v>202.04924881627716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62.856082711244987</v>
      </c>
      <c r="AA132" s="21">
        <f>EXP(-LN(2)/25)*AA131+(1-EXP(-LN(2)/25))/(LN(2)/25)*Calculateur!V132*Calculateur!X132*VLOOKUP('Données projet'!$B$9,Paramètres!$A$1:$I$89,3,0)*0.475*44/12</f>
        <v>16.439642127874357</v>
      </c>
      <c r="AB132" s="21">
        <f>EXP(-LN(2)/2)*AB131+(1-EXP(-LN(2)/2))/(LN(2)/2)*V132*Y132*VLOOKUP('Données projet'!$B$9,Paramètres!$A$1:$I$89,3,0)*0.475*44/12</f>
        <v>3.7889917301201191E-3</v>
      </c>
      <c r="AC132" s="22">
        <f t="shared" ref="AC132:AC153" si="111">SUM(Z132:AB132)</f>
        <v>79.299513830849463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349.71285006949597</v>
      </c>
      <c r="AO132" s="59">
        <f t="shared" si="90"/>
        <v>258.51550516456842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58.077510974480859</v>
      </c>
      <c r="AV132" s="21">
        <f>EXP(-LN(2)/25)*AV131+(1-EXP(-LN(2)/25))/(LN(2)/25)*Calculateur!AQ132*Calculateur!AS132*VLOOKUP('Données projet'!$B$10,Paramètres!$A$1:$I$89,3,0)*0.475*44/12</f>
        <v>13.299776276253473</v>
      </c>
      <c r="AW132" s="21">
        <f>EXP(-LN(2)/2)*AW131+(1-EXP(-LN(2)/2))/(LN(2)/2)*AQ132*AT132*VLOOKUP('Données projet'!$B$10,Paramètres!$A$1:$I$89,3,0)*0.475*44/12</f>
        <v>2.9804836313415484E-6</v>
      </c>
      <c r="AX132" s="21">
        <f t="shared" ref="AX132:AX153" si="114">SUM(AU132:AW132)</f>
        <v>71.377290231217955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7.7849999999999966</v>
      </c>
      <c r="BD132" s="12">
        <f>IF('Données projet'!$A$88&gt;35,BD131+BC132-BL131,IF(A132&lt;'Données projet'!$A$88,$BA$205^A132,IF(A132='Données projet'!$A$88,'Données projet'!$B$88,BD131+BC132-BL131)))</f>
        <v>365.75000000000045</v>
      </c>
      <c r="BE132" s="13">
        <f>BD132*VLOOKUP('Données projet'!$B$11,Paramètres!$A$1:$I$89,3,0)*VLOOKUP('Données projet'!$B$11,Paramètres!$A$1:$I$89,5,0)</f>
        <v>330.93060000000037</v>
      </c>
      <c r="BF132" s="13">
        <f t="shared" si="91"/>
        <v>77.623212662146571</v>
      </c>
      <c r="BG132" s="20">
        <f t="shared" ref="BG132:BG153" si="115">(BE132+BF132)*0.475*44/12</f>
        <v>711.56455705323924</v>
      </c>
      <c r="BH132" s="59">
        <f t="shared" ref="BH132:BH195" si="116">BG132+(AY132+AZ132)*44/12</f>
        <v>1004.8978903865725</v>
      </c>
      <c r="BI132" s="59">
        <f ca="1">AVERAGE(OFFSET($BH$3,0,0,'Données projet'!$E$11+1,1))-AVERAGE(OFFSET($H$3,0,0,'Données projet'!$E$11+1,1))</f>
        <v>490.06222615476065</v>
      </c>
      <c r="BJ132" s="59">
        <f t="shared" si="92"/>
        <v>310.43914804089906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38.570527308550908</v>
      </c>
      <c r="BQ132" s="21">
        <f>EXP(-LN(2)/25)*BQ131+(1-EXP(-LN(2)/25))/(LN(2)/25)*Calculateur!BL132*Calculateur!BN132*VLOOKUP('Données projet'!$B$11,Paramètres!$A$1:$I$89,3,0)*0.475*44/12</f>
        <v>19.391594401166628</v>
      </c>
      <c r="BR132" s="21">
        <f>EXP(-LN(2)/2)*BR131+(1-EXP(-LN(2)/2))/(LN(2)/2)*BL132*BO132*VLOOKUP('Données projet'!$B$11,Paramètres!$A$1:$I$89,3,0)*0.475*44/12</f>
        <v>6.0653733247619641E-4</v>
      </c>
      <c r="BS132" s="22">
        <f t="shared" ref="BS132:BS153" si="117">SUM(BP132:BR132)</f>
        <v>57.962728247050009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308.7602232000001</v>
      </c>
      <c r="CA132" s="13">
        <f t="shared" si="93"/>
        <v>73.009855077083458</v>
      </c>
      <c r="CB132" s="20">
        <f t="shared" ref="CB132:CB153" si="118">(BZ132+CA132)*0.475*44/12</f>
        <v>664.91621966592049</v>
      </c>
      <c r="CC132" s="59">
        <f t="shared" ref="CC132:CC195" si="119">CB132+(BT132+BU132)*44/12</f>
        <v>958.24955299925386</v>
      </c>
      <c r="CD132" s="59">
        <f ca="1">AVERAGE(OFFSET($CC$3,0,0,'Données projet'!$E$12+1,1))-AVERAGE(OFFSET($H$3,0,0,'Données projet'!$E$12+1,1))</f>
        <v>510.71380643466227</v>
      </c>
      <c r="CE132" s="59">
        <f t="shared" si="94"/>
        <v>252.40654099948841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15.147444732174007</v>
      </c>
      <c r="CL132" s="21">
        <f>EXP(-LN(2)/25)*CL131+(1-EXP(-LN(2)/25))/(LN(2)/25)*Calculateur!CG132*Calculateur!CI132*VLOOKUP('Données projet'!$B$12,Paramètres!$A$1:$I$89,3,0)*0.475*44/12</f>
        <v>15.889497864571942</v>
      </c>
      <c r="CM132" s="21">
        <f>EXP(-LN(2)/2)*CM131+(1-EXP(-LN(2)/2))/(LN(2)/2)*CG132*CJ132*VLOOKUP('Données projet'!$B$12,Paramètres!$A$1:$I$89,3,0)*0.475*44/12</f>
        <v>0.962915082807277</v>
      </c>
      <c r="CN132" s="22">
        <f t="shared" ref="CN132:CN153" si="120">SUM(CK132:CM132)</f>
        <v>31.999857679553227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2.4366666666666674</v>
      </c>
      <c r="CT132" s="12">
        <f>IF('Données projet'!$A$140&gt;35,CT131+CS132-DB131,IF(A132&lt;'Données projet'!$A$140,$CQ$205^A132,IF(A132='Données projet'!$A$140,'Données projet'!$B$140,CT131+CS132-DB131)))</f>
        <v>110.31333333333359</v>
      </c>
      <c r="CU132" s="17">
        <f>CT132*VLOOKUP('Données projet'!$B$13,Paramètres!$A$1:$I$89,3,0)*VLOOKUP('Données projet'!$B$13,Paramètres!$A$1:$I$89,5,0)</f>
        <v>118.74127200000028</v>
      </c>
      <c r="CV132" s="13">
        <f t="shared" si="95"/>
        <v>31.381241731102591</v>
      </c>
      <c r="CW132" s="20">
        <f t="shared" ref="CW132:CW153" si="121">(CU132+CV132)*0.475*44/12</f>
        <v>261.46337808167078</v>
      </c>
      <c r="CX132" s="59">
        <f t="shared" ref="CX132:CX195" si="122">CW132+(CO132+CP132)*44/12</f>
        <v>554.7967114150041</v>
      </c>
      <c r="CY132" s="59">
        <f ca="1">AVERAGE(OFFSET($CX$3,0,0,'Données projet'!$E$13+1,1))-AVERAGE(OFFSET($H$3,0,0,'Données projet'!$E$13+1,1))</f>
        <v>502.65044103360322</v>
      </c>
      <c r="CZ132" s="59">
        <f t="shared" si="96"/>
        <v>321.65762891855167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110.59927694669909</v>
      </c>
      <c r="DG132" s="21">
        <f>EXP(-LN(2)/25)*DG131+(1-EXP(-LN(2)/25))/(LN(2)/25)*Calculateur!DB132*Calculateur!DD132*VLOOKUP('Données projet'!$B$13,Paramètres!$A$1:$I$89,3,0)*0.475*44/12</f>
        <v>25.839103103381223</v>
      </c>
      <c r="DH132" s="21">
        <f>EXP(-LN(2)/2)*DH131+(1-EXP(-LN(2)/2))/(LN(2)/2)*DB132*DE132*VLOOKUP('Données projet'!$B$13,Paramètres!$A$1:$I$89,3,0)*0.475*44/12</f>
        <v>3.3589481295610457</v>
      </c>
      <c r="DI132" s="22">
        <f t="shared" ref="DI132:DI153" si="123">SUM(DF132:DH132)</f>
        <v>139.79732817964137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-25.899999999999977</v>
      </c>
      <c r="DP132" s="17">
        <f>DO132*VLOOKUP('Données projet'!$B$14,Paramètres!$A$1:$I$89,3,0)*VLOOKUP('Données projet'!$B$14,Paramètres!$A$1:$I$89,5,0)</f>
        <v>-13.171703999999989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63.94726564348116</v>
      </c>
      <c r="DU132" s="59">
        <f t="shared" si="98"/>
        <v>280.8165028422905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7.182397525342247</v>
      </c>
      <c r="EB132" s="21">
        <f>EXP(-LN(2)/25)*EB131+(1-EXP(-LN(2)/25))/(LN(2)/25)*Calculateur!DW132*Calculateur!DY132*VLOOKUP('Données projet'!$B$14,Paramètres!$A$1:$I$89,3,0)*0.475*44/12</f>
        <v>0.41754116921412249</v>
      </c>
      <c r="EC132" s="21">
        <f>EXP(-LN(2)/2)*EC131+(1-EXP(-LN(2)/2))/(LN(2)/2)*DW132*DZ132*VLOOKUP('Données projet'!$B$14,Paramètres!$A$1:$I$89,3,0)*0.475*44/12</f>
        <v>1.2204970492134673E-16</v>
      </c>
      <c r="ED132" s="22">
        <f t="shared" ref="ED132:ED153" si="126">SUM(EA132:EC132)</f>
        <v>7.5999386945563696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-5.9685589803848416E-13</v>
      </c>
      <c r="O133" s="13">
        <f>N133*VLOOKUP('Données projet'!$B$9,Paramètres!$A$1:$I$89,3,0)*VLOOKUP('Données projet'!$B$9,Paramètres!$A$1:$I$89,5,0)</f>
        <v>-3.4140157367801295E-13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294.9631697747962</v>
      </c>
      <c r="T133" s="59">
        <f t="shared" ref="T133:T196" si="142">$T$3</f>
        <v>202.04924881627716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61.623513267702322</v>
      </c>
      <c r="AA133" s="21">
        <f>EXP(-LN(2)/25)*AA132+(1-EXP(-LN(2)/25))/(LN(2)/25)*Calculateur!V133*Calculateur!X133*VLOOKUP('Données projet'!$B$9,Paramètres!$A$1:$I$89,3,0)*0.475*44/12</f>
        <v>15.990099249364427</v>
      </c>
      <c r="AB133" s="21">
        <f>EXP(-LN(2)/2)*AB132+(1-EXP(-LN(2)/2))/(LN(2)/2)*V133*Y133*VLOOKUP('Données projet'!$B$9,Paramètres!$A$1:$I$89,3,0)*0.475*44/12</f>
        <v>2.6792217462276854E-3</v>
      </c>
      <c r="AC133" s="22">
        <f t="shared" si="111"/>
        <v>77.616291738812976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349.71285006949597</v>
      </c>
      <c r="AO133" s="59">
        <f t="shared" ref="AO133:AO196" si="144">$AO$3</f>
        <v>258.51550516456842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56.938646408055178</v>
      </c>
      <c r="AV133" s="21">
        <f>EXP(-LN(2)/25)*AV132+(1-EXP(-LN(2)/25))/(LN(2)/25)*Calculateur!AQ133*Calculateur!AS133*VLOOKUP('Données projet'!$B$10,Paramètres!$A$1:$I$89,3,0)*0.475*44/12</f>
        <v>12.936093194574484</v>
      </c>
      <c r="AW133" s="21">
        <f>EXP(-LN(2)/2)*AW132+(1-EXP(-LN(2)/2))/(LN(2)/2)*AQ133*AT133*VLOOKUP('Données projet'!$B$10,Paramètres!$A$1:$I$89,3,0)*0.475*44/12</f>
        <v>2.1075201869371148E-6</v>
      </c>
      <c r="AX133" s="21">
        <f t="shared" si="114"/>
        <v>69.874741710149848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7.7849999999999966</v>
      </c>
      <c r="BD133" s="12">
        <f>IF('Données projet'!$A$88&gt;35,BD132+BC133-BL132,IF(A133&lt;'Données projet'!$A$88,$BA$205^A133,IF(A133='Données projet'!$A$88,'Données projet'!$B$88,BD132+BC133-BL132)))</f>
        <v>373.53500000000042</v>
      </c>
      <c r="BE133" s="13">
        <f>BD133*VLOOKUP('Données projet'!$B$11,Paramètres!$A$1:$I$89,3,0)*VLOOKUP('Données projet'!$B$11,Paramètres!$A$1:$I$89,5,0)</f>
        <v>337.9744680000004</v>
      </c>
      <c r="BF133" s="13">
        <f t="shared" ref="BF133:BF153" si="145">EXP(-1.0587+0.8836*LN(BE133)+0.284)</f>
        <v>79.081313264051104</v>
      </c>
      <c r="BG133" s="20">
        <f t="shared" si="115"/>
        <v>726.37215236822306</v>
      </c>
      <c r="BH133" s="59">
        <f t="shared" si="116"/>
        <v>1019.7054857015564</v>
      </c>
      <c r="BI133" s="59">
        <f ca="1">AVERAGE(OFFSET($BH$3,0,0,'Données projet'!$E$11+1,1))-AVERAGE(OFFSET($H$3,0,0,'Données projet'!$E$11+1,1))</f>
        <v>490.06222615476065</v>
      </c>
      <c r="BJ133" s="59">
        <f t="shared" ref="BJ133:BJ196" si="146">$BJ$3</f>
        <v>310.43914804089906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37.814182793728911</v>
      </c>
      <c r="BQ133" s="21">
        <f>EXP(-LN(2)/25)*BQ132+(1-EXP(-LN(2)/25))/(LN(2)/25)*Calculateur!BL133*Calculateur!BN133*VLOOKUP('Données projet'!$B$11,Paramètres!$A$1:$I$89,3,0)*0.475*44/12</f>
        <v>18.861330232507097</v>
      </c>
      <c r="BR133" s="21">
        <f>EXP(-LN(2)/2)*BR132+(1-EXP(-LN(2)/2))/(LN(2)/2)*BL133*BO133*VLOOKUP('Données projet'!$B$11,Paramètres!$A$1:$I$89,3,0)*0.475*44/12</f>
        <v>4.2888666083671804E-4</v>
      </c>
      <c r="BS133" s="22">
        <f t="shared" si="117"/>
        <v>56.675941912896839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315.63991680000004</v>
      </c>
      <c r="CA133" s="13">
        <f t="shared" ref="CA133:CA153" si="147">EXP(-1.0587+0.8836*LN(BZ133)+0.284)</f>
        <v>74.445430484125623</v>
      </c>
      <c r="CB133" s="20">
        <f t="shared" si="118"/>
        <v>679.39864651985215</v>
      </c>
      <c r="CC133" s="59">
        <f t="shared" si="119"/>
        <v>972.73197985318552</v>
      </c>
      <c r="CD133" s="59">
        <f ca="1">AVERAGE(OFFSET($CC$3,0,0,'Données projet'!$E$12+1,1))-AVERAGE(OFFSET($H$3,0,0,'Données projet'!$E$12+1,1))</f>
        <v>510.71380643466227</v>
      </c>
      <c r="CE133" s="59">
        <f t="shared" ref="CE133:CE196" si="148">$CE$3</f>
        <v>252.40654099948841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14.850412580005083</v>
      </c>
      <c r="CL133" s="21">
        <f>EXP(-LN(2)/25)*CL132+(1-EXP(-LN(2)/25))/(LN(2)/25)*Calculateur!CG133*Calculateur!CI133*VLOOKUP('Données projet'!$B$12,Paramètres!$A$1:$I$89,3,0)*0.475*44/12</f>
        <v>15.454998709872845</v>
      </c>
      <c r="CM133" s="21">
        <f>EXP(-LN(2)/2)*CM132+(1-EXP(-LN(2)/2))/(LN(2)/2)*CG133*CJ133*VLOOKUP('Données projet'!$B$12,Paramètres!$A$1:$I$89,3,0)*0.475*44/12</f>
        <v>0.68088378475983158</v>
      </c>
      <c r="CN133" s="22">
        <f t="shared" si="120"/>
        <v>30.986295074637759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112.75</v>
      </c>
      <c r="CR133" s="12">
        <f>VLOOKUP(A133,'Données projet'!$A$139:$I$159,9,0)</f>
        <v>2.4366666666666674</v>
      </c>
      <c r="CS133" s="12">
        <f t="array" ref="CS133">INDEX(CR:CR,MIN(IF(ISNUMBER(CR133:CR329),ROW(CR133:CR329),"")))</f>
        <v>2.4366666666666674</v>
      </c>
      <c r="CT133" s="12">
        <f>IF('Données projet'!$A$140&gt;35,CT132+CS133-DB132,IF(A133&lt;'Données projet'!$A$140,$CQ$205^A133,IF(A133='Données projet'!$A$140,'Données projet'!$B$140,CT132+CS133-DB132)))</f>
        <v>112.75000000000026</v>
      </c>
      <c r="CU133" s="17">
        <f>CT133*VLOOKUP('Données projet'!$B$13,Paramètres!$A$1:$I$89,3,0)*VLOOKUP('Données projet'!$B$13,Paramètres!$A$1:$I$89,5,0)</f>
        <v>121.36410000000026</v>
      </c>
      <c r="CV133" s="13">
        <f t="shared" ref="CV133:CV153" si="149">EXP(-1.0587+0.8836*LN(CU133)+0.284)</f>
        <v>31.992943616170425</v>
      </c>
      <c r="CW133" s="20">
        <f t="shared" si="121"/>
        <v>267.09685096483059</v>
      </c>
      <c r="CX133" s="59">
        <f t="shared" si="122"/>
        <v>560.43018429816391</v>
      </c>
      <c r="CY133" s="59">
        <f ca="1">AVERAGE(OFFSET($CX$3,0,0,'Données projet'!$E$13+1,1))-AVERAGE(OFFSET($H$3,0,0,'Données projet'!$E$13+1,1))</f>
        <v>502.65044103360322</v>
      </c>
      <c r="CZ133" s="59">
        <f t="shared" ref="CZ133:CZ196" si="150">$CZ$3</f>
        <v>321.65762891855167</v>
      </c>
      <c r="DA133" s="15">
        <f>IF(ISNA(VLOOKUP(A133,'Données projet'!$A$139:$I$159,3,0)),0,VLOOKUP(A133,'Données projet'!$A$139:$I$159,3,0))</f>
        <v>14</v>
      </c>
      <c r="DB133" s="15">
        <f>IF(ISNA(VLOOKUP(A133,'Données projet'!$A$139:$I$159,4,0)),0,VLOOKUP(A133,'Données projet'!$A$139:$I$159,4,0))</f>
        <v>112.75</v>
      </c>
      <c r="DC133" s="16">
        <f>IF(ISNA(VLOOKUP(A133,'Données projet'!$A$139:$I$159,5,0)),0%,VLOOKUP(A133,'Données projet'!$A$139:$I$159,5,0)*VLOOKUP('Données projet'!$B$13,Paramètres!$A$1:$I$89,7,0))</f>
        <v>0.19350000000000001</v>
      </c>
      <c r="DD133" s="16">
        <f>IF(ISNA(VLOOKUP(A133,'Données projet'!$A$139:$I$159,6,0)),0%,VLOOKUP(A133,'Données projet'!$A$139:$I$159,6,0)*VLOOKUP('Données projet'!$B$13,Paramètres!$A$1:$I$89,7,0))</f>
        <v>2.1500000000000002E-2</v>
      </c>
      <c r="DE133" s="16">
        <f>IF(ISNA(VLOOKUP(A133,'Données projet'!$A$139:$I$159,7,0)),0%,VLOOKUP(A133,'Données projet'!$A$139:$I$159,7,0))</f>
        <v>0.05</v>
      </c>
      <c r="DF133" s="21">
        <f>EXP(-LN(2)/35)*DF132+(1-EXP(-LN(2)/35))/(LN(2)/35)*DB133*DC133*VLOOKUP('Données projet'!$B$13,Paramètres!$A$1:$I$89,3,0)*0.475*44/12</f>
        <v>134.39130740743084</v>
      </c>
      <c r="DG133" s="21">
        <f>EXP(-LN(2)/25)*DG132+(1-EXP(-LN(2)/25))/(LN(2)/25)*Calculateur!DB133*Calculateur!DD133*VLOOKUP('Données projet'!$B$13,Paramètres!$A$1:$I$89,3,0)*0.475*44/12</f>
        <v>28.005708937194935</v>
      </c>
      <c r="DH133" s="21">
        <f>EXP(-LN(2)/2)*DH132+(1-EXP(-LN(2)/2))/(LN(2)/2)*DB133*DE133*VLOOKUP('Données projet'!$B$13,Paramètres!$A$1:$I$89,3,0)*0.475*44/12</f>
        <v>8.1006497409094749</v>
      </c>
      <c r="DI133" s="22">
        <f t="shared" si="123"/>
        <v>170.49766608553523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-25.899999999999977</v>
      </c>
      <c r="DP133" s="17">
        <f>DO133*VLOOKUP('Données projet'!$B$14,Paramètres!$A$1:$I$89,3,0)*VLOOKUP('Données projet'!$B$14,Paramètres!$A$1:$I$89,5,0)</f>
        <v>-13.171703999999989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63.94726564348116</v>
      </c>
      <c r="DU133" s="59">
        <f t="shared" ref="DU133:DU196" si="152">$DU$3</f>
        <v>280.8165028422905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7.0415550907002054</v>
      </c>
      <c r="EB133" s="21">
        <f>EXP(-LN(2)/25)*EB132+(1-EXP(-LN(2)/25))/(LN(2)/25)*Calculateur!DW133*Calculateur!DY133*VLOOKUP('Données projet'!$B$14,Paramètres!$A$1:$I$89,3,0)*0.475*44/12</f>
        <v>0.40612348398442655</v>
      </c>
      <c r="EC133" s="21">
        <f>EXP(-LN(2)/2)*EC132+(1-EXP(-LN(2)/2))/(LN(2)/2)*DW133*DZ133*VLOOKUP('Données projet'!$B$14,Paramètres!$A$1:$I$89,3,0)*0.475*44/12</f>
        <v>8.6302173991701418E-17</v>
      </c>
      <c r="ED133" s="22">
        <f t="shared" si="126"/>
        <v>7.4476785746846321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-5.9685589803848416E-13</v>
      </c>
      <c r="O134" s="13">
        <f>N134*VLOOKUP('Données projet'!$B$9,Paramètres!$A$1:$I$89,3,0)*VLOOKUP('Données projet'!$B$9,Paramètres!$A$1:$I$89,5,0)</f>
        <v>-3.4140157367801295E-13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294.9631697747962</v>
      </c>
      <c r="T134" s="59">
        <f t="shared" si="142"/>
        <v>202.04924881627716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60.415113759154401</v>
      </c>
      <c r="AA134" s="21">
        <f>EXP(-LN(2)/25)*AA133+(1-EXP(-LN(2)/25))/(LN(2)/25)*Calculateur!V134*Calculateur!X134*VLOOKUP('Données projet'!$B$9,Paramètres!$A$1:$I$89,3,0)*0.475*44/12</f>
        <v>15.552849144507784</v>
      </c>
      <c r="AB134" s="21">
        <f>EXP(-LN(2)/2)*AB133+(1-EXP(-LN(2)/2))/(LN(2)/2)*V134*Y134*VLOOKUP('Données projet'!$B$9,Paramètres!$A$1:$I$89,3,0)*0.475*44/12</f>
        <v>1.8944958650600598E-3</v>
      </c>
      <c r="AC134" s="22">
        <f t="shared" si="111"/>
        <v>75.969857399527243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349.71285006949597</v>
      </c>
      <c r="AO134" s="59">
        <f t="shared" si="144"/>
        <v>258.51550516456842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55.822114281138305</v>
      </c>
      <c r="AV134" s="21">
        <f>EXP(-LN(2)/25)*AV133+(1-EXP(-LN(2)/25))/(LN(2)/25)*Calculateur!AQ134*Calculateur!AS134*VLOOKUP('Données projet'!$B$10,Paramètres!$A$1:$I$89,3,0)*0.475*44/12</f>
        <v>12.582355045889269</v>
      </c>
      <c r="AW134" s="21">
        <f>EXP(-LN(2)/2)*AW133+(1-EXP(-LN(2)/2))/(LN(2)/2)*AQ134*AT134*VLOOKUP('Données projet'!$B$10,Paramètres!$A$1:$I$89,3,0)*0.475*44/12</f>
        <v>1.4902418156707742E-6</v>
      </c>
      <c r="AX134" s="21">
        <f t="shared" si="114"/>
        <v>68.404470817269384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7.7849999999999966</v>
      </c>
      <c r="BD134" s="12">
        <f>IF('Données projet'!$A$88&gt;35,BD133+BC134-BL133,IF(A134&lt;'Données projet'!$A$88,$BA$205^A134,IF(A134='Données projet'!$A$88,'Données projet'!$B$88,BD133+BC134-BL133)))</f>
        <v>381.32000000000039</v>
      </c>
      <c r="BE134" s="13">
        <f>BD134*VLOOKUP('Données projet'!$B$11,Paramètres!$A$1:$I$89,3,0)*VLOOKUP('Données projet'!$B$11,Paramètres!$A$1:$I$89,5,0)</f>
        <v>345.01833600000032</v>
      </c>
      <c r="BF134" s="13">
        <f t="shared" si="145"/>
        <v>80.535880616180918</v>
      </c>
      <c r="BG134" s="20">
        <f t="shared" si="115"/>
        <v>741.17359393984896</v>
      </c>
      <c r="BH134" s="59">
        <f t="shared" si="116"/>
        <v>1034.5069272731823</v>
      </c>
      <c r="BI134" s="59">
        <f ca="1">AVERAGE(OFFSET($BH$3,0,0,'Données projet'!$E$11+1,1))-AVERAGE(OFFSET($H$3,0,0,'Données projet'!$E$11+1,1))</f>
        <v>490.06222615476065</v>
      </c>
      <c r="BJ134" s="59">
        <f t="shared" si="146"/>
        <v>310.43914804089906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37.072669733517976</v>
      </c>
      <c r="BQ134" s="21">
        <f>EXP(-LN(2)/25)*BQ133+(1-EXP(-LN(2)/25))/(LN(2)/25)*Calculateur!BL134*Calculateur!BN134*VLOOKUP('Données projet'!$B$11,Paramètres!$A$1:$I$89,3,0)*0.475*44/12</f>
        <v>18.345566165424941</v>
      </c>
      <c r="BR134" s="21">
        <f>EXP(-LN(2)/2)*BR133+(1-EXP(-LN(2)/2))/(LN(2)/2)*BL134*BO134*VLOOKUP('Données projet'!$B$11,Paramètres!$A$1:$I$89,3,0)*0.475*44/12</f>
        <v>3.032686662380982E-4</v>
      </c>
      <c r="BS134" s="22">
        <f t="shared" si="117"/>
        <v>55.418539167609154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322.51961040000003</v>
      </c>
      <c r="CA134" s="13">
        <f t="shared" si="147"/>
        <v>75.877368066903443</v>
      </c>
      <c r="CB134" s="20">
        <f t="shared" si="118"/>
        <v>693.87473749652361</v>
      </c>
      <c r="CC134" s="59">
        <f t="shared" si="119"/>
        <v>987.20807082985698</v>
      </c>
      <c r="CD134" s="59">
        <f ca="1">AVERAGE(OFFSET($CC$3,0,0,'Données projet'!$E$12+1,1))-AVERAGE(OFFSET($H$3,0,0,'Données projet'!$E$12+1,1))</f>
        <v>510.71380643466227</v>
      </c>
      <c r="CE134" s="59">
        <f t="shared" si="148"/>
        <v>252.40654099948841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14.559205047168467</v>
      </c>
      <c r="CL134" s="21">
        <f>EXP(-LN(2)/25)*CL133+(1-EXP(-LN(2)/25))/(LN(2)/25)*Calculateur!CG134*Calculateur!CI134*VLOOKUP('Données projet'!$B$12,Paramètres!$A$1:$I$89,3,0)*0.475*44/12</f>
        <v>15.032380957408312</v>
      </c>
      <c r="CM134" s="21">
        <f>EXP(-LN(2)/2)*CM133+(1-EXP(-LN(2)/2))/(LN(2)/2)*CG134*CJ134*VLOOKUP('Données projet'!$B$12,Paramètres!$A$1:$I$89,3,0)*0.475*44/12</f>
        <v>0.48145754140363856</v>
      </c>
      <c r="CN134" s="22">
        <f t="shared" si="120"/>
        <v>30.073043545980418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2.5579538487363607E-13</v>
      </c>
      <c r="CU134" s="17">
        <f>CT134*VLOOKUP('Données projet'!$B$13,Paramètres!$A$1:$I$89,3,0)*VLOOKUP('Données projet'!$B$13,Paramètres!$A$1:$I$89,5,0)</f>
        <v>2.7533815227798186E-13</v>
      </c>
      <c r="CV134" s="13">
        <f t="shared" si="149"/>
        <v>3.6763598146902537E-12</v>
      </c>
      <c r="CW134" s="20">
        <f t="shared" si="121"/>
        <v>6.88254062580301E-12</v>
      </c>
      <c r="CX134" s="59">
        <f t="shared" si="122"/>
        <v>293.33333333334019</v>
      </c>
      <c r="CY134" s="59">
        <f ca="1">AVERAGE(OFFSET($CX$3,0,0,'Données projet'!$E$13+1,1))-AVERAGE(OFFSET($H$3,0,0,'Données projet'!$E$13+1,1))</f>
        <v>502.65044103360322</v>
      </c>
      <c r="CZ134" s="59">
        <f t="shared" si="150"/>
        <v>321.65762891855167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131.75597583977472</v>
      </c>
      <c r="DG134" s="21">
        <f>EXP(-LN(2)/25)*DG133+(1-EXP(-LN(2)/25))/(LN(2)/25)*Calculateur!DB134*Calculateur!DD134*VLOOKUP('Données projet'!$B$13,Paramètres!$A$1:$I$89,3,0)*0.475*44/12</f>
        <v>27.239891353551116</v>
      </c>
      <c r="DH134" s="21">
        <f>EXP(-LN(2)/2)*DH133+(1-EXP(-LN(2)/2))/(LN(2)/2)*DB134*DE134*VLOOKUP('Données projet'!$B$13,Paramètres!$A$1:$I$89,3,0)*0.475*44/12</f>
        <v>5.7280243638141393</v>
      </c>
      <c r="DI134" s="22">
        <f t="shared" si="123"/>
        <v>164.72389155713998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-25.899999999999977</v>
      </c>
      <c r="DP134" s="17">
        <f>DO134*VLOOKUP('Données projet'!$B$14,Paramètres!$A$1:$I$89,3,0)*VLOOKUP('Données projet'!$B$14,Paramètres!$A$1:$I$89,5,0)</f>
        <v>-13.171703999999989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63.94726564348116</v>
      </c>
      <c r="DU134" s="59">
        <f t="shared" si="152"/>
        <v>280.8165028422905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6.9034744902960909</v>
      </c>
      <c r="EB134" s="21">
        <f>EXP(-LN(2)/25)*EB133+(1-EXP(-LN(2)/25))/(LN(2)/25)*Calculateur!DW134*Calculateur!DY134*VLOOKUP('Données projet'!$B$14,Paramètres!$A$1:$I$89,3,0)*0.475*44/12</f>
        <v>0.39501801595776659</v>
      </c>
      <c r="EC134" s="21">
        <f>EXP(-LN(2)/2)*EC133+(1-EXP(-LN(2)/2))/(LN(2)/2)*DW134*DZ134*VLOOKUP('Données projet'!$B$14,Paramètres!$A$1:$I$89,3,0)*0.475*44/12</f>
        <v>6.1024852460673366E-17</v>
      </c>
      <c r="ED134" s="22">
        <f t="shared" si="126"/>
        <v>7.2984925062538579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-5.9685589803848416E-13</v>
      </c>
      <c r="O135" s="13">
        <f>N135*VLOOKUP('Données projet'!$B$9,Paramètres!$A$1:$I$89,3,0)*VLOOKUP('Données projet'!$B$9,Paramètres!$A$1:$I$89,5,0)</f>
        <v>-3.4140157367801295E-13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294.9631697747962</v>
      </c>
      <c r="T135" s="59">
        <f t="shared" si="142"/>
        <v>202.04924881627716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59.230410227918185</v>
      </c>
      <c r="AA135" s="21">
        <f>EXP(-LN(2)/25)*AA134+(1-EXP(-LN(2)/25))/(LN(2)/25)*Calculateur!V135*Calculateur!X135*VLOOKUP('Données projet'!$B$9,Paramètres!$A$1:$I$89,3,0)*0.475*44/12</f>
        <v>15.127555666762428</v>
      </c>
      <c r="AB135" s="21">
        <f>EXP(-LN(2)/2)*AB134+(1-EXP(-LN(2)/2))/(LN(2)/2)*V135*Y135*VLOOKUP('Données projet'!$B$9,Paramètres!$A$1:$I$89,3,0)*0.475*44/12</f>
        <v>1.3396108731138429E-3</v>
      </c>
      <c r="AC135" s="22">
        <f t="shared" si="111"/>
        <v>74.359305505553735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349.71285006949597</v>
      </c>
      <c r="AO135" s="59">
        <f t="shared" si="144"/>
        <v>258.51550516456842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54.727476668212923</v>
      </c>
      <c r="AV135" s="21">
        <f>EXP(-LN(2)/25)*AV134+(1-EXP(-LN(2)/25))/(LN(2)/25)*Calculateur!AQ135*Calculateur!AS135*VLOOKUP('Données projet'!$B$10,Paramètres!$A$1:$I$89,3,0)*0.475*44/12</f>
        <v>12.238289885482132</v>
      </c>
      <c r="AW135" s="21">
        <f>EXP(-LN(2)/2)*AW134+(1-EXP(-LN(2)/2))/(LN(2)/2)*AQ135*AT135*VLOOKUP('Données projet'!$B$10,Paramètres!$A$1:$I$89,3,0)*0.475*44/12</f>
        <v>1.0537600934685574E-6</v>
      </c>
      <c r="AX135" s="21">
        <f t="shared" si="114"/>
        <v>66.965767607455149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7.7849999999999966</v>
      </c>
      <c r="BD135" s="12">
        <f>IF('Données projet'!$A$88&gt;35,BD134+BC135-BL134,IF(A135&lt;'Données projet'!$A$88,$BA$205^A135,IF(A135='Données projet'!$A$88,'Données projet'!$B$88,BD134+BC135-BL134)))</f>
        <v>389.10500000000036</v>
      </c>
      <c r="BE135" s="13">
        <f>BD135*VLOOKUP('Données projet'!$B$11,Paramètres!$A$1:$I$89,3,0)*VLOOKUP('Données projet'!$B$11,Paramètres!$A$1:$I$89,5,0)</f>
        <v>352.06220400000029</v>
      </c>
      <c r="BF135" s="13">
        <f t="shared" si="145"/>
        <v>81.986995165225665</v>
      </c>
      <c r="BG135" s="20">
        <f t="shared" si="115"/>
        <v>755.96902187943522</v>
      </c>
      <c r="BH135" s="59">
        <f t="shared" si="116"/>
        <v>1049.3023552127686</v>
      </c>
      <c r="BI135" s="59">
        <f ca="1">AVERAGE(OFFSET($BH$3,0,0,'Données projet'!$E$11+1,1))-AVERAGE(OFFSET($H$3,0,0,'Données projet'!$E$11+1,1))</f>
        <v>490.06222615476065</v>
      </c>
      <c r="BJ135" s="59">
        <f t="shared" si="146"/>
        <v>310.43914804089906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36.345697292139469</v>
      </c>
      <c r="BQ135" s="21">
        <f>EXP(-LN(2)/25)*BQ134+(1-EXP(-LN(2)/25))/(LN(2)/25)*Calculateur!BL135*Calculateur!BN135*VLOOKUP('Données projet'!$B$11,Paramètres!$A$1:$I$89,3,0)*0.475*44/12</f>
        <v>17.84390569388</v>
      </c>
      <c r="BR135" s="21">
        <f>EXP(-LN(2)/2)*BR134+(1-EXP(-LN(2)/2))/(LN(2)/2)*BL135*BO135*VLOOKUP('Données projet'!$B$11,Paramètres!$A$1:$I$89,3,0)*0.475*44/12</f>
        <v>2.1444333041835902E-4</v>
      </c>
      <c r="BS135" s="22">
        <f t="shared" si="117"/>
        <v>54.189817429349887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329.39930400000009</v>
      </c>
      <c r="CA135" s="13">
        <f t="shared" si="147"/>
        <v>77.305754362445725</v>
      </c>
      <c r="CB135" s="20">
        <f t="shared" si="118"/>
        <v>708.3446433145931</v>
      </c>
      <c r="CC135" s="59">
        <f t="shared" si="119"/>
        <v>1001.6779766479265</v>
      </c>
      <c r="CD135" s="59">
        <f ca="1">AVERAGE(OFFSET($CC$3,0,0,'Données projet'!$E$12+1,1))-AVERAGE(OFFSET($H$3,0,0,'Données projet'!$E$12+1,1))</f>
        <v>510.71380643466227</v>
      </c>
      <c r="CE135" s="59">
        <f t="shared" si="148"/>
        <v>252.40654099948841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0.1075</v>
      </c>
      <c r="CI135" s="16">
        <f>IF(ISNA(VLOOKUP(A135,'Données projet'!$A$113:$I$133,6,0)),0%,VLOOKUP(A135,'Données projet'!$A$113:$I$133,6,0)*VLOOKUP('Données projet'!$B$12,Paramètres!$A$1:$I$89,7,0))</f>
        <v>0.1075</v>
      </c>
      <c r="CJ135" s="16">
        <f>IF(ISNA(VLOOKUP(A135,'Données projet'!$A$113:$I$133,7,0)),0%,VLOOKUP(A135,'Données projet'!$A$113:$I$133,7,0))</f>
        <v>0.25</v>
      </c>
      <c r="CK135" s="21">
        <f>EXP(-LN(2)/35)*CK134+(1-EXP(-LN(2)/35))/(LN(2)/35)*CG135*CH135*VLOOKUP('Données projet'!$B$12,Paramètres!$A$1:$I$89,3,0)*0.475*44/12</f>
        <v>19.871294548095641</v>
      </c>
      <c r="CL135" s="21">
        <f>EXP(-LN(2)/25)*CL134+(1-EXP(-LN(2)/25))/(LN(2)/25)*Calculateur!CG135*Calculateur!CI135*VLOOKUP('Données projet'!$B$12,Paramètres!$A$1:$I$89,3,0)*0.475*44/12</f>
        <v>20.196866509856765</v>
      </c>
      <c r="CM135" s="21">
        <f>EXP(-LN(2)/2)*CM134+(1-EXP(-LN(2)/2))/(LN(2)/2)*CG135*CJ135*VLOOKUP('Données projet'!$B$12,Paramètres!$A$1:$I$89,3,0)*0.475*44/12</f>
        <v>11.451094039621999</v>
      </c>
      <c r="CN135" s="22">
        <f t="shared" si="120"/>
        <v>51.519255097574408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2.5579538487363607E-13</v>
      </c>
      <c r="CU135" s="17">
        <f>CT135*VLOOKUP('Données projet'!$B$13,Paramètres!$A$1:$I$89,3,0)*VLOOKUP('Données projet'!$B$13,Paramètres!$A$1:$I$89,5,0)</f>
        <v>2.7533815227798186E-13</v>
      </c>
      <c r="CV135" s="13">
        <f t="shared" si="149"/>
        <v>3.6763598146902537E-12</v>
      </c>
      <c r="CW135" s="20">
        <f t="shared" si="121"/>
        <v>6.88254062580301E-12</v>
      </c>
      <c r="CX135" s="59">
        <f t="shared" si="122"/>
        <v>293.33333333334019</v>
      </c>
      <c r="CY135" s="59">
        <f ca="1">AVERAGE(OFFSET($CX$3,0,0,'Données projet'!$E$13+1,1))-AVERAGE(OFFSET($H$3,0,0,'Données projet'!$E$13+1,1))</f>
        <v>502.65044103360322</v>
      </c>
      <c r="CZ135" s="59">
        <f t="shared" si="150"/>
        <v>321.65762891855167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129.1723215167668</v>
      </c>
      <c r="DG135" s="21">
        <f>EXP(-LN(2)/25)*DG134+(1-EXP(-LN(2)/25))/(LN(2)/25)*Calculateur!DB135*Calculateur!DD135*VLOOKUP('Données projet'!$B$13,Paramètres!$A$1:$I$89,3,0)*0.475*44/12</f>
        <v>26.495015092004632</v>
      </c>
      <c r="DH135" s="21">
        <f>EXP(-LN(2)/2)*DH134+(1-EXP(-LN(2)/2))/(LN(2)/2)*DB135*DE135*VLOOKUP('Données projet'!$B$13,Paramètres!$A$1:$I$89,3,0)*0.475*44/12</f>
        <v>4.0503248704547383</v>
      </c>
      <c r="DI135" s="22">
        <f t="shared" si="123"/>
        <v>159.71766147922617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-25.899999999999977</v>
      </c>
      <c r="DP135" s="17">
        <f>DO135*VLOOKUP('Données projet'!$B$14,Paramètres!$A$1:$I$89,3,0)*VLOOKUP('Données projet'!$B$14,Paramètres!$A$1:$I$89,5,0)</f>
        <v>-13.171703999999989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63.94726564348116</v>
      </c>
      <c r="DU135" s="59">
        <f t="shared" si="152"/>
        <v>280.8165028422905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6.7681015662450514</v>
      </c>
      <c r="EB135" s="21">
        <f>EXP(-LN(2)/25)*EB134+(1-EXP(-LN(2)/25))/(LN(2)/25)*Calculateur!DW135*Calculateur!DY135*VLOOKUP('Données projet'!$B$14,Paramètres!$A$1:$I$89,3,0)*0.475*44/12</f>
        <v>0.38421622753830681</v>
      </c>
      <c r="EC135" s="21">
        <f>EXP(-LN(2)/2)*EC134+(1-EXP(-LN(2)/2))/(LN(2)/2)*DW135*DZ135*VLOOKUP('Données projet'!$B$14,Paramètres!$A$1:$I$89,3,0)*0.475*44/12</f>
        <v>4.3151086995850709E-17</v>
      </c>
      <c r="ED135" s="22">
        <f t="shared" si="126"/>
        <v>7.1523177937833582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-5.9685589803848416E-13</v>
      </c>
      <c r="O136" s="13">
        <f>N136*VLOOKUP('Données projet'!$B$9,Paramètres!$A$1:$I$89,3,0)*VLOOKUP('Données projet'!$B$9,Paramètres!$A$1:$I$89,5,0)</f>
        <v>-3.4140157367801295E-13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294.9631697747962</v>
      </c>
      <c r="T136" s="59">
        <f t="shared" si="142"/>
        <v>202.04924881627716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58.068938010331706</v>
      </c>
      <c r="AA136" s="21">
        <f>EXP(-LN(2)/25)*AA135+(1-EXP(-LN(2)/25))/(LN(2)/25)*Calculateur!V136*Calculateur!X136*VLOOKUP('Données projet'!$B$9,Paramètres!$A$1:$I$89,3,0)*0.475*44/12</f>
        <v>14.713891861531231</v>
      </c>
      <c r="AB136" s="21">
        <f>EXP(-LN(2)/2)*AB135+(1-EXP(-LN(2)/2))/(LN(2)/2)*V136*Y136*VLOOKUP('Données projet'!$B$9,Paramètres!$A$1:$I$89,3,0)*0.475*44/12</f>
        <v>9.472479325300301E-4</v>
      </c>
      <c r="AC136" s="22">
        <f t="shared" si="111"/>
        <v>72.783777119795459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349.71285006949597</v>
      </c>
      <c r="AO136" s="59">
        <f t="shared" si="144"/>
        <v>258.51550516456842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53.654304231213985</v>
      </c>
      <c r="AV136" s="21">
        <f>EXP(-LN(2)/25)*AV135+(1-EXP(-LN(2)/25))/(LN(2)/25)*Calculateur!AQ136*Calculateur!AS136*VLOOKUP('Données projet'!$B$10,Paramètres!$A$1:$I$89,3,0)*0.475*44/12</f>
        <v>11.903633204979929</v>
      </c>
      <c r="AW136" s="21">
        <f>EXP(-LN(2)/2)*AW135+(1-EXP(-LN(2)/2))/(LN(2)/2)*AQ136*AT136*VLOOKUP('Données projet'!$B$10,Paramètres!$A$1:$I$89,3,0)*0.475*44/12</f>
        <v>7.4512090783538709E-7</v>
      </c>
      <c r="AX136" s="21">
        <f t="shared" si="114"/>
        <v>65.557938181314825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7.7849999999999966</v>
      </c>
      <c r="BD136" s="12">
        <f>IF('Données projet'!$A$88&gt;35,BD135+BC136-BL135,IF(A136&lt;'Données projet'!$A$88,$BA$205^A136,IF(A136='Données projet'!$A$88,'Données projet'!$B$88,BD135+BC136-BL135)))</f>
        <v>396.89000000000033</v>
      </c>
      <c r="BE136" s="13">
        <f>BD136*VLOOKUP('Données projet'!$B$11,Paramètres!$A$1:$I$89,3,0)*VLOOKUP('Données projet'!$B$11,Paramètres!$A$1:$I$89,5,0)</f>
        <v>359.10607200000027</v>
      </c>
      <c r="BF136" s="13">
        <f t="shared" si="145"/>
        <v>83.434733954740693</v>
      </c>
      <c r="BG136" s="20">
        <f t="shared" si="115"/>
        <v>770.75857037117385</v>
      </c>
      <c r="BH136" s="59">
        <f t="shared" si="116"/>
        <v>1064.0919037045071</v>
      </c>
      <c r="BI136" s="59">
        <f ca="1">AVERAGE(OFFSET($BH$3,0,0,'Données projet'!$E$11+1,1))-AVERAGE(OFFSET($H$3,0,0,'Données projet'!$E$11+1,1))</f>
        <v>490.06222615476065</v>
      </c>
      <c r="BJ136" s="59">
        <f t="shared" si="146"/>
        <v>310.43914804089906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35.632980336926984</v>
      </c>
      <c r="BQ136" s="21">
        <f>EXP(-LN(2)/25)*BQ135+(1-EXP(-LN(2)/25))/(LN(2)/25)*Calculateur!BL136*Calculateur!BN136*VLOOKUP('Données projet'!$B$11,Paramètres!$A$1:$I$89,3,0)*0.475*44/12</f>
        <v>17.355963154310633</v>
      </c>
      <c r="BR136" s="21">
        <f>EXP(-LN(2)/2)*BR135+(1-EXP(-LN(2)/2))/(LN(2)/2)*BL136*BO136*VLOOKUP('Données projet'!$B$11,Paramètres!$A$1:$I$89,3,0)*0.475*44/12</f>
        <v>1.516343331190491E-4</v>
      </c>
      <c r="BS136" s="22">
        <f t="shared" si="117"/>
        <v>52.989095125570742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289.39349400000003</v>
      </c>
      <c r="CA136" s="13">
        <f t="shared" si="147"/>
        <v>68.948295794590706</v>
      </c>
      <c r="CB136" s="20">
        <f t="shared" si="118"/>
        <v>624.1119505589121</v>
      </c>
      <c r="CC136" s="59">
        <f t="shared" si="119"/>
        <v>917.44528389224547</v>
      </c>
      <c r="CD136" s="59">
        <f ca="1">AVERAGE(OFFSET($CC$3,0,0,'Données projet'!$E$12+1,1))-AVERAGE(OFFSET($H$3,0,0,'Données projet'!$E$12+1,1))</f>
        <v>510.71380643466227</v>
      </c>
      <c r="CE136" s="59">
        <f t="shared" si="148"/>
        <v>252.40654099948841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19.481630582300379</v>
      </c>
      <c r="CL136" s="21">
        <f>EXP(-LN(2)/25)*CL135+(1-EXP(-LN(2)/25))/(LN(2)/25)*Calculateur!CG136*Calculateur!CI136*VLOOKUP('Données projet'!$B$12,Paramètres!$A$1:$I$89,3,0)*0.475*44/12</f>
        <v>19.644582133037684</v>
      </c>
      <c r="CM136" s="21">
        <f>EXP(-LN(2)/2)*CM135+(1-EXP(-LN(2)/2))/(LN(2)/2)*CG136*CJ136*VLOOKUP('Données projet'!$B$12,Paramètres!$A$1:$I$89,3,0)*0.475*44/12</f>
        <v>8.0971462474215716</v>
      </c>
      <c r="CN136" s="22">
        <f t="shared" si="120"/>
        <v>47.223358962759633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2.5579538487363607E-13</v>
      </c>
      <c r="CU136" s="17">
        <f>CT136*VLOOKUP('Données projet'!$B$13,Paramètres!$A$1:$I$89,3,0)*VLOOKUP('Données projet'!$B$13,Paramètres!$A$1:$I$89,5,0)</f>
        <v>2.7533815227798186E-13</v>
      </c>
      <c r="CV136" s="13">
        <f t="shared" si="149"/>
        <v>3.6763598146902537E-12</v>
      </c>
      <c r="CW136" s="20">
        <f t="shared" si="121"/>
        <v>6.88254062580301E-12</v>
      </c>
      <c r="CX136" s="59">
        <f t="shared" si="122"/>
        <v>293.33333333334019</v>
      </c>
      <c r="CY136" s="59">
        <f ca="1">AVERAGE(OFFSET($CX$3,0,0,'Données projet'!$E$13+1,1))-AVERAGE(OFFSET($H$3,0,0,'Données projet'!$E$13+1,1))</f>
        <v>502.65044103360322</v>
      </c>
      <c r="CZ136" s="59">
        <f t="shared" si="150"/>
        <v>321.65762891855167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126.63933107915952</v>
      </c>
      <c r="DG136" s="21">
        <f>EXP(-LN(2)/25)*DG135+(1-EXP(-LN(2)/25))/(LN(2)/25)*Calculateur!DB136*Calculateur!DD136*VLOOKUP('Données projet'!$B$13,Paramètres!$A$1:$I$89,3,0)*0.475*44/12</f>
        <v>25.770507511001476</v>
      </c>
      <c r="DH136" s="21">
        <f>EXP(-LN(2)/2)*DH135+(1-EXP(-LN(2)/2))/(LN(2)/2)*DB136*DE136*VLOOKUP('Données projet'!$B$13,Paramètres!$A$1:$I$89,3,0)*0.475*44/12</f>
        <v>2.8640121819070701</v>
      </c>
      <c r="DI136" s="22">
        <f t="shared" si="123"/>
        <v>155.27385077206807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-25.899999999999977</v>
      </c>
      <c r="DP136" s="17">
        <f>DO136*VLOOKUP('Données projet'!$B$14,Paramètres!$A$1:$I$89,3,0)*VLOOKUP('Données projet'!$B$14,Paramètres!$A$1:$I$89,5,0)</f>
        <v>-13.171703999999989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63.94726564348116</v>
      </c>
      <c r="DU136" s="59">
        <f t="shared" si="152"/>
        <v>280.8165028422905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6.6353832226653218</v>
      </c>
      <c r="EB136" s="21">
        <f>EXP(-LN(2)/25)*EB135+(1-EXP(-LN(2)/25))/(LN(2)/25)*Calculateur!DW136*Calculateur!DY136*VLOOKUP('Données projet'!$B$14,Paramètres!$A$1:$I$89,3,0)*0.475*44/12</f>
        <v>0.37370981459121855</v>
      </c>
      <c r="EC136" s="21">
        <f>EXP(-LN(2)/2)*EC135+(1-EXP(-LN(2)/2))/(LN(2)/2)*DW136*DZ136*VLOOKUP('Données projet'!$B$14,Paramètres!$A$1:$I$89,3,0)*0.475*44/12</f>
        <v>3.0512426230336683E-17</v>
      </c>
      <c r="ED136" s="22">
        <f t="shared" si="126"/>
        <v>7.0090930372565401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-5.9685589803848416E-13</v>
      </c>
      <c r="O137" s="13">
        <f>N137*VLOOKUP('Données projet'!$B$9,Paramètres!$A$1:$I$89,3,0)*VLOOKUP('Données projet'!$B$9,Paramètres!$A$1:$I$89,5,0)</f>
        <v>-3.4140157367801295E-13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294.9631697747962</v>
      </c>
      <c r="T137" s="59">
        <f t="shared" si="142"/>
        <v>202.04924881627716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56.930241554503993</v>
      </c>
      <c r="AA137" s="21">
        <f>EXP(-LN(2)/25)*AA136+(1-EXP(-LN(2)/25))/(LN(2)/25)*Calculateur!V137*Calculateur!X137*VLOOKUP('Données projet'!$B$9,Paramètres!$A$1:$I$89,3,0)*0.475*44/12</f>
        <v>14.311539714807715</v>
      </c>
      <c r="AB137" s="21">
        <f>EXP(-LN(2)/2)*AB136+(1-EXP(-LN(2)/2))/(LN(2)/2)*V137*Y137*VLOOKUP('Données projet'!$B$9,Paramètres!$A$1:$I$89,3,0)*0.475*44/12</f>
        <v>6.6980543655692157E-4</v>
      </c>
      <c r="AC137" s="22">
        <f t="shared" si="111"/>
        <v>71.24245107474826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349.71285006949597</v>
      </c>
      <c r="AO137" s="59">
        <f t="shared" si="144"/>
        <v>258.51550516456842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52.602176051134045</v>
      </c>
      <c r="AV137" s="21">
        <f>EXP(-LN(2)/25)*AV136+(1-EXP(-LN(2)/25))/(LN(2)/25)*Calculateur!AQ137*Calculateur!AS137*VLOOKUP('Données projet'!$B$10,Paramètres!$A$1:$I$89,3,0)*0.475*44/12</f>
        <v>11.578127729004889</v>
      </c>
      <c r="AW137" s="21">
        <f>EXP(-LN(2)/2)*AW136+(1-EXP(-LN(2)/2))/(LN(2)/2)*AQ137*AT137*VLOOKUP('Données projet'!$B$10,Paramètres!$A$1:$I$89,3,0)*0.475*44/12</f>
        <v>5.268800467342787E-7</v>
      </c>
      <c r="AX137" s="21">
        <f t="shared" si="114"/>
        <v>64.180304307018972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7.7849999999999966</v>
      </c>
      <c r="BD137" s="12">
        <f>IF('Données projet'!$A$88&gt;35,BD136+BC137-BL136,IF(A137&lt;'Données projet'!$A$88,$BA$205^A137,IF(A137='Données projet'!$A$88,'Données projet'!$B$88,BD136+BC137-BL136)))</f>
        <v>404.6750000000003</v>
      </c>
      <c r="BE137" s="13">
        <f>BD137*VLOOKUP('Données projet'!$B$11,Paramètres!$A$1:$I$89,3,0)*VLOOKUP('Données projet'!$B$11,Paramètres!$A$1:$I$89,5,0)</f>
        <v>366.14994000000024</v>
      </c>
      <c r="BF137" s="13">
        <f t="shared" si="145"/>
        <v>84.879170832991178</v>
      </c>
      <c r="BG137" s="20">
        <f t="shared" si="115"/>
        <v>785.54236803412675</v>
      </c>
      <c r="BH137" s="59">
        <f t="shared" si="116"/>
        <v>1078.8757013674601</v>
      </c>
      <c r="BI137" s="59">
        <f ca="1">AVERAGE(OFFSET($BH$3,0,0,'Données projet'!$E$11+1,1))-AVERAGE(OFFSET($H$3,0,0,'Données projet'!$E$11+1,1))</f>
        <v>490.06222615476065</v>
      </c>
      <c r="BJ137" s="59">
        <f t="shared" si="146"/>
        <v>310.43914804089906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34.934239326491799</v>
      </c>
      <c r="BQ137" s="21">
        <f>EXP(-LN(2)/25)*BQ136+(1-EXP(-LN(2)/25))/(LN(2)/25)*Calculateur!BL137*Calculateur!BN137*VLOOKUP('Données projet'!$B$11,Paramètres!$A$1:$I$89,3,0)*0.475*44/12</f>
        <v>16.881363429145573</v>
      </c>
      <c r="BR137" s="21">
        <f>EXP(-LN(2)/2)*BR136+(1-EXP(-LN(2)/2))/(LN(2)/2)*BL137*BO137*VLOOKUP('Données projet'!$B$11,Paramètres!$A$1:$I$89,3,0)*0.475*44/12</f>
        <v>1.0722166520917951E-4</v>
      </c>
      <c r="BS137" s="22">
        <f t="shared" si="117"/>
        <v>51.815709977302582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296.49032400000004</v>
      </c>
      <c r="CA137" s="13">
        <f t="shared" si="147"/>
        <v>70.44019741922979</v>
      </c>
      <c r="CB137" s="20">
        <f t="shared" si="118"/>
        <v>639.07065813849192</v>
      </c>
      <c r="CC137" s="59">
        <f t="shared" si="119"/>
        <v>932.40399147182529</v>
      </c>
      <c r="CD137" s="59">
        <f ca="1">AVERAGE(OFFSET($CC$3,0,0,'Données projet'!$E$12+1,1))-AVERAGE(OFFSET($H$3,0,0,'Données projet'!$E$12+1,1))</f>
        <v>510.71380643466227</v>
      </c>
      <c r="CE137" s="59">
        <f t="shared" si="148"/>
        <v>252.40654099948841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19.099607689202813</v>
      </c>
      <c r="CL137" s="21">
        <f>EXP(-LN(2)/25)*CL136+(1-EXP(-LN(2)/25))/(LN(2)/25)*Calculateur!CG137*Calculateur!CI137*VLOOKUP('Données projet'!$B$12,Paramètres!$A$1:$I$89,3,0)*0.475*44/12</f>
        <v>19.107400001546093</v>
      </c>
      <c r="CM137" s="21">
        <f>EXP(-LN(2)/2)*CM136+(1-EXP(-LN(2)/2))/(LN(2)/2)*CG137*CJ137*VLOOKUP('Données projet'!$B$12,Paramètres!$A$1:$I$89,3,0)*0.475*44/12</f>
        <v>5.7255470198109997</v>
      </c>
      <c r="CN137" s="22">
        <f t="shared" si="120"/>
        <v>43.932554710559913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2.5579538487363607E-13</v>
      </c>
      <c r="CU137" s="17">
        <f>CT137*VLOOKUP('Données projet'!$B$13,Paramètres!$A$1:$I$89,3,0)*VLOOKUP('Données projet'!$B$13,Paramètres!$A$1:$I$89,5,0)</f>
        <v>2.7533815227798186E-13</v>
      </c>
      <c r="CV137" s="13">
        <f t="shared" si="149"/>
        <v>3.6763598146902537E-12</v>
      </c>
      <c r="CW137" s="20">
        <f t="shared" si="121"/>
        <v>6.88254062580301E-12</v>
      </c>
      <c r="CX137" s="59">
        <f t="shared" si="122"/>
        <v>293.33333333334019</v>
      </c>
      <c r="CY137" s="59">
        <f ca="1">AVERAGE(OFFSET($CX$3,0,0,'Données projet'!$E$13+1,1))-AVERAGE(OFFSET($H$3,0,0,'Données projet'!$E$13+1,1))</f>
        <v>502.65044103360322</v>
      </c>
      <c r="CZ137" s="59">
        <f t="shared" si="150"/>
        <v>321.65762891855167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124.15601103906211</v>
      </c>
      <c r="DG137" s="21">
        <f>EXP(-LN(2)/25)*DG136+(1-EXP(-LN(2)/25))/(LN(2)/25)*Calculateur!DB137*Calculateur!DD137*VLOOKUP('Données projet'!$B$13,Paramètres!$A$1:$I$89,3,0)*0.475*44/12</f>
        <v>25.065811627901049</v>
      </c>
      <c r="DH137" s="21">
        <f>EXP(-LN(2)/2)*DH136+(1-EXP(-LN(2)/2))/(LN(2)/2)*DB137*DE137*VLOOKUP('Données projet'!$B$13,Paramètres!$A$1:$I$89,3,0)*0.475*44/12</f>
        <v>2.0251624352273692</v>
      </c>
      <c r="DI137" s="22">
        <f t="shared" si="123"/>
        <v>151.24698510219054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-25.899999999999977</v>
      </c>
      <c r="DP137" s="17">
        <f>DO137*VLOOKUP('Données projet'!$B$14,Paramètres!$A$1:$I$89,3,0)*VLOOKUP('Données projet'!$B$14,Paramètres!$A$1:$I$89,5,0)</f>
        <v>-13.171703999999989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63.94726564348116</v>
      </c>
      <c r="DU137" s="59">
        <f t="shared" si="152"/>
        <v>280.8165028422905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6.5052674048529946</v>
      </c>
      <c r="EB137" s="21">
        <f>EXP(-LN(2)/25)*EB136+(1-EXP(-LN(2)/25))/(LN(2)/25)*Calculateur!DW137*Calculateur!DY137*VLOOKUP('Données projet'!$B$14,Paramètres!$A$1:$I$89,3,0)*0.475*44/12</f>
        <v>0.36349070005867667</v>
      </c>
      <c r="EC137" s="21">
        <f>EXP(-LN(2)/2)*EC136+(1-EXP(-LN(2)/2))/(LN(2)/2)*DW137*DZ137*VLOOKUP('Données projet'!$B$14,Paramètres!$A$1:$I$89,3,0)*0.475*44/12</f>
        <v>2.1575543497925354E-17</v>
      </c>
      <c r="ED137" s="22">
        <f t="shared" si="126"/>
        <v>6.868758104911671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-5.9685589803848416E-13</v>
      </c>
      <c r="O138" s="13">
        <f>N138*VLOOKUP('Données projet'!$B$9,Paramètres!$A$1:$I$89,3,0)*VLOOKUP('Données projet'!$B$9,Paramètres!$A$1:$I$89,5,0)</f>
        <v>-3.4140157367801295E-13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294.9631697747962</v>
      </c>
      <c r="T138" s="59">
        <f t="shared" si="142"/>
        <v>202.04924881627716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55.813874241638807</v>
      </c>
      <c r="AA138" s="21">
        <f>EXP(-LN(2)/25)*AA137+(1-EXP(-LN(2)/25))/(LN(2)/25)*Calculateur!V138*Calculateur!X138*VLOOKUP('Données projet'!$B$9,Paramètres!$A$1:$I$89,3,0)*0.475*44/12</f>
        <v>13.920189908695134</v>
      </c>
      <c r="AB138" s="21">
        <f>EXP(-LN(2)/2)*AB137+(1-EXP(-LN(2)/2))/(LN(2)/2)*V138*Y138*VLOOKUP('Données projet'!$B$9,Paramètres!$A$1:$I$89,3,0)*0.475*44/12</f>
        <v>4.7362396626501511E-4</v>
      </c>
      <c r="AC138" s="22">
        <f t="shared" si="111"/>
        <v>69.734537774300208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349.71285006949597</v>
      </c>
      <c r="AO138" s="59">
        <f t="shared" si="144"/>
        <v>258.51550516456842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51.570679462930649</v>
      </c>
      <c r="AV138" s="21">
        <f>EXP(-LN(2)/25)*AV137+(1-EXP(-LN(2)/25))/(LN(2)/25)*Calculateur!AQ138*Calculateur!AS138*VLOOKUP('Données projet'!$B$10,Paramètres!$A$1:$I$89,3,0)*0.475*44/12</f>
        <v>11.261523217387975</v>
      </c>
      <c r="AW138" s="21">
        <f>EXP(-LN(2)/2)*AW137+(1-EXP(-LN(2)/2))/(LN(2)/2)*AQ138*AT138*VLOOKUP('Données projet'!$B$10,Paramètres!$A$1:$I$89,3,0)*0.475*44/12</f>
        <v>3.7256045391769355E-7</v>
      </c>
      <c r="AX138" s="21">
        <f t="shared" si="114"/>
        <v>62.83220305287908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7.7849999999999966</v>
      </c>
      <c r="BD138" s="12">
        <f>IF('Données projet'!$A$88&gt;35,BD137+BC138-BL137,IF(A138&lt;'Données projet'!$A$88,$BA$205^A138,IF(A138='Données projet'!$A$88,'Données projet'!$B$88,BD137+BC138-BL137)))</f>
        <v>412.46000000000026</v>
      </c>
      <c r="BE138" s="13">
        <f>BD138*VLOOKUP('Données projet'!$B$11,Paramètres!$A$1:$I$89,3,0)*VLOOKUP('Données projet'!$B$11,Paramètres!$A$1:$I$89,5,0)</f>
        <v>373.19380800000022</v>
      </c>
      <c r="BF138" s="13">
        <f t="shared" si="145"/>
        <v>86.320376644349466</v>
      </c>
      <c r="BG138" s="20">
        <f t="shared" si="115"/>
        <v>800.32053825557568</v>
      </c>
      <c r="BH138" s="59">
        <f t="shared" si="116"/>
        <v>1093.6538715889089</v>
      </c>
      <c r="BI138" s="59">
        <f ca="1">AVERAGE(OFFSET($BH$3,0,0,'Données projet'!$E$11+1,1))-AVERAGE(OFFSET($H$3,0,0,'Données projet'!$E$11+1,1))</f>
        <v>490.06222615476065</v>
      </c>
      <c r="BJ138" s="59">
        <f t="shared" si="146"/>
        <v>310.43914804089906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34.249200201081315</v>
      </c>
      <c r="BQ138" s="21">
        <f>EXP(-LN(2)/25)*BQ137+(1-EXP(-LN(2)/25))/(LN(2)/25)*Calculateur!BL138*Calculateur!BN138*VLOOKUP('Données projet'!$B$11,Paramètres!$A$1:$I$89,3,0)*0.475*44/12</f>
        <v>16.419741658423266</v>
      </c>
      <c r="BR138" s="21">
        <f>EXP(-LN(2)/2)*BR137+(1-EXP(-LN(2)/2))/(LN(2)/2)*BL138*BO138*VLOOKUP('Données projet'!$B$11,Paramètres!$A$1:$I$89,3,0)*0.475*44/12</f>
        <v>7.5817166559524551E-5</v>
      </c>
      <c r="BS138" s="22">
        <f t="shared" si="117"/>
        <v>50.669017676671146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303.587154</v>
      </c>
      <c r="CA138" s="13">
        <f t="shared" si="147"/>
        <v>71.927947725812388</v>
      </c>
      <c r="CB138" s="20">
        <f t="shared" si="118"/>
        <v>654.02213550578983</v>
      </c>
      <c r="CC138" s="59">
        <f t="shared" si="119"/>
        <v>947.3554688391232</v>
      </c>
      <c r="CD138" s="59">
        <f ca="1">AVERAGE(OFFSET($CC$3,0,0,'Données projet'!$E$12+1,1))-AVERAGE(OFFSET($H$3,0,0,'Données projet'!$E$12+1,1))</f>
        <v>510.71380643466227</v>
      </c>
      <c r="CE138" s="59">
        <f t="shared" si="148"/>
        <v>252.40654099948841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18.725076032027932</v>
      </c>
      <c r="CL138" s="21">
        <f>EXP(-LN(2)/25)*CL137+(1-EXP(-LN(2)/25))/(LN(2)/25)*Calculateur!CG138*Calculateur!CI138*VLOOKUP('Données projet'!$B$12,Paramètres!$A$1:$I$89,3,0)*0.475*44/12</f>
        <v>18.584907143689321</v>
      </c>
      <c r="CM138" s="21">
        <f>EXP(-LN(2)/2)*CM137+(1-EXP(-LN(2)/2))/(LN(2)/2)*CG138*CJ138*VLOOKUP('Données projet'!$B$12,Paramètres!$A$1:$I$89,3,0)*0.475*44/12</f>
        <v>4.0485731237107858</v>
      </c>
      <c r="CN138" s="22">
        <f t="shared" si="120"/>
        <v>41.358556299428038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2.5579538487363607E-13</v>
      </c>
      <c r="CU138" s="17">
        <f>CT138*VLOOKUP('Données projet'!$B$13,Paramètres!$A$1:$I$89,3,0)*VLOOKUP('Données projet'!$B$13,Paramètres!$A$1:$I$89,5,0)</f>
        <v>2.7533815227798186E-13</v>
      </c>
      <c r="CV138" s="13">
        <f t="shared" si="149"/>
        <v>3.6763598146902537E-12</v>
      </c>
      <c r="CW138" s="20">
        <f t="shared" si="121"/>
        <v>6.88254062580301E-12</v>
      </c>
      <c r="CX138" s="59">
        <f t="shared" si="122"/>
        <v>293.33333333334019</v>
      </c>
      <c r="CY138" s="59">
        <f ca="1">AVERAGE(OFFSET($CX$3,0,0,'Données projet'!$E$13+1,1))-AVERAGE(OFFSET($H$3,0,0,'Données projet'!$E$13+1,1))</f>
        <v>502.65044103360322</v>
      </c>
      <c r="CZ138" s="59">
        <f t="shared" si="150"/>
        <v>321.65762891855167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121.72138739027534</v>
      </c>
      <c r="DG138" s="21">
        <f>EXP(-LN(2)/25)*DG137+(1-EXP(-LN(2)/25))/(LN(2)/25)*Calculateur!DB138*Calculateur!DD138*VLOOKUP('Données projet'!$B$13,Paramètres!$A$1:$I$89,3,0)*0.475*44/12</f>
        <v>24.380385690782351</v>
      </c>
      <c r="DH138" s="21">
        <f>EXP(-LN(2)/2)*DH137+(1-EXP(-LN(2)/2))/(LN(2)/2)*DB138*DE138*VLOOKUP('Données projet'!$B$13,Paramètres!$A$1:$I$89,3,0)*0.475*44/12</f>
        <v>1.432006090953535</v>
      </c>
      <c r="DI138" s="22">
        <f t="shared" si="123"/>
        <v>147.53377917201124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-25.899999999999977</v>
      </c>
      <c r="DP138" s="17">
        <f>DO138*VLOOKUP('Données projet'!$B$14,Paramètres!$A$1:$I$89,3,0)*VLOOKUP('Données projet'!$B$14,Paramètres!$A$1:$I$89,5,0)</f>
        <v>-13.171703999999989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63.94726564348116</v>
      </c>
      <c r="DU138" s="59">
        <f t="shared" si="152"/>
        <v>280.8165028422905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6.3777030788651548</v>
      </c>
      <c r="EB138" s="21">
        <f>EXP(-LN(2)/25)*EB137+(1-EXP(-LN(2)/25))/(LN(2)/25)*Calculateur!DW138*Calculateur!DY138*VLOOKUP('Données projet'!$B$14,Paramètres!$A$1:$I$89,3,0)*0.475*44/12</f>
        <v>0.35355102775042702</v>
      </c>
      <c r="EC138" s="21">
        <f>EXP(-LN(2)/2)*EC137+(1-EXP(-LN(2)/2))/(LN(2)/2)*DW138*DZ138*VLOOKUP('Données projet'!$B$14,Paramètres!$A$1:$I$89,3,0)*0.475*44/12</f>
        <v>1.5256213115168342E-17</v>
      </c>
      <c r="ED138" s="22">
        <f t="shared" si="126"/>
        <v>6.731254106615582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-5.9685589803848416E-13</v>
      </c>
      <c r="O139" s="13">
        <f>N139*VLOOKUP('Données projet'!$B$9,Paramètres!$A$1:$I$89,3,0)*VLOOKUP('Données projet'!$B$9,Paramètres!$A$1:$I$89,5,0)</f>
        <v>-3.4140157367801295E-13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294.9631697747962</v>
      </c>
      <c r="T139" s="59">
        <f t="shared" si="142"/>
        <v>202.04924881627716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54.719398210862082</v>
      </c>
      <c r="AA139" s="21">
        <f>EXP(-LN(2)/25)*AA138+(1-EXP(-LN(2)/25))/(LN(2)/25)*Calculateur!V139*Calculateur!X139*VLOOKUP('Données projet'!$B$9,Paramètres!$A$1:$I$89,3,0)*0.475*44/12</f>
        <v>13.539541583610893</v>
      </c>
      <c r="AB139" s="21">
        <f>EXP(-LN(2)/2)*AB138+(1-EXP(-LN(2)/2))/(LN(2)/2)*V139*Y139*VLOOKUP('Données projet'!$B$9,Paramètres!$A$1:$I$89,3,0)*0.475*44/12</f>
        <v>3.3490271827846084E-4</v>
      </c>
      <c r="AC139" s="22">
        <f t="shared" si="111"/>
        <v>68.259274697191259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349.71285006949597</v>
      </c>
      <c r="AO139" s="59">
        <f t="shared" si="144"/>
        <v>258.51550516456842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50.559409893671123</v>
      </c>
      <c r="AV139" s="21">
        <f>EXP(-LN(2)/25)*AV138+(1-EXP(-LN(2)/25))/(LN(2)/25)*Calculateur!AQ139*Calculateur!AS139*VLOOKUP('Données projet'!$B$10,Paramètres!$A$1:$I$89,3,0)*0.475*44/12</f>
        <v>10.953576272790732</v>
      </c>
      <c r="AW139" s="21">
        <f>EXP(-LN(2)/2)*AW138+(1-EXP(-LN(2)/2))/(LN(2)/2)*AQ139*AT139*VLOOKUP('Données projet'!$B$10,Paramètres!$A$1:$I$89,3,0)*0.475*44/12</f>
        <v>2.6344002336713935E-7</v>
      </c>
      <c r="AX139" s="21">
        <f t="shared" si="114"/>
        <v>61.512986429901879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7.7849999999999966</v>
      </c>
      <c r="BD139" s="12">
        <f>IF('Données projet'!$A$88&gt;35,BD138+BC139-BL138,IF(A139&lt;'Données projet'!$A$88,$BA$205^A139,IF(A139='Données projet'!$A$88,'Données projet'!$B$88,BD138+BC139-BL138)))</f>
        <v>420.24500000000023</v>
      </c>
      <c r="BE139" s="13">
        <f>BD139*VLOOKUP('Données projet'!$B$11,Paramètres!$A$1:$I$89,3,0)*VLOOKUP('Données projet'!$B$11,Paramètres!$A$1:$I$89,5,0)</f>
        <v>380.23767600000019</v>
      </c>
      <c r="BF139" s="13">
        <f t="shared" si="145"/>
        <v>87.758419405833862</v>
      </c>
      <c r="BG139" s="20">
        <f t="shared" si="115"/>
        <v>815.0931994984943</v>
      </c>
      <c r="BH139" s="59">
        <f t="shared" si="116"/>
        <v>1108.4265328318277</v>
      </c>
      <c r="BI139" s="59">
        <f ca="1">AVERAGE(OFFSET($BH$3,0,0,'Données projet'!$E$11+1,1))-AVERAGE(OFFSET($H$3,0,0,'Données projet'!$E$11+1,1))</f>
        <v>490.06222615476065</v>
      </c>
      <c r="BJ139" s="59">
        <f t="shared" si="146"/>
        <v>310.43914804089906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33.57759427508752</v>
      </c>
      <c r="BQ139" s="21">
        <f>EXP(-LN(2)/25)*BQ138+(1-EXP(-LN(2)/25))/(LN(2)/25)*Calculateur!BL139*Calculateur!BN139*VLOOKUP('Données projet'!$B$11,Paramètres!$A$1:$I$89,3,0)*0.475*44/12</f>
        <v>15.970742959296997</v>
      </c>
      <c r="BR139" s="21">
        <f>EXP(-LN(2)/2)*BR138+(1-EXP(-LN(2)/2))/(LN(2)/2)*BL139*BO139*VLOOKUP('Données projet'!$B$11,Paramètres!$A$1:$I$89,3,0)*0.475*44/12</f>
        <v>5.3610832604589755E-5</v>
      </c>
      <c r="BS139" s="22">
        <f t="shared" si="117"/>
        <v>49.548390845217121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310.68398400000001</v>
      </c>
      <c r="CA139" s="13">
        <f t="shared" si="147"/>
        <v>73.411654926502464</v>
      </c>
      <c r="CB139" s="20">
        <f t="shared" si="118"/>
        <v>668.96657113032506</v>
      </c>
      <c r="CC139" s="59">
        <f t="shared" si="119"/>
        <v>962.29990446365832</v>
      </c>
      <c r="CD139" s="59">
        <f ca="1">AVERAGE(OFFSET($CC$3,0,0,'Données projet'!$E$12+1,1))-AVERAGE(OFFSET($H$3,0,0,'Données projet'!$E$12+1,1))</f>
        <v>510.71380643466227</v>
      </c>
      <c r="CE139" s="59">
        <f t="shared" si="148"/>
        <v>252.40654099948841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18.357888712208496</v>
      </c>
      <c r="CL139" s="21">
        <f>EXP(-LN(2)/25)*CL138+(1-EXP(-LN(2)/25))/(LN(2)/25)*Calculateur!CG139*Calculateur!CI139*VLOOKUP('Données projet'!$B$12,Paramètres!$A$1:$I$89,3,0)*0.475*44/12</f>
        <v>18.076701880507347</v>
      </c>
      <c r="CM139" s="21">
        <f>EXP(-LN(2)/2)*CM138+(1-EXP(-LN(2)/2))/(LN(2)/2)*CG139*CJ139*VLOOKUP('Données projet'!$B$12,Paramètres!$A$1:$I$89,3,0)*0.475*44/12</f>
        <v>2.8627735099054998</v>
      </c>
      <c r="CN139" s="22">
        <f t="shared" si="120"/>
        <v>39.297364102621344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2.5579538487363607E-13</v>
      </c>
      <c r="CU139" s="17">
        <f>CT139*VLOOKUP('Données projet'!$B$13,Paramètres!$A$1:$I$89,3,0)*VLOOKUP('Données projet'!$B$13,Paramètres!$A$1:$I$89,5,0)</f>
        <v>2.7533815227798186E-13</v>
      </c>
      <c r="CV139" s="13">
        <f t="shared" si="149"/>
        <v>3.6763598146902537E-12</v>
      </c>
      <c r="CW139" s="20">
        <f t="shared" si="121"/>
        <v>6.88254062580301E-12</v>
      </c>
      <c r="CX139" s="59">
        <f t="shared" si="122"/>
        <v>293.33333333334019</v>
      </c>
      <c r="CY139" s="59">
        <f ca="1">AVERAGE(OFFSET($CX$3,0,0,'Données projet'!$E$13+1,1))-AVERAGE(OFFSET($H$3,0,0,'Données projet'!$E$13+1,1))</f>
        <v>502.65044103360322</v>
      </c>
      <c r="CZ139" s="59">
        <f t="shared" si="150"/>
        <v>321.65762891855167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119.3345052262675</v>
      </c>
      <c r="DG139" s="21">
        <f>EXP(-LN(2)/25)*DG138+(1-EXP(-LN(2)/25))/(LN(2)/25)*Calculateur!DB139*Calculateur!DD139*VLOOKUP('Données projet'!$B$13,Paramètres!$A$1:$I$89,3,0)*0.475*44/12</f>
        <v>23.713702761959148</v>
      </c>
      <c r="DH139" s="21">
        <f>EXP(-LN(2)/2)*DH138+(1-EXP(-LN(2)/2))/(LN(2)/2)*DB139*DE139*VLOOKUP('Données projet'!$B$13,Paramètres!$A$1:$I$89,3,0)*0.475*44/12</f>
        <v>1.0125812176136846</v>
      </c>
      <c r="DI139" s="22">
        <f t="shared" si="123"/>
        <v>144.06078920584031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-25.899999999999977</v>
      </c>
      <c r="DP139" s="17">
        <f>DO139*VLOOKUP('Données projet'!$B$14,Paramètres!$A$1:$I$89,3,0)*VLOOKUP('Données projet'!$B$14,Paramètres!$A$1:$I$89,5,0)</f>
        <v>-13.171703999999989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63.94726564348116</v>
      </c>
      <c r="DU139" s="59">
        <f t="shared" si="152"/>
        <v>280.8165028422905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6.2526402115033797</v>
      </c>
      <c r="EB139" s="21">
        <f>EXP(-LN(2)/25)*EB138+(1-EXP(-LN(2)/25))/(LN(2)/25)*Calculateur!DW139*Calculateur!DY139*VLOOKUP('Données projet'!$B$14,Paramètres!$A$1:$I$89,3,0)*0.475*44/12</f>
        <v>0.34388315630415112</v>
      </c>
      <c r="EC139" s="21">
        <f>EXP(-LN(2)/2)*EC138+(1-EXP(-LN(2)/2))/(LN(2)/2)*DW139*DZ139*VLOOKUP('Données projet'!$B$14,Paramètres!$A$1:$I$89,3,0)*0.475*44/12</f>
        <v>1.0787771748962677E-17</v>
      </c>
      <c r="ED139" s="22">
        <f t="shared" si="126"/>
        <v>6.5965233678075306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-5.9685589803848416E-13</v>
      </c>
      <c r="O140" s="13">
        <f>N140*VLOOKUP('Données projet'!$B$9,Paramètres!$A$1:$I$89,3,0)*VLOOKUP('Données projet'!$B$9,Paramètres!$A$1:$I$89,5,0)</f>
        <v>-3.4140157367801295E-13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294.9631697747962</v>
      </c>
      <c r="T140" s="59">
        <f t="shared" si="142"/>
        <v>202.04924881627716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53.646384187484422</v>
      </c>
      <c r="AA140" s="21">
        <f>EXP(-LN(2)/25)*AA139+(1-EXP(-LN(2)/25))/(LN(2)/25)*Calculateur!V140*Calculateur!X140*VLOOKUP('Données projet'!$B$9,Paramètres!$A$1:$I$89,3,0)*0.475*44/12</f>
        <v>13.169302106993506</v>
      </c>
      <c r="AB140" s="21">
        <f>EXP(-LN(2)/2)*AB139+(1-EXP(-LN(2)/2))/(LN(2)/2)*V140*Y140*VLOOKUP('Données projet'!$B$9,Paramètres!$A$1:$I$89,3,0)*0.475*44/12</f>
        <v>2.3681198313250761E-4</v>
      </c>
      <c r="AC140" s="22">
        <f t="shared" si="111"/>
        <v>66.815923106461057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349.71285006949597</v>
      </c>
      <c r="AO140" s="59">
        <f t="shared" si="144"/>
        <v>258.51550516456842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49.567970703851252</v>
      </c>
      <c r="AV140" s="21">
        <f>EXP(-LN(2)/25)*AV139+(1-EXP(-LN(2)/25))/(LN(2)/25)*Calculateur!AQ140*Calculateur!AS140*VLOOKUP('Données projet'!$B$10,Paramètres!$A$1:$I$89,3,0)*0.475*44/12</f>
        <v>10.654050153587729</v>
      </c>
      <c r="AW140" s="21">
        <f>EXP(-LN(2)/2)*AW139+(1-EXP(-LN(2)/2))/(LN(2)/2)*AQ140*AT140*VLOOKUP('Données projet'!$B$10,Paramètres!$A$1:$I$89,3,0)*0.475*44/12</f>
        <v>1.8628022695884677E-7</v>
      </c>
      <c r="AX140" s="21">
        <f t="shared" si="114"/>
        <v>60.222021043719202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7.7849999999999966</v>
      </c>
      <c r="BC140" s="12">
        <f t="array" ref="BC140">INDEX(BB:BB,MIN(IF(ISNUMBER(BB140:BB336),ROW(BB140:BB336),"")))</f>
        <v>7.7849999999999966</v>
      </c>
      <c r="BD140" s="12">
        <f>IF('Données projet'!$A$88&gt;35,BD139+BC140-BL139,IF(A140&lt;'Données projet'!$A$88,$BA$205^A140,IF(A140='Données projet'!$A$88,'Données projet'!$B$88,BD139+BC140-BL139)))</f>
        <v>428.0300000000002</v>
      </c>
      <c r="BE140" s="13">
        <f>BD140*VLOOKUP('Données projet'!$B$11,Paramètres!$A$1:$I$89,3,0)*VLOOKUP('Données projet'!$B$11,Paramètres!$A$1:$I$89,5,0)</f>
        <v>387.28154400000017</v>
      </c>
      <c r="BF140" s="13">
        <f t="shared" si="145"/>
        <v>89.193364470196371</v>
      </c>
      <c r="BG140" s="20">
        <f t="shared" si="115"/>
        <v>829.86046558559235</v>
      </c>
      <c r="BH140" s="59">
        <f t="shared" si="116"/>
        <v>1123.1937989189257</v>
      </c>
      <c r="BI140" s="59">
        <f ca="1">AVERAGE(OFFSET($BH$3,0,0,'Données projet'!$E$11+1,1))-AVERAGE(OFFSET($H$3,0,0,'Données projet'!$E$11+1,1))</f>
        <v>490.06222615476065</v>
      </c>
      <c r="BJ140" s="59">
        <f t="shared" si="146"/>
        <v>310.43914804089906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74.669999999999959</v>
      </c>
      <c r="BM140" s="16">
        <f>IF(ISNA(VLOOKUP(A140,'Données projet'!$A$87:$I$107,5,0)),0%,VLOOKUP(A140,'Données projet'!$A$87:$I$107,5,0)*VLOOKUP('Données projet'!$B$11,Paramètres!$A$1:$I$89,7,0))</f>
        <v>0.215</v>
      </c>
      <c r="BN140" s="16">
        <f>IF(ISNA(VLOOKUP(A140,'Données projet'!$A$87:$I$107,6,0)),0%,VLOOKUP(A140,'Données projet'!$A$87:$I$107,6,0)*VLOOKUP('Données projet'!$B$11,Paramètres!$A$1:$I$89,7,0))</f>
        <v>8.6000000000000007E-2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48.976894131933548</v>
      </c>
      <c r="BQ140" s="21">
        <f>EXP(-LN(2)/25)*BQ139+(1-EXP(-LN(2)/25))/(LN(2)/25)*Calculateur!BL140*Calculateur!BN140*VLOOKUP('Données projet'!$B$11,Paramètres!$A$1:$I$89,3,0)*0.475*44/12</f>
        <v>21.931826383274185</v>
      </c>
      <c r="BR140" s="21">
        <f>EXP(-LN(2)/2)*BR139+(1-EXP(-LN(2)/2))/(LN(2)/2)*BL140*BO140*VLOOKUP('Données projet'!$B$11,Paramètres!$A$1:$I$89,3,0)*0.475*44/12</f>
        <v>3.7908583279762275E-5</v>
      </c>
      <c r="BS140" s="22">
        <f t="shared" si="117"/>
        <v>70.908758423791014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317.78081399999996</v>
      </c>
      <c r="CA140" s="13">
        <f t="shared" si="147"/>
        <v>74.891422007628094</v>
      </c>
      <c r="CB140" s="20">
        <f t="shared" si="118"/>
        <v>683.90414437995207</v>
      </c>
      <c r="CC140" s="59">
        <f t="shared" si="119"/>
        <v>977.23747771328544</v>
      </c>
      <c r="CD140" s="59">
        <f ca="1">AVERAGE(OFFSET($CC$3,0,0,'Données projet'!$E$12+1,1))-AVERAGE(OFFSET($H$3,0,0,'Données projet'!$E$12+1,1))</f>
        <v>510.71380643466227</v>
      </c>
      <c r="CE140" s="59">
        <f t="shared" si="148"/>
        <v>252.40654099948841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17.99790171176857</v>
      </c>
      <c r="CL140" s="21">
        <f>EXP(-LN(2)/25)*CL139+(1-EXP(-LN(2)/25))/(LN(2)/25)*Calculateur!CG140*Calculateur!CI140*VLOOKUP('Données projet'!$B$12,Paramètres!$A$1:$I$89,3,0)*0.475*44/12</f>
        <v>17.582393516972438</v>
      </c>
      <c r="CM140" s="21">
        <f>EXP(-LN(2)/2)*CM139+(1-EXP(-LN(2)/2))/(LN(2)/2)*CG140*CJ140*VLOOKUP('Données projet'!$B$12,Paramètres!$A$1:$I$89,3,0)*0.475*44/12</f>
        <v>2.0242865618553929</v>
      </c>
      <c r="CN140" s="22">
        <f t="shared" si="120"/>
        <v>37.604581790596399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2.5579538487363607E-13</v>
      </c>
      <c r="CU140" s="17">
        <f>CT140*VLOOKUP('Données projet'!$B$13,Paramètres!$A$1:$I$89,3,0)*VLOOKUP('Données projet'!$B$13,Paramètres!$A$1:$I$89,5,0)</f>
        <v>2.7533815227798186E-13</v>
      </c>
      <c r="CV140" s="13">
        <f t="shared" si="149"/>
        <v>3.6763598146902537E-12</v>
      </c>
      <c r="CW140" s="20">
        <f t="shared" si="121"/>
        <v>6.88254062580301E-12</v>
      </c>
      <c r="CX140" s="59">
        <f t="shared" si="122"/>
        <v>293.33333333334019</v>
      </c>
      <c r="CY140" s="59">
        <f ca="1">AVERAGE(OFFSET($CX$3,0,0,'Données projet'!$E$13+1,1))-AVERAGE(OFFSET($H$3,0,0,'Données projet'!$E$13+1,1))</f>
        <v>502.65044103360322</v>
      </c>
      <c r="CZ140" s="59">
        <f t="shared" si="150"/>
        <v>321.65762891855167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116.99442836564147</v>
      </c>
      <c r="DG140" s="21">
        <f>EXP(-LN(2)/25)*DG139+(1-EXP(-LN(2)/25))/(LN(2)/25)*Calculateur!DB140*Calculateur!DD140*VLOOKUP('Données projet'!$B$13,Paramètres!$A$1:$I$89,3,0)*0.475*44/12</f>
        <v>23.065250312883943</v>
      </c>
      <c r="DH140" s="21">
        <f>EXP(-LN(2)/2)*DH139+(1-EXP(-LN(2)/2))/(LN(2)/2)*DB140*DE140*VLOOKUP('Données projet'!$B$13,Paramètres!$A$1:$I$89,3,0)*0.475*44/12</f>
        <v>0.71600304547676752</v>
      </c>
      <c r="DI140" s="22">
        <f t="shared" si="123"/>
        <v>140.77568172400217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-25.899999999999977</v>
      </c>
      <c r="DP140" s="17">
        <f>DO140*VLOOKUP('Données projet'!$B$14,Paramètres!$A$1:$I$89,3,0)*VLOOKUP('Données projet'!$B$14,Paramètres!$A$1:$I$89,5,0)</f>
        <v>-13.171703999999989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63.94726564348116</v>
      </c>
      <c r="DU140" s="59">
        <f t="shared" si="152"/>
        <v>280.8165028422905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6.1300297506897525</v>
      </c>
      <c r="EB140" s="21">
        <f>EXP(-LN(2)/25)*EB139+(1-EXP(-LN(2)/25))/(LN(2)/25)*Calculateur!DW140*Calculateur!DY140*VLOOKUP('Données projet'!$B$14,Paramètres!$A$1:$I$89,3,0)*0.475*44/12</f>
        <v>0.33447965331098489</v>
      </c>
      <c r="EC140" s="21">
        <f>EXP(-LN(2)/2)*EC139+(1-EXP(-LN(2)/2))/(LN(2)/2)*DW140*DZ140*VLOOKUP('Données projet'!$B$14,Paramètres!$A$1:$I$89,3,0)*0.475*44/12</f>
        <v>7.6281065575841708E-18</v>
      </c>
      <c r="ED140" s="22">
        <f t="shared" si="126"/>
        <v>6.4645094040007374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-5.9685589803848416E-13</v>
      </c>
      <c r="O141" s="13">
        <f>N141*VLOOKUP('Données projet'!$B$9,Paramètres!$A$1:$I$89,3,0)*VLOOKUP('Données projet'!$B$9,Paramètres!$A$1:$I$89,5,0)</f>
        <v>-3.4140157367801295E-13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294.9631697747962</v>
      </c>
      <c r="T141" s="59">
        <f t="shared" si="142"/>
        <v>202.04924881627716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52.594411314631273</v>
      </c>
      <c r="AA141" s="21">
        <f>EXP(-LN(2)/25)*AA140+(1-EXP(-LN(2)/25))/(LN(2)/25)*Calculateur!V141*Calculateur!X141*VLOOKUP('Données projet'!$B$9,Paramètres!$A$1:$I$89,3,0)*0.475*44/12</f>
        <v>12.809186848334269</v>
      </c>
      <c r="AB141" s="21">
        <f>EXP(-LN(2)/2)*AB140+(1-EXP(-LN(2)/2))/(LN(2)/2)*V141*Y141*VLOOKUP('Données projet'!$B$9,Paramètres!$A$1:$I$89,3,0)*0.475*44/12</f>
        <v>1.6745135913923045E-4</v>
      </c>
      <c r="AC141" s="22">
        <f t="shared" si="111"/>
        <v>65.403765614324669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349.71285006949597</v>
      </c>
      <c r="AO141" s="59">
        <f t="shared" si="144"/>
        <v>258.51550516456842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48.595973031825551</v>
      </c>
      <c r="AV141" s="21">
        <f>EXP(-LN(2)/25)*AV140+(1-EXP(-LN(2)/25))/(LN(2)/25)*Calculateur!AQ141*Calculateur!AS141*VLOOKUP('Données projet'!$B$10,Paramètres!$A$1:$I$89,3,0)*0.475*44/12</f>
        <v>10.362714591865725</v>
      </c>
      <c r="AW141" s="21">
        <f>EXP(-LN(2)/2)*AW140+(1-EXP(-LN(2)/2))/(LN(2)/2)*AQ141*AT141*VLOOKUP('Données projet'!$B$10,Paramètres!$A$1:$I$89,3,0)*0.475*44/12</f>
        <v>1.3172001168356967E-7</v>
      </c>
      <c r="AX141" s="21">
        <f t="shared" si="114"/>
        <v>58.95868775541129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7.5999999999999988</v>
      </c>
      <c r="BD141" s="12">
        <f>IF('Données projet'!$A$88&gt;35,BD140+BC141-BL140,IF(A141&lt;'Données projet'!$A$88,$BA$205^A141,IF(A141='Données projet'!$A$88,'Données projet'!$B$88,BD140+BC141-BL140)))</f>
        <v>360.96000000000026</v>
      </c>
      <c r="BE141" s="13">
        <f>BD141*VLOOKUP('Données projet'!$B$11,Paramètres!$A$1:$I$89,3,0)*VLOOKUP('Données projet'!$B$11,Paramètres!$A$1:$I$89,5,0)</f>
        <v>326.59660800000023</v>
      </c>
      <c r="BF141" s="13">
        <f t="shared" si="145"/>
        <v>76.724272012237279</v>
      </c>
      <c r="BG141" s="20">
        <f t="shared" si="115"/>
        <v>702.45053268798029</v>
      </c>
      <c r="BH141" s="59">
        <f t="shared" si="116"/>
        <v>995.78386602131354</v>
      </c>
      <c r="BI141" s="59">
        <f ca="1">AVERAGE(OFFSET($BH$3,0,0,'Données projet'!$E$11+1,1))-AVERAGE(OFFSET($H$3,0,0,'Données projet'!$E$11+1,1))</f>
        <v>490.06222615476065</v>
      </c>
      <c r="BJ141" s="59">
        <f t="shared" si="146"/>
        <v>310.43914804089906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48.016487110962039</v>
      </c>
      <c r="BQ141" s="21">
        <f>EXP(-LN(2)/25)*BQ140+(1-EXP(-LN(2)/25))/(LN(2)/25)*Calculateur!BL141*Calculateur!BN141*VLOOKUP('Données projet'!$B$11,Paramètres!$A$1:$I$89,3,0)*0.475*44/12</f>
        <v>21.332099437478927</v>
      </c>
      <c r="BR141" s="21">
        <f>EXP(-LN(2)/2)*BR140+(1-EXP(-LN(2)/2))/(LN(2)/2)*BL141*BO141*VLOOKUP('Données projet'!$B$11,Paramètres!$A$1:$I$89,3,0)*0.475*44/12</f>
        <v>2.6805416302294878E-5</v>
      </c>
      <c r="BS141" s="22">
        <f t="shared" si="117"/>
        <v>69.34861335385726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324.87764399999998</v>
      </c>
      <c r="CA141" s="13">
        <f t="shared" si="147"/>
        <v>76.367347093032635</v>
      </c>
      <c r="CB141" s="20">
        <f t="shared" si="118"/>
        <v>698.83502615369832</v>
      </c>
      <c r="CC141" s="59">
        <f t="shared" si="119"/>
        <v>992.16835948703169</v>
      </c>
      <c r="CD141" s="59">
        <f ca="1">AVERAGE(OFFSET($CC$3,0,0,'Données projet'!$E$12+1,1))-AVERAGE(OFFSET($H$3,0,0,'Données projet'!$E$12+1,1))</f>
        <v>510.71380643466227</v>
      </c>
      <c r="CE141" s="59">
        <f t="shared" si="148"/>
        <v>252.40654099948841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17.644973836836883</v>
      </c>
      <c r="CL141" s="21">
        <f>EXP(-LN(2)/25)*CL140+(1-EXP(-LN(2)/25))/(LN(2)/25)*Calculateur!CG141*Calculateur!CI141*VLOOKUP('Données projet'!$B$12,Paramètres!$A$1:$I$89,3,0)*0.475*44/12</f>
        <v>17.101602041632937</v>
      </c>
      <c r="CM141" s="21">
        <f>EXP(-LN(2)/2)*CM140+(1-EXP(-LN(2)/2))/(LN(2)/2)*CG141*CJ141*VLOOKUP('Données projet'!$B$12,Paramètres!$A$1:$I$89,3,0)*0.475*44/12</f>
        <v>1.4313867549527499</v>
      </c>
      <c r="CN141" s="22">
        <f t="shared" si="120"/>
        <v>36.177962633422567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2.5579538487363607E-13</v>
      </c>
      <c r="CU141" s="17">
        <f>CT141*VLOOKUP('Données projet'!$B$13,Paramètres!$A$1:$I$89,3,0)*VLOOKUP('Données projet'!$B$13,Paramètres!$A$1:$I$89,5,0)</f>
        <v>2.7533815227798186E-13</v>
      </c>
      <c r="CV141" s="13">
        <f t="shared" si="149"/>
        <v>3.6763598146902537E-12</v>
      </c>
      <c r="CW141" s="20">
        <f t="shared" si="121"/>
        <v>6.88254062580301E-12</v>
      </c>
      <c r="CX141" s="59">
        <f t="shared" si="122"/>
        <v>293.33333333334019</v>
      </c>
      <c r="CY141" s="59">
        <f ca="1">AVERAGE(OFFSET($CX$3,0,0,'Données projet'!$E$13+1,1))-AVERAGE(OFFSET($H$3,0,0,'Données projet'!$E$13+1,1))</f>
        <v>502.65044103360322</v>
      </c>
      <c r="CZ141" s="59">
        <f t="shared" si="150"/>
        <v>321.65762891855167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114.70023898494637</v>
      </c>
      <c r="DG141" s="21">
        <f>EXP(-LN(2)/25)*DG140+(1-EXP(-LN(2)/25))/(LN(2)/25)*Calculateur!DB141*Calculateur!DD141*VLOOKUP('Données projet'!$B$13,Paramètres!$A$1:$I$89,3,0)*0.475*44/12</f>
        <v>22.434529830129335</v>
      </c>
      <c r="DH141" s="21">
        <f>EXP(-LN(2)/2)*DH140+(1-EXP(-LN(2)/2))/(LN(2)/2)*DB141*DE141*VLOOKUP('Données projet'!$B$13,Paramètres!$A$1:$I$89,3,0)*0.475*44/12</f>
        <v>0.50629060880684229</v>
      </c>
      <c r="DI141" s="22">
        <f t="shared" si="123"/>
        <v>137.64105942388252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-25.899999999999977</v>
      </c>
      <c r="DP141" s="17">
        <f>DO141*VLOOKUP('Données projet'!$B$14,Paramètres!$A$1:$I$89,3,0)*VLOOKUP('Données projet'!$B$14,Paramètres!$A$1:$I$89,5,0)</f>
        <v>-13.171703999999989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63.94726564348116</v>
      </c>
      <c r="DU141" s="59">
        <f t="shared" si="152"/>
        <v>280.8165028422905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6.009823606227684</v>
      </c>
      <c r="EB141" s="21">
        <f>EXP(-LN(2)/25)*EB140+(1-EXP(-LN(2)/25))/(LN(2)/25)*Calculateur!DW141*Calculateur!DY141*VLOOKUP('Données projet'!$B$14,Paramètres!$A$1:$I$89,3,0)*0.475*44/12</f>
        <v>0.32533328960167551</v>
      </c>
      <c r="EC141" s="21">
        <f>EXP(-LN(2)/2)*EC140+(1-EXP(-LN(2)/2))/(LN(2)/2)*DW141*DZ141*VLOOKUP('Données projet'!$B$14,Paramètres!$A$1:$I$89,3,0)*0.475*44/12</f>
        <v>5.3938858744813386E-18</v>
      </c>
      <c r="ED141" s="22">
        <f t="shared" si="126"/>
        <v>6.3351568958293596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-5.9685589803848416E-13</v>
      </c>
      <c r="O142" s="13">
        <f>N142*VLOOKUP('Données projet'!$B$9,Paramètres!$A$1:$I$89,3,0)*VLOOKUP('Données projet'!$B$9,Paramètres!$A$1:$I$89,5,0)</f>
        <v>-3.4140157367801295E-13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294.9631697747962</v>
      </c>
      <c r="T142" s="59">
        <f t="shared" si="142"/>
        <v>202.04924881627716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51.563066988174675</v>
      </c>
      <c r="AA142" s="21">
        <f>EXP(-LN(2)/25)*AA141+(1-EXP(-LN(2)/25))/(LN(2)/25)*Calculateur!V142*Calculateur!X142*VLOOKUP('Données projet'!$B$9,Paramètres!$A$1:$I$89,3,0)*0.475*44/12</f>
        <v>12.458918960360707</v>
      </c>
      <c r="AB142" s="21">
        <f>EXP(-LN(2)/2)*AB141+(1-EXP(-LN(2)/2))/(LN(2)/2)*V142*Y142*VLOOKUP('Données projet'!$B$9,Paramètres!$A$1:$I$89,3,0)*0.475*44/12</f>
        <v>1.1840599156625382E-4</v>
      </c>
      <c r="AC142" s="22">
        <f t="shared" si="111"/>
        <v>64.022104354526959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349.71285006949597</v>
      </c>
      <c r="AO142" s="59">
        <f t="shared" si="144"/>
        <v>258.51550516456842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47.643035641288236</v>
      </c>
      <c r="AV142" s="21">
        <f>EXP(-LN(2)/25)*AV141+(1-EXP(-LN(2)/25))/(LN(2)/25)*Calculateur!AQ142*Calculateur!AS142*VLOOKUP('Données projet'!$B$10,Paramètres!$A$1:$I$89,3,0)*0.475*44/12</f>
        <v>10.07934561639968</v>
      </c>
      <c r="AW142" s="21">
        <f>EXP(-LN(2)/2)*AW141+(1-EXP(-LN(2)/2))/(LN(2)/2)*AQ142*AT142*VLOOKUP('Données projet'!$B$10,Paramètres!$A$1:$I$89,3,0)*0.475*44/12</f>
        <v>9.3140113479423386E-8</v>
      </c>
      <c r="AX142" s="21">
        <f t="shared" si="114"/>
        <v>57.72238135082803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7.5999999999999988</v>
      </c>
      <c r="BD142" s="12">
        <f>IF('Données projet'!$A$88&gt;35,BD141+BC142-BL141,IF(A142&lt;'Données projet'!$A$88,$BA$205^A142,IF(A142='Données projet'!$A$88,'Données projet'!$B$88,BD141+BC142-BL141)))</f>
        <v>368.56000000000029</v>
      </c>
      <c r="BE142" s="13">
        <f>BD142*VLOOKUP('Données projet'!$B$11,Paramètres!$A$1:$I$89,3,0)*VLOOKUP('Données projet'!$B$11,Paramètres!$A$1:$I$89,5,0)</f>
        <v>333.47308800000025</v>
      </c>
      <c r="BF142" s="13">
        <f t="shared" si="145"/>
        <v>78.149927586670955</v>
      </c>
      <c r="BG142" s="20">
        <f t="shared" si="115"/>
        <v>716.91008548011894</v>
      </c>
      <c r="BH142" s="59">
        <f t="shared" si="116"/>
        <v>1010.2434188134523</v>
      </c>
      <c r="BI142" s="59">
        <f ca="1">AVERAGE(OFFSET($BH$3,0,0,'Données projet'!$E$11+1,1))-AVERAGE(OFFSET($H$3,0,0,'Données projet'!$E$11+1,1))</f>
        <v>490.06222615476065</v>
      </c>
      <c r="BJ142" s="59">
        <f t="shared" si="146"/>
        <v>310.43914804089906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47.074913085881342</v>
      </c>
      <c r="BQ142" s="21">
        <f>EXP(-LN(2)/25)*BQ141+(1-EXP(-LN(2)/25))/(LN(2)/25)*Calculateur!BL142*Calculateur!BN142*VLOOKUP('Données projet'!$B$11,Paramètres!$A$1:$I$89,3,0)*0.475*44/12</f>
        <v>20.74877205655471</v>
      </c>
      <c r="BR142" s="21">
        <f>EXP(-LN(2)/2)*BR141+(1-EXP(-LN(2)/2))/(LN(2)/2)*BL142*BO142*VLOOKUP('Données projet'!$B$11,Paramètres!$A$1:$I$89,3,0)*0.475*44/12</f>
        <v>1.8954291639881138E-5</v>
      </c>
      <c r="BS142" s="22">
        <f t="shared" si="117"/>
        <v>67.823704096727681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331.97447399999993</v>
      </c>
      <c r="CA142" s="13">
        <f t="shared" si="147"/>
        <v>77.839523774781142</v>
      </c>
      <c r="CB142" s="20">
        <f t="shared" si="118"/>
        <v>713.75937945774365</v>
      </c>
      <c r="CC142" s="59">
        <f t="shared" si="119"/>
        <v>1007.092712791077</v>
      </c>
      <c r="CD142" s="59">
        <f ca="1">AVERAGE(OFFSET($CC$3,0,0,'Données projet'!$E$12+1,1))-AVERAGE(OFFSET($H$3,0,0,'Données projet'!$E$12+1,1))</f>
        <v>510.71380643466227</v>
      </c>
      <c r="CE142" s="59">
        <f t="shared" si="148"/>
        <v>252.40654099948841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17.298966662267855</v>
      </c>
      <c r="CL142" s="21">
        <f>EXP(-LN(2)/25)*CL141+(1-EXP(-LN(2)/25))/(LN(2)/25)*Calculateur!CG142*Calculateur!CI142*VLOOKUP('Données projet'!$B$12,Paramètres!$A$1:$I$89,3,0)*0.475*44/12</f>
        <v>16.633957834470319</v>
      </c>
      <c r="CM142" s="21">
        <f>EXP(-LN(2)/2)*CM141+(1-EXP(-LN(2)/2))/(LN(2)/2)*CG142*CJ142*VLOOKUP('Données projet'!$B$12,Paramètres!$A$1:$I$89,3,0)*0.475*44/12</f>
        <v>1.0121432809276965</v>
      </c>
      <c r="CN142" s="22">
        <f t="shared" si="120"/>
        <v>34.945067777665869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2.5579538487363607E-13</v>
      </c>
      <c r="CU142" s="17">
        <f>CT142*VLOOKUP('Données projet'!$B$13,Paramètres!$A$1:$I$89,3,0)*VLOOKUP('Données projet'!$B$13,Paramètres!$A$1:$I$89,5,0)</f>
        <v>2.7533815227798186E-13</v>
      </c>
      <c r="CV142" s="13">
        <f t="shared" si="149"/>
        <v>3.6763598146902537E-12</v>
      </c>
      <c r="CW142" s="20">
        <f t="shared" si="121"/>
        <v>6.88254062580301E-12</v>
      </c>
      <c r="CX142" s="59">
        <f t="shared" si="122"/>
        <v>293.33333333334019</v>
      </c>
      <c r="CY142" s="59">
        <f ca="1">AVERAGE(OFFSET($CX$3,0,0,'Données projet'!$E$13+1,1))-AVERAGE(OFFSET($H$3,0,0,'Données projet'!$E$13+1,1))</f>
        <v>502.65044103360322</v>
      </c>
      <c r="CZ142" s="59">
        <f t="shared" si="150"/>
        <v>321.65762891855167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112.45103725868935</v>
      </c>
      <c r="DG142" s="21">
        <f>EXP(-LN(2)/25)*DG141+(1-EXP(-LN(2)/25))/(LN(2)/25)*Calculateur!DB142*Calculateur!DD142*VLOOKUP('Données projet'!$B$13,Paramètres!$A$1:$I$89,3,0)*0.475*44/12</f>
        <v>21.821056432143799</v>
      </c>
      <c r="DH142" s="21">
        <f>EXP(-LN(2)/2)*DH141+(1-EXP(-LN(2)/2))/(LN(2)/2)*DB142*DE142*VLOOKUP('Données projet'!$B$13,Paramètres!$A$1:$I$89,3,0)*0.475*44/12</f>
        <v>0.35800152273838376</v>
      </c>
      <c r="DI142" s="22">
        <f t="shared" si="123"/>
        <v>134.63009521357154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-25.899999999999977</v>
      </c>
      <c r="DP142" s="17">
        <f>DO142*VLOOKUP('Données projet'!$B$14,Paramètres!$A$1:$I$89,3,0)*VLOOKUP('Données projet'!$B$14,Paramètres!$A$1:$I$89,5,0)</f>
        <v>-13.171703999999989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63.94726564348116</v>
      </c>
      <c r="DU142" s="59">
        <f t="shared" si="152"/>
        <v>280.8165028422905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5.8919746309400081</v>
      </c>
      <c r="EB142" s="21">
        <f>EXP(-LN(2)/25)*EB141+(1-EXP(-LN(2)/25))/(LN(2)/25)*Calculateur!DW142*Calculateur!DY142*VLOOKUP('Données projet'!$B$14,Paramètres!$A$1:$I$89,3,0)*0.475*44/12</f>
        <v>0.31643703368898357</v>
      </c>
      <c r="EC142" s="21">
        <f>EXP(-LN(2)/2)*EC141+(1-EXP(-LN(2)/2))/(LN(2)/2)*DW142*DZ142*VLOOKUP('Données projet'!$B$14,Paramètres!$A$1:$I$89,3,0)*0.475*44/12</f>
        <v>3.8140532787920854E-18</v>
      </c>
      <c r="ED142" s="22">
        <f t="shared" si="126"/>
        <v>6.2084116646289917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-5.9685589803848416E-13</v>
      </c>
      <c r="O143" s="13">
        <f>N143*VLOOKUP('Données projet'!$B$9,Paramètres!$A$1:$I$89,3,0)*VLOOKUP('Données projet'!$B$9,Paramètres!$A$1:$I$89,5,0)</f>
        <v>-3.4140157367801295E-13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294.9631697747962</v>
      </c>
      <c r="T143" s="59">
        <f t="shared" si="142"/>
        <v>202.04924881627716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50.551946694901964</v>
      </c>
      <c r="AA143" s="21">
        <f>EXP(-LN(2)/25)*AA142+(1-EXP(-LN(2)/25))/(LN(2)/25)*Calculateur!V143*Calculateur!X143*VLOOKUP('Données projet'!$B$9,Paramètres!$A$1:$I$89,3,0)*0.475*44/12</f>
        <v>12.118229166203571</v>
      </c>
      <c r="AB143" s="21">
        <f>EXP(-LN(2)/2)*AB142+(1-EXP(-LN(2)/2))/(LN(2)/2)*V143*Y143*VLOOKUP('Données projet'!$B$9,Paramètres!$A$1:$I$89,3,0)*0.475*44/12</f>
        <v>8.3725679569615237E-5</v>
      </c>
      <c r="AC143" s="22">
        <f t="shared" si="111"/>
        <v>62.6702595867851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349.71285006949597</v>
      </c>
      <c r="AO143" s="59">
        <f t="shared" si="144"/>
        <v>258.51550516456842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46.708784771744938</v>
      </c>
      <c r="AV143" s="21">
        <f>EXP(-LN(2)/25)*AV142+(1-EXP(-LN(2)/25))/(LN(2)/25)*Calculateur!AQ143*Calculateur!AS143*VLOOKUP('Données projet'!$B$10,Paramètres!$A$1:$I$89,3,0)*0.475*44/12</f>
        <v>9.8037253804694817</v>
      </c>
      <c r="AW143" s="21">
        <f>EXP(-LN(2)/2)*AW142+(1-EXP(-LN(2)/2))/(LN(2)/2)*AQ143*AT143*VLOOKUP('Données projet'!$B$10,Paramètres!$A$1:$I$89,3,0)*0.475*44/12</f>
        <v>6.5860005841784837E-8</v>
      </c>
      <c r="AX143" s="21">
        <f t="shared" si="114"/>
        <v>56.512510218074425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7.5999999999999988</v>
      </c>
      <c r="BD143" s="12">
        <f>IF('Données projet'!$A$88&gt;35,BD142+BC143-BL142,IF(A143&lt;'Données projet'!$A$88,$BA$205^A143,IF(A143='Données projet'!$A$88,'Données projet'!$B$88,BD142+BC143-BL142)))</f>
        <v>376.16000000000031</v>
      </c>
      <c r="BE143" s="13">
        <f>BD143*VLOOKUP('Données projet'!$B$11,Paramètres!$A$1:$I$89,3,0)*VLOOKUP('Données projet'!$B$11,Paramètres!$A$1:$I$89,5,0)</f>
        <v>340.34956800000026</v>
      </c>
      <c r="BF143" s="13">
        <f t="shared" si="145"/>
        <v>79.572165063820393</v>
      </c>
      <c r="BG143" s="20">
        <f t="shared" si="115"/>
        <v>731.36368508615408</v>
      </c>
      <c r="BH143" s="59">
        <f t="shared" si="116"/>
        <v>1024.6970184194874</v>
      </c>
      <c r="BI143" s="59">
        <f ca="1">AVERAGE(OFFSET($BH$3,0,0,'Données projet'!$E$11+1,1))-AVERAGE(OFFSET($H$3,0,0,'Données projet'!$E$11+1,1))</f>
        <v>490.06222615476065</v>
      </c>
      <c r="BJ143" s="59">
        <f t="shared" si="146"/>
        <v>310.43914804089906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46.151802753129033</v>
      </c>
      <c r="BQ143" s="21">
        <f>EXP(-LN(2)/25)*BQ142+(1-EXP(-LN(2)/25))/(LN(2)/25)*Calculateur!BL143*Calculateur!BN143*VLOOKUP('Données projet'!$B$11,Paramètres!$A$1:$I$89,3,0)*0.475*44/12</f>
        <v>20.181395793537721</v>
      </c>
      <c r="BR143" s="21">
        <f>EXP(-LN(2)/2)*BR142+(1-EXP(-LN(2)/2))/(LN(2)/2)*BL143*BO143*VLOOKUP('Données projet'!$B$11,Paramètres!$A$1:$I$89,3,0)*0.475*44/12</f>
        <v>1.3402708151147439E-5</v>
      </c>
      <c r="BS143" s="22">
        <f t="shared" si="117"/>
        <v>66.333211949374899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339.07130399999994</v>
      </c>
      <c r="CA143" s="13">
        <f t="shared" si="147"/>
        <v>79.308041414789827</v>
      </c>
      <c r="CB143" s="20">
        <f t="shared" si="118"/>
        <v>728.67735993075883</v>
      </c>
      <c r="CC143" s="59">
        <f t="shared" si="119"/>
        <v>1022.0106932640922</v>
      </c>
      <c r="CD143" s="59">
        <f ca="1">AVERAGE(OFFSET($CC$3,0,0,'Données projet'!$E$12+1,1))-AVERAGE(OFFSET($H$3,0,0,'Données projet'!$E$12+1,1))</f>
        <v>510.71380643466227</v>
      </c>
      <c r="CE143" s="59">
        <f t="shared" si="148"/>
        <v>252.40654099948841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16.95974447734859</v>
      </c>
      <c r="CL143" s="21">
        <f>EXP(-LN(2)/25)*CL142+(1-EXP(-LN(2)/25))/(LN(2)/25)*Calculateur!CG143*Calculateur!CI143*VLOOKUP('Données projet'!$B$12,Paramètres!$A$1:$I$89,3,0)*0.475*44/12</f>
        <v>16.179101382744904</v>
      </c>
      <c r="CM143" s="21">
        <f>EXP(-LN(2)/2)*CM142+(1-EXP(-LN(2)/2))/(LN(2)/2)*CG143*CJ143*VLOOKUP('Données projet'!$B$12,Paramètres!$A$1:$I$89,3,0)*0.475*44/12</f>
        <v>0.71569337747637496</v>
      </c>
      <c r="CN143" s="22">
        <f t="shared" si="120"/>
        <v>33.854539237569874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2.5579538487363607E-13</v>
      </c>
      <c r="CU143" s="17">
        <f>CT143*VLOOKUP('Données projet'!$B$13,Paramètres!$A$1:$I$89,3,0)*VLOOKUP('Données projet'!$B$13,Paramètres!$A$1:$I$89,5,0)</f>
        <v>2.7533815227798186E-13</v>
      </c>
      <c r="CV143" s="13">
        <f t="shared" si="149"/>
        <v>3.6763598146902537E-12</v>
      </c>
      <c r="CW143" s="20">
        <f t="shared" si="121"/>
        <v>6.88254062580301E-12</v>
      </c>
      <c r="CX143" s="59">
        <f t="shared" si="122"/>
        <v>293.33333333334019</v>
      </c>
      <c r="CY143" s="59">
        <f ca="1">AVERAGE(OFFSET($CX$3,0,0,'Données projet'!$E$13+1,1))-AVERAGE(OFFSET($H$3,0,0,'Données projet'!$E$13+1,1))</f>
        <v>502.65044103360322</v>
      </c>
      <c r="CZ143" s="59">
        <f t="shared" si="150"/>
        <v>321.65762891855167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110.24594100640664</v>
      </c>
      <c r="DG143" s="21">
        <f>EXP(-LN(2)/25)*DG142+(1-EXP(-LN(2)/25))/(LN(2)/25)*Calculateur!DB143*Calculateur!DD143*VLOOKUP('Données projet'!$B$13,Paramètres!$A$1:$I$89,3,0)*0.475*44/12</f>
        <v>21.224358496487341</v>
      </c>
      <c r="DH143" s="21">
        <f>EXP(-LN(2)/2)*DH142+(1-EXP(-LN(2)/2))/(LN(2)/2)*DB143*DE143*VLOOKUP('Données projet'!$B$13,Paramètres!$A$1:$I$89,3,0)*0.475*44/12</f>
        <v>0.25314530440342115</v>
      </c>
      <c r="DI143" s="22">
        <f t="shared" si="123"/>
        <v>131.7234448072974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-25.899999999999977</v>
      </c>
      <c r="DP143" s="17">
        <f>DO143*VLOOKUP('Données projet'!$B$14,Paramètres!$A$1:$I$89,3,0)*VLOOKUP('Données projet'!$B$14,Paramètres!$A$1:$I$89,5,0)</f>
        <v>-13.171703999999989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63.94726564348116</v>
      </c>
      <c r="DU143" s="59">
        <f t="shared" si="152"/>
        <v>280.8165028422905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5.776436602176946</v>
      </c>
      <c r="EB143" s="21">
        <f>EXP(-LN(2)/25)*EB142+(1-EXP(-LN(2)/25))/(LN(2)/25)*Calculateur!DW143*Calculateur!DY143*VLOOKUP('Données projet'!$B$14,Paramètres!$A$1:$I$89,3,0)*0.475*44/12</f>
        <v>0.30778404636205792</v>
      </c>
      <c r="EC143" s="21">
        <f>EXP(-LN(2)/2)*EC142+(1-EXP(-LN(2)/2))/(LN(2)/2)*DW143*DZ143*VLOOKUP('Données projet'!$B$14,Paramètres!$A$1:$I$89,3,0)*0.475*44/12</f>
        <v>2.6969429372406693E-18</v>
      </c>
      <c r="ED143" s="22">
        <f t="shared" si="126"/>
        <v>6.084220648539004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-5.9685589803848416E-13</v>
      </c>
      <c r="O144" s="13">
        <f>N144*VLOOKUP('Données projet'!$B$9,Paramètres!$A$1:$I$89,3,0)*VLOOKUP('Données projet'!$B$9,Paramètres!$A$1:$I$89,5,0)</f>
        <v>-3.4140157367801295E-13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294.9631697747962</v>
      </c>
      <c r="T144" s="59">
        <f t="shared" si="142"/>
        <v>202.04924881627716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49.56065385385785</v>
      </c>
      <c r="AA144" s="21">
        <f>EXP(-LN(2)/25)*AA143+(1-EXP(-LN(2)/25))/(LN(2)/25)*Calculateur!V144*Calculateur!X144*VLOOKUP('Données projet'!$B$9,Paramètres!$A$1:$I$89,3,0)*0.475*44/12</f>
        <v>11.786855552383759</v>
      </c>
      <c r="AB144" s="21">
        <f>EXP(-LN(2)/2)*AB143+(1-EXP(-LN(2)/2))/(LN(2)/2)*V144*Y144*VLOOKUP('Données projet'!$B$9,Paramètres!$A$1:$I$89,3,0)*0.475*44/12</f>
        <v>5.9202995783126915E-5</v>
      </c>
      <c r="AC144" s="22">
        <f t="shared" si="111"/>
        <v>61.347568609237399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349.71285006949597</v>
      </c>
      <c r="AO144" s="59">
        <f t="shared" si="144"/>
        <v>258.51550516456842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45.792853991916623</v>
      </c>
      <c r="AV144" s="21">
        <f>EXP(-LN(2)/25)*AV143+(1-EXP(-LN(2)/25))/(LN(2)/25)*Calculateur!AQ144*Calculateur!AS144*VLOOKUP('Données projet'!$B$10,Paramètres!$A$1:$I$89,3,0)*0.475*44/12</f>
        <v>9.535641994385033</v>
      </c>
      <c r="AW144" s="21">
        <f>EXP(-LN(2)/2)*AW143+(1-EXP(-LN(2)/2))/(LN(2)/2)*AQ144*AT144*VLOOKUP('Données projet'!$B$10,Paramètres!$A$1:$I$89,3,0)*0.475*44/12</f>
        <v>4.6570056739711693E-8</v>
      </c>
      <c r="AX144" s="21">
        <f t="shared" si="114"/>
        <v>55.328496032871712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7.5999999999999988</v>
      </c>
      <c r="BD144" s="12">
        <f>IF('Données projet'!$A$88&gt;35,BD143+BC144-BL143,IF(A144&lt;'Données projet'!$A$88,$BA$205^A144,IF(A144='Données projet'!$A$88,'Données projet'!$B$88,BD143+BC144-BL143)))</f>
        <v>383.76000000000033</v>
      </c>
      <c r="BE144" s="13">
        <f>BD144*VLOOKUP('Données projet'!$B$11,Paramètres!$A$1:$I$89,3,0)*VLOOKUP('Données projet'!$B$11,Paramètres!$A$1:$I$89,5,0)</f>
        <v>347.22604800000028</v>
      </c>
      <c r="BF144" s="13">
        <f t="shared" si="145"/>
        <v>80.991061462049885</v>
      </c>
      <c r="BG144" s="20">
        <f t="shared" si="115"/>
        <v>745.81146564640403</v>
      </c>
      <c r="BH144" s="59">
        <f t="shared" si="116"/>
        <v>1039.1447989797373</v>
      </c>
      <c r="BI144" s="59">
        <f ca="1">AVERAGE(OFFSET($BH$3,0,0,'Données projet'!$E$11+1,1))-AVERAGE(OFFSET($H$3,0,0,'Données projet'!$E$11+1,1))</f>
        <v>490.06222615476065</v>
      </c>
      <c r="BJ144" s="59">
        <f t="shared" si="146"/>
        <v>310.43914804089906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45.24679405096029</v>
      </c>
      <c r="BQ144" s="21">
        <f>EXP(-LN(2)/25)*BQ143+(1-EXP(-LN(2)/25))/(LN(2)/25)*Calculateur!BL144*Calculateur!BN144*VLOOKUP('Données projet'!$B$11,Paramètres!$A$1:$I$89,3,0)*0.475*44/12</f>
        <v>19.629534464269952</v>
      </c>
      <c r="BR144" s="21">
        <f>EXP(-LN(2)/2)*BR143+(1-EXP(-LN(2)/2))/(LN(2)/2)*BL144*BO144*VLOOKUP('Données projet'!$B$11,Paramètres!$A$1:$I$89,3,0)*0.475*44/12</f>
        <v>9.4771458199405688E-6</v>
      </c>
      <c r="BS144" s="22">
        <f t="shared" si="117"/>
        <v>64.876337992376065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346.1681339999999</v>
      </c>
      <c r="CA144" s="13">
        <f t="shared" si="147"/>
        <v>80.772985420490727</v>
      </c>
      <c r="CB144" s="20">
        <f t="shared" si="118"/>
        <v>743.58911632402123</v>
      </c>
      <c r="CC144" s="59">
        <f t="shared" si="119"/>
        <v>1036.9224496573545</v>
      </c>
      <c r="CD144" s="59">
        <f ca="1">AVERAGE(OFFSET($CC$3,0,0,'Données projet'!$E$12+1,1))-AVERAGE(OFFSET($H$3,0,0,'Données projet'!$E$12+1,1))</f>
        <v>510.71380643466227</v>
      </c>
      <c r="CE144" s="59">
        <f t="shared" si="148"/>
        <v>252.40654099948841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16.627174232570489</v>
      </c>
      <c r="CL144" s="21">
        <f>EXP(-LN(2)/25)*CL143+(1-EXP(-LN(2)/25))/(LN(2)/25)*Calculateur!CG144*Calculateur!CI144*VLOOKUP('Données projet'!$B$12,Paramètres!$A$1:$I$89,3,0)*0.475*44/12</f>
        <v>15.73668300461178</v>
      </c>
      <c r="CM144" s="21">
        <f>EXP(-LN(2)/2)*CM143+(1-EXP(-LN(2)/2))/(LN(2)/2)*CG144*CJ144*VLOOKUP('Données projet'!$B$12,Paramètres!$A$1:$I$89,3,0)*0.475*44/12</f>
        <v>0.50607164046384823</v>
      </c>
      <c r="CN144" s="22">
        <f t="shared" si="120"/>
        <v>32.869928877646124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2.5579538487363607E-13</v>
      </c>
      <c r="CU144" s="17">
        <f>CT144*VLOOKUP('Données projet'!$B$13,Paramètres!$A$1:$I$89,3,0)*VLOOKUP('Données projet'!$B$13,Paramètres!$A$1:$I$89,5,0)</f>
        <v>2.7533815227798186E-13</v>
      </c>
      <c r="CV144" s="13">
        <f t="shared" si="149"/>
        <v>3.6763598146902537E-12</v>
      </c>
      <c r="CW144" s="20">
        <f t="shared" si="121"/>
        <v>6.88254062580301E-12</v>
      </c>
      <c r="CX144" s="59">
        <f t="shared" si="122"/>
        <v>293.33333333334019</v>
      </c>
      <c r="CY144" s="59">
        <f ca="1">AVERAGE(OFFSET($CX$3,0,0,'Données projet'!$E$13+1,1))-AVERAGE(OFFSET($H$3,0,0,'Données projet'!$E$13+1,1))</f>
        <v>502.65044103360322</v>
      </c>
      <c r="CZ144" s="59">
        <f t="shared" si="150"/>
        <v>321.65762891855167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108.08408534665529</v>
      </c>
      <c r="DG144" s="21">
        <f>EXP(-LN(2)/25)*DG143+(1-EXP(-LN(2)/25))/(LN(2)/25)*Calculateur!DB144*Calculateur!DD144*VLOOKUP('Données projet'!$B$13,Paramètres!$A$1:$I$89,3,0)*0.475*44/12</f>
        <v>20.643977297260388</v>
      </c>
      <c r="DH144" s="21">
        <f>EXP(-LN(2)/2)*DH143+(1-EXP(-LN(2)/2))/(LN(2)/2)*DB144*DE144*VLOOKUP('Données projet'!$B$13,Paramètres!$A$1:$I$89,3,0)*0.475*44/12</f>
        <v>0.17900076136919188</v>
      </c>
      <c r="DI144" s="22">
        <f t="shared" si="123"/>
        <v>128.90706340528487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-25.899999999999977</v>
      </c>
      <c r="DP144" s="17">
        <f>DO144*VLOOKUP('Données projet'!$B$14,Paramètres!$A$1:$I$89,3,0)*VLOOKUP('Données projet'!$B$14,Paramètres!$A$1:$I$89,5,0)</f>
        <v>-13.171703999999989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63.94726564348116</v>
      </c>
      <c r="DU144" s="59">
        <f t="shared" si="152"/>
        <v>280.8165028422905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5.6631642036866889</v>
      </c>
      <c r="EB144" s="21">
        <f>EXP(-LN(2)/25)*EB143+(1-EXP(-LN(2)/25))/(LN(2)/25)*Calculateur!DW144*Calculateur!DY144*VLOOKUP('Données projet'!$B$14,Paramètres!$A$1:$I$89,3,0)*0.475*44/12</f>
        <v>0.29936767542862791</v>
      </c>
      <c r="EC144" s="21">
        <f>EXP(-LN(2)/2)*EC143+(1-EXP(-LN(2)/2))/(LN(2)/2)*DW144*DZ144*VLOOKUP('Données projet'!$B$14,Paramètres!$A$1:$I$89,3,0)*0.475*44/12</f>
        <v>1.9070266393960427E-18</v>
      </c>
      <c r="ED144" s="22">
        <f t="shared" si="126"/>
        <v>5.9625318791153168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-5.9685589803848416E-13</v>
      </c>
      <c r="O145" s="13">
        <f>N145*VLOOKUP('Données projet'!$B$9,Paramètres!$A$1:$I$89,3,0)*VLOOKUP('Données projet'!$B$9,Paramètres!$A$1:$I$89,5,0)</f>
        <v>-3.4140157367801295E-13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294.9631697747962</v>
      </c>
      <c r="T145" s="59">
        <f t="shared" si="142"/>
        <v>202.04924881627716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48.588799660797683</v>
      </c>
      <c r="AA145" s="21">
        <f>EXP(-LN(2)/25)*AA144+(1-EXP(-LN(2)/25))/(LN(2)/25)*Calculateur!V145*Calculateur!X145*VLOOKUP('Données projet'!$B$9,Paramètres!$A$1:$I$89,3,0)*0.475*44/12</f>
        <v>11.464543367460031</v>
      </c>
      <c r="AB145" s="21">
        <f>EXP(-LN(2)/2)*AB144+(1-EXP(-LN(2)/2))/(LN(2)/2)*V145*Y145*VLOOKUP('Données projet'!$B$9,Paramètres!$A$1:$I$89,3,0)*0.475*44/12</f>
        <v>4.1862839784807625E-5</v>
      </c>
      <c r="AC145" s="22">
        <f t="shared" si="111"/>
        <v>60.053384891097501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349.71285006949597</v>
      </c>
      <c r="AO145" s="59">
        <f t="shared" si="144"/>
        <v>258.51550516456842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44.894884056018128</v>
      </c>
      <c r="AV145" s="21">
        <f>EXP(-LN(2)/25)*AV144+(1-EXP(-LN(2)/25))/(LN(2)/25)*Calculateur!AQ145*Calculateur!AS145*VLOOKUP('Données projet'!$B$10,Paramètres!$A$1:$I$89,3,0)*0.475*44/12</f>
        <v>9.2748893625909563</v>
      </c>
      <c r="AW145" s="21">
        <f>EXP(-LN(2)/2)*AW144+(1-EXP(-LN(2)/2))/(LN(2)/2)*AQ145*AT145*VLOOKUP('Données projet'!$B$10,Paramètres!$A$1:$I$89,3,0)*0.475*44/12</f>
        <v>3.2930002920892419E-8</v>
      </c>
      <c r="AX145" s="21">
        <f t="shared" si="114"/>
        <v>54.169773451539086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7.5999999999999988</v>
      </c>
      <c r="BD145" s="12">
        <f>IF('Données projet'!$A$88&gt;35,BD144+BC145-BL144,IF(A145&lt;'Données projet'!$A$88,$BA$205^A145,IF(A145='Données projet'!$A$88,'Données projet'!$B$88,BD144+BC145-BL144)))</f>
        <v>391.36000000000035</v>
      </c>
      <c r="BE145" s="13">
        <f>BD145*VLOOKUP('Données projet'!$B$11,Paramètres!$A$1:$I$89,3,0)*VLOOKUP('Données projet'!$B$11,Paramètres!$A$1:$I$89,5,0)</f>
        <v>354.10252800000029</v>
      </c>
      <c r="BF145" s="13">
        <f t="shared" si="145"/>
        <v>82.406690574717359</v>
      </c>
      <c r="BG145" s="20">
        <f t="shared" si="115"/>
        <v>760.25355568429995</v>
      </c>
      <c r="BH145" s="59">
        <f t="shared" si="116"/>
        <v>1053.5868890176332</v>
      </c>
      <c r="BI145" s="59">
        <f ca="1">AVERAGE(OFFSET($BH$3,0,0,'Données projet'!$E$11+1,1))-AVERAGE(OFFSET($H$3,0,0,'Données projet'!$E$11+1,1))</f>
        <v>490.06222615476065</v>
      </c>
      <c r="BJ145" s="59">
        <f t="shared" si="146"/>
        <v>310.43914804089906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44.359532017440273</v>
      </c>
      <c r="BQ145" s="21">
        <f>EXP(-LN(2)/25)*BQ144+(1-EXP(-LN(2)/25))/(LN(2)/25)*Calculateur!BL145*Calculateur!BN145*VLOOKUP('Données projet'!$B$11,Paramètres!$A$1:$I$89,3,0)*0.475*44/12</f>
        <v>19.092763812072135</v>
      </c>
      <c r="BR145" s="21">
        <f>EXP(-LN(2)/2)*BR144+(1-EXP(-LN(2)/2))/(LN(2)/2)*BL145*BO145*VLOOKUP('Données projet'!$B$11,Paramètres!$A$1:$I$89,3,0)*0.475*44/12</f>
        <v>6.7013540755737194E-6</v>
      </c>
      <c r="BS145" s="22">
        <f t="shared" si="117"/>
        <v>63.452302530866483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353.26496399999985</v>
      </c>
      <c r="CA145" s="13">
        <f t="shared" si="147"/>
        <v>82.234437497251108</v>
      </c>
      <c r="CB145" s="20">
        <f t="shared" si="118"/>
        <v>758.49479094104538</v>
      </c>
      <c r="CC145" s="59">
        <f t="shared" si="119"/>
        <v>1051.8281242743788</v>
      </c>
      <c r="CD145" s="59">
        <f ca="1">AVERAGE(OFFSET($CC$3,0,0,'Données projet'!$E$12+1,1))-AVERAGE(OFFSET($H$3,0,0,'Données projet'!$E$12+1,1))</f>
        <v>510.71380643466227</v>
      </c>
      <c r="CE145" s="59">
        <f t="shared" si="148"/>
        <v>252.40654099948841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16.301125487444665</v>
      </c>
      <c r="CL145" s="21">
        <f>EXP(-LN(2)/25)*CL144+(1-EXP(-LN(2)/25))/(LN(2)/25)*Calculateur!CG145*Calculateur!CI145*VLOOKUP('Données projet'!$B$12,Paramètres!$A$1:$I$89,3,0)*0.475*44/12</f>
        <v>15.306362580294479</v>
      </c>
      <c r="CM145" s="21">
        <f>EXP(-LN(2)/2)*CM144+(1-EXP(-LN(2)/2))/(LN(2)/2)*CG145*CJ145*VLOOKUP('Données projet'!$B$12,Paramètres!$A$1:$I$89,3,0)*0.475*44/12</f>
        <v>0.35784668873818748</v>
      </c>
      <c r="CN145" s="22">
        <f t="shared" si="120"/>
        <v>31.965334756477333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2.5579538487363607E-13</v>
      </c>
      <c r="CU145" s="17">
        <f>CT145*VLOOKUP('Données projet'!$B$13,Paramètres!$A$1:$I$89,3,0)*VLOOKUP('Données projet'!$B$13,Paramètres!$A$1:$I$89,5,0)</f>
        <v>2.7533815227798186E-13</v>
      </c>
      <c r="CV145" s="13">
        <f t="shared" si="149"/>
        <v>3.6763598146902537E-12</v>
      </c>
      <c r="CW145" s="20">
        <f t="shared" si="121"/>
        <v>6.88254062580301E-12</v>
      </c>
      <c r="CX145" s="59">
        <f t="shared" si="122"/>
        <v>293.33333333334019</v>
      </c>
      <c r="CY145" s="59">
        <f ca="1">AVERAGE(OFFSET($CX$3,0,0,'Données projet'!$E$13+1,1))-AVERAGE(OFFSET($H$3,0,0,'Données projet'!$E$13+1,1))</f>
        <v>502.65044103360322</v>
      </c>
      <c r="CZ145" s="59">
        <f t="shared" si="150"/>
        <v>321.65762891855167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105.96462235778991</v>
      </c>
      <c r="DG145" s="21">
        <f>EXP(-LN(2)/25)*DG144+(1-EXP(-LN(2)/25))/(LN(2)/25)*Calculateur!DB145*Calculateur!DD145*VLOOKUP('Données projet'!$B$13,Paramètres!$A$1:$I$89,3,0)*0.475*44/12</f>
        <v>20.07946665244722</v>
      </c>
      <c r="DH145" s="21">
        <f>EXP(-LN(2)/2)*DH144+(1-EXP(-LN(2)/2))/(LN(2)/2)*DB145*DE145*VLOOKUP('Données projet'!$B$13,Paramètres!$A$1:$I$89,3,0)*0.475*44/12</f>
        <v>0.12657265220171057</v>
      </c>
      <c r="DI145" s="22">
        <f t="shared" si="123"/>
        <v>126.17066166243885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-25.899999999999977</v>
      </c>
      <c r="DP145" s="17">
        <f>DO145*VLOOKUP('Données projet'!$B$14,Paramètres!$A$1:$I$89,3,0)*VLOOKUP('Données projet'!$B$14,Paramètres!$A$1:$I$89,5,0)</f>
        <v>-13.171703999999989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63.94726564348116</v>
      </c>
      <c r="DU145" s="59">
        <f t="shared" si="152"/>
        <v>280.8165028422905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5.5521130078414842</v>
      </c>
      <c r="EB145" s="21">
        <f>EXP(-LN(2)/25)*EB144+(1-EXP(-LN(2)/25))/(LN(2)/25)*Calculateur!DW145*Calculateur!DY145*VLOOKUP('Données projet'!$B$14,Paramètres!$A$1:$I$89,3,0)*0.475*44/12</f>
        <v>0.29118145060097023</v>
      </c>
      <c r="EC145" s="21">
        <f>EXP(-LN(2)/2)*EC144+(1-EXP(-LN(2)/2))/(LN(2)/2)*DW145*DZ145*VLOOKUP('Données projet'!$B$14,Paramètres!$A$1:$I$89,3,0)*0.475*44/12</f>
        <v>1.3484714686203347E-18</v>
      </c>
      <c r="ED145" s="22">
        <f t="shared" si="126"/>
        <v>5.843294458442454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-5.9685589803848416E-13</v>
      </c>
      <c r="O146" s="13">
        <f>N146*VLOOKUP('Données projet'!$B$9,Paramètres!$A$1:$I$89,3,0)*VLOOKUP('Données projet'!$B$9,Paramètres!$A$1:$I$89,5,0)</f>
        <v>-3.4140157367801295E-13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294.9631697747962</v>
      </c>
      <c r="T146" s="59">
        <f t="shared" si="142"/>
        <v>202.04924881627716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47.636002935690897</v>
      </c>
      <c r="AA146" s="21">
        <f>EXP(-LN(2)/25)*AA145+(1-EXP(-LN(2)/25))/(LN(2)/25)*Calculateur!V146*Calculateur!X146*VLOOKUP('Données projet'!$B$9,Paramètres!$A$1:$I$89,3,0)*0.475*44/12</f>
        <v>11.151044826182703</v>
      </c>
      <c r="AB146" s="21">
        <f>EXP(-LN(2)/2)*AB145+(1-EXP(-LN(2)/2))/(LN(2)/2)*V146*Y146*VLOOKUP('Données projet'!$B$9,Paramètres!$A$1:$I$89,3,0)*0.475*44/12</f>
        <v>2.9601497891563464E-5</v>
      </c>
      <c r="AC146" s="22">
        <f t="shared" si="111"/>
        <v>58.787077363371495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349.71285006949597</v>
      </c>
      <c r="AO146" s="59">
        <f t="shared" si="144"/>
        <v>258.51550516456842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44.014522762855023</v>
      </c>
      <c r="AV146" s="21">
        <f>EXP(-LN(2)/25)*AV145+(1-EXP(-LN(2)/25))/(LN(2)/25)*Calculateur!AQ146*Calculateur!AS146*VLOOKUP('Données projet'!$B$10,Paramètres!$A$1:$I$89,3,0)*0.475*44/12</f>
        <v>9.0212670252256739</v>
      </c>
      <c r="AW146" s="21">
        <f>EXP(-LN(2)/2)*AW145+(1-EXP(-LN(2)/2))/(LN(2)/2)*AQ146*AT146*VLOOKUP('Données projet'!$B$10,Paramètres!$A$1:$I$89,3,0)*0.475*44/12</f>
        <v>2.3285028369855847E-8</v>
      </c>
      <c r="AX146" s="21">
        <f t="shared" si="114"/>
        <v>53.035789811365724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7.5999999999999988</v>
      </c>
      <c r="BD146" s="12">
        <f>IF('Données projet'!$A$88&gt;35,BD145+BC146-BL145,IF(A146&lt;'Données projet'!$A$88,$BA$205^A146,IF(A146='Données projet'!$A$88,'Données projet'!$B$88,BD145+BC146-BL145)))</f>
        <v>398.96000000000038</v>
      </c>
      <c r="BE146" s="13">
        <f>BD146*VLOOKUP('Données projet'!$B$11,Paramètres!$A$1:$I$89,3,0)*VLOOKUP('Données projet'!$B$11,Paramètres!$A$1:$I$89,5,0)</f>
        <v>360.97900800000036</v>
      </c>
      <c r="BF146" s="13">
        <f t="shared" si="145"/>
        <v>83.819123165176237</v>
      </c>
      <c r="BG146" s="20">
        <f t="shared" si="115"/>
        <v>774.69007844601583</v>
      </c>
      <c r="BH146" s="59">
        <f t="shared" si="116"/>
        <v>1068.0234117793491</v>
      </c>
      <c r="BI146" s="59">
        <f ca="1">AVERAGE(OFFSET($BH$3,0,0,'Données projet'!$E$11+1,1))-AVERAGE(OFFSET($H$3,0,0,'Données projet'!$E$11+1,1))</f>
        <v>490.06222615476065</v>
      </c>
      <c r="BJ146" s="59">
        <f t="shared" si="146"/>
        <v>310.43914804089906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43.48966865122118</v>
      </c>
      <c r="BQ146" s="21">
        <f>EXP(-LN(2)/25)*BQ145+(1-EXP(-LN(2)/25))/(LN(2)/25)*Calculateur!BL146*Calculateur!BN146*VLOOKUP('Données projet'!$B$11,Paramètres!$A$1:$I$89,3,0)*0.475*44/12</f>
        <v>18.57067118158621</v>
      </c>
      <c r="BR146" s="21">
        <f>EXP(-LN(2)/2)*BR145+(1-EXP(-LN(2)/2))/(LN(2)/2)*BL146*BO146*VLOOKUP('Données projet'!$B$11,Paramètres!$A$1:$I$89,3,0)*0.475*44/12</f>
        <v>4.7385729099702844E-6</v>
      </c>
      <c r="BS146" s="22">
        <f t="shared" si="117"/>
        <v>62.060344571380298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360.3617939999998</v>
      </c>
      <c r="CA146" s="13">
        <f t="shared" si="147"/>
        <v>83.69247587993793</v>
      </c>
      <c r="CB146" s="20">
        <f t="shared" si="118"/>
        <v>773.39452004089162</v>
      </c>
      <c r="CC146" s="59">
        <f t="shared" si="119"/>
        <v>1066.7278533742249</v>
      </c>
      <c r="CD146" s="59">
        <f ca="1">AVERAGE(OFFSET($CC$3,0,0,'Données projet'!$E$12+1,1))-AVERAGE(OFFSET($H$3,0,0,'Données projet'!$E$12+1,1))</f>
        <v>510.71380643466227</v>
      </c>
      <c r="CE146" s="59">
        <f t="shared" si="148"/>
        <v>252.40654099948841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15.981470359340662</v>
      </c>
      <c r="CL146" s="21">
        <f>EXP(-LN(2)/25)*CL145+(1-EXP(-LN(2)/25))/(LN(2)/25)*Calculateur!CG146*Calculateur!CI146*VLOOKUP('Données projet'!$B$12,Paramètres!$A$1:$I$89,3,0)*0.475*44/12</f>
        <v>14.887809290609702</v>
      </c>
      <c r="CM146" s="21">
        <f>EXP(-LN(2)/2)*CM145+(1-EXP(-LN(2)/2))/(LN(2)/2)*CG146*CJ146*VLOOKUP('Données projet'!$B$12,Paramètres!$A$1:$I$89,3,0)*0.475*44/12</f>
        <v>0.25303582023192411</v>
      </c>
      <c r="CN146" s="22">
        <f t="shared" si="120"/>
        <v>31.12231547018229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2.5579538487363607E-13</v>
      </c>
      <c r="CU146" s="17">
        <f>CT146*VLOOKUP('Données projet'!$B$13,Paramètres!$A$1:$I$89,3,0)*VLOOKUP('Données projet'!$B$13,Paramètres!$A$1:$I$89,5,0)</f>
        <v>2.7533815227798186E-13</v>
      </c>
      <c r="CV146" s="13">
        <f t="shared" si="149"/>
        <v>3.6763598146902537E-12</v>
      </c>
      <c r="CW146" s="20">
        <f t="shared" si="121"/>
        <v>6.88254062580301E-12</v>
      </c>
      <c r="CX146" s="59">
        <f t="shared" si="122"/>
        <v>293.33333333334019</v>
      </c>
      <c r="CY146" s="59">
        <f ca="1">AVERAGE(OFFSET($CX$3,0,0,'Données projet'!$E$13+1,1))-AVERAGE(OFFSET($H$3,0,0,'Données projet'!$E$13+1,1))</f>
        <v>502.65044103360322</v>
      </c>
      <c r="CZ146" s="59">
        <f t="shared" si="150"/>
        <v>321.65762891855167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103.8867207453914</v>
      </c>
      <c r="DG146" s="21">
        <f>EXP(-LN(2)/25)*DG145+(1-EXP(-LN(2)/25))/(LN(2)/25)*Calculateur!DB146*Calculateur!DD146*VLOOKUP('Données projet'!$B$13,Paramètres!$A$1:$I$89,3,0)*0.475*44/12</f>
        <v>19.530392580902792</v>
      </c>
      <c r="DH146" s="21">
        <f>EXP(-LN(2)/2)*DH145+(1-EXP(-LN(2)/2))/(LN(2)/2)*DB146*DE146*VLOOKUP('Données projet'!$B$13,Paramètres!$A$1:$I$89,3,0)*0.475*44/12</f>
        <v>8.950038068459594E-2</v>
      </c>
      <c r="DI146" s="22">
        <f t="shared" si="123"/>
        <v>123.50661370697878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-25.899999999999977</v>
      </c>
      <c r="DP146" s="17">
        <f>DO146*VLOOKUP('Données projet'!$B$14,Paramètres!$A$1:$I$89,3,0)*VLOOKUP('Données projet'!$B$14,Paramètres!$A$1:$I$89,5,0)</f>
        <v>-13.171703999999989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63.94726564348116</v>
      </c>
      <c r="DU146" s="59">
        <f t="shared" si="152"/>
        <v>280.8165028422905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5.443239458212263</v>
      </c>
      <c r="EB146" s="21">
        <f>EXP(-LN(2)/25)*EB145+(1-EXP(-LN(2)/25))/(LN(2)/25)*Calculateur!DW146*Calculateur!DY146*VLOOKUP('Données projet'!$B$14,Paramètres!$A$1:$I$89,3,0)*0.475*44/12</f>
        <v>0.28321907852171974</v>
      </c>
      <c r="EC146" s="21">
        <f>EXP(-LN(2)/2)*EC145+(1-EXP(-LN(2)/2))/(LN(2)/2)*DW146*DZ146*VLOOKUP('Données projet'!$B$14,Paramètres!$A$1:$I$89,3,0)*0.475*44/12</f>
        <v>9.5351331969802134E-19</v>
      </c>
      <c r="ED146" s="22">
        <f t="shared" si="126"/>
        <v>5.7264585367339826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-5.9685589803848416E-13</v>
      </c>
      <c r="O147" s="13">
        <f>N147*VLOOKUP('Données projet'!$B$9,Paramètres!$A$1:$I$89,3,0)*VLOOKUP('Données projet'!$B$9,Paramètres!$A$1:$I$89,5,0)</f>
        <v>-3.4140157367801295E-13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294.9631697747962</v>
      </c>
      <c r="T147" s="59">
        <f t="shared" si="142"/>
        <v>202.04924881627716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46.70188997321484</v>
      </c>
      <c r="AA147" s="21">
        <f>EXP(-LN(2)/25)*AA146+(1-EXP(-LN(2)/25))/(LN(2)/25)*Calculateur!V147*Calculateur!X147*VLOOKUP('Données projet'!$B$9,Paramètres!$A$1:$I$89,3,0)*0.475*44/12</f>
        <v>10.846118919002777</v>
      </c>
      <c r="AB147" s="21">
        <f>EXP(-LN(2)/2)*AB146+(1-EXP(-LN(2)/2))/(LN(2)/2)*V147*Y147*VLOOKUP('Données projet'!$B$9,Paramètres!$A$1:$I$89,3,0)*0.475*44/12</f>
        <v>2.0931419892403816E-5</v>
      </c>
      <c r="AC147" s="22">
        <f t="shared" si="111"/>
        <v>57.548029823637506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349.71285006949597</v>
      </c>
      <c r="AO147" s="59">
        <f t="shared" si="144"/>
        <v>258.51550516456842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43.151424817683477</v>
      </c>
      <c r="AV147" s="21">
        <f>EXP(-LN(2)/25)*AV146+(1-EXP(-LN(2)/25))/(LN(2)/25)*Calculateur!AQ147*Calculateur!AS147*VLOOKUP('Données projet'!$B$10,Paramètres!$A$1:$I$89,3,0)*0.475*44/12</f>
        <v>8.7745800040130639</v>
      </c>
      <c r="AW147" s="21">
        <f>EXP(-LN(2)/2)*AW146+(1-EXP(-LN(2)/2))/(LN(2)/2)*AQ147*AT147*VLOOKUP('Données projet'!$B$10,Paramètres!$A$1:$I$89,3,0)*0.475*44/12</f>
        <v>1.6465001460446209E-8</v>
      </c>
      <c r="AX147" s="21">
        <f t="shared" si="114"/>
        <v>51.926004838161539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7.5999999999999988</v>
      </c>
      <c r="BD147" s="12">
        <f>IF('Données projet'!$A$88&gt;35,BD146+BC147-BL146,IF(A147&lt;'Données projet'!$A$88,$BA$205^A147,IF(A147='Données projet'!$A$88,'Données projet'!$B$88,BD146+BC147-BL146)))</f>
        <v>406.5600000000004</v>
      </c>
      <c r="BE147" s="13">
        <f>BD147*VLOOKUP('Données projet'!$B$11,Paramètres!$A$1:$I$89,3,0)*VLOOKUP('Données projet'!$B$11,Paramètres!$A$1:$I$89,5,0)</f>
        <v>367.85548800000038</v>
      </c>
      <c r="BF147" s="13">
        <f t="shared" si="145"/>
        <v>85.228427146498575</v>
      </c>
      <c r="BG147" s="20">
        <f t="shared" si="115"/>
        <v>789.12115221348574</v>
      </c>
      <c r="BH147" s="59">
        <f t="shared" si="116"/>
        <v>1082.4544855468191</v>
      </c>
      <c r="BI147" s="59">
        <f ca="1">AVERAGE(OFFSET($BH$3,0,0,'Données projet'!$E$11+1,1))-AVERAGE(OFFSET($H$3,0,0,'Données projet'!$E$11+1,1))</f>
        <v>490.06222615476065</v>
      </c>
      <c r="BJ147" s="59">
        <f t="shared" si="146"/>
        <v>310.43914804089906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42.63686277504938</v>
      </c>
      <c r="BQ147" s="21">
        <f>EXP(-LN(2)/25)*BQ146+(1-EXP(-LN(2)/25))/(LN(2)/25)*Calculateur!BL147*Calculateur!BN147*VLOOKUP('Données projet'!$B$11,Paramètres!$A$1:$I$89,3,0)*0.475*44/12</f>
        <v>18.062855201536582</v>
      </c>
      <c r="BR147" s="21">
        <f>EXP(-LN(2)/2)*BR146+(1-EXP(-LN(2)/2))/(LN(2)/2)*BL147*BO147*VLOOKUP('Données projet'!$B$11,Paramètres!$A$1:$I$89,3,0)*0.475*44/12</f>
        <v>3.3506770377868597E-6</v>
      </c>
      <c r="BS147" s="22">
        <f t="shared" si="117"/>
        <v>60.699721327262999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367.45862399999976</v>
      </c>
      <c r="CA147" s="13">
        <f t="shared" si="147"/>
        <v>85.147175545724309</v>
      </c>
      <c r="CB147" s="20">
        <f t="shared" si="118"/>
        <v>788.28843420880264</v>
      </c>
      <c r="CC147" s="59">
        <f t="shared" si="119"/>
        <v>1081.621767542136</v>
      </c>
      <c r="CD147" s="59">
        <f ca="1">AVERAGE(OFFSET($CC$3,0,0,'Données projet'!$E$12+1,1))-AVERAGE(OFFSET($H$3,0,0,'Données projet'!$E$12+1,1))</f>
        <v>510.71380643466227</v>
      </c>
      <c r="CE147" s="59">
        <f t="shared" si="148"/>
        <v>252.40654099948841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0.1075</v>
      </c>
      <c r="CI147" s="16">
        <f>IF(ISNA(VLOOKUP(A147,'Données projet'!$A$113:$I$133,6,0)),0%,VLOOKUP(A147,'Données projet'!$A$113:$I$133,6,0)*VLOOKUP('Données projet'!$B$12,Paramètres!$A$1:$I$89,7,0))</f>
        <v>0.1075</v>
      </c>
      <c r="CJ147" s="16">
        <f>IF(ISNA(VLOOKUP(A147,'Données projet'!$A$113:$I$133,7,0)),0%,VLOOKUP(A147,'Données projet'!$A$113:$I$133,7,0))</f>
        <v>0.25</v>
      </c>
      <c r="CK147" s="21">
        <f>EXP(-LN(2)/35)*CK146+(1-EXP(-LN(2)/35))/(LN(2)/35)*CG147*CH147*VLOOKUP('Données projet'!$B$12,Paramètres!$A$1:$I$89,3,0)*0.475*44/12</f>
        <v>22.673687276201417</v>
      </c>
      <c r="CL147" s="21">
        <f>EXP(-LN(2)/25)*CL146+(1-EXP(-LN(2)/25))/(LN(2)/25)*Calculateur!CG147*Calculateur!CI147*VLOOKUP('Données projet'!$B$12,Paramètres!$A$1:$I$89,3,0)*0.475*44/12</f>
        <v>21.4587214339989</v>
      </c>
      <c r="CM147" s="21">
        <f>EXP(-LN(2)/2)*CM146+(1-EXP(-LN(2)/2))/(LN(2)/2)*CG147*CJ147*VLOOKUP('Données projet'!$B$12,Paramètres!$A$1:$I$89,3,0)*0.475*44/12</f>
        <v>14.084349389018065</v>
      </c>
      <c r="CN147" s="22">
        <f t="shared" si="120"/>
        <v>58.216758099218382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2.5579538487363607E-13</v>
      </c>
      <c r="CU147" s="17">
        <f>CT147*VLOOKUP('Données projet'!$B$13,Paramètres!$A$1:$I$89,3,0)*VLOOKUP('Données projet'!$B$13,Paramètres!$A$1:$I$89,5,0)</f>
        <v>2.7533815227798186E-13</v>
      </c>
      <c r="CV147" s="13">
        <f t="shared" si="149"/>
        <v>3.6763598146902537E-12</v>
      </c>
      <c r="CW147" s="20">
        <f t="shared" si="121"/>
        <v>6.88254062580301E-12</v>
      </c>
      <c r="CX147" s="59">
        <f t="shared" si="122"/>
        <v>293.33333333334019</v>
      </c>
      <c r="CY147" s="59">
        <f ca="1">AVERAGE(OFFSET($CX$3,0,0,'Données projet'!$E$13+1,1))-AVERAGE(OFFSET($H$3,0,0,'Données projet'!$E$13+1,1))</f>
        <v>502.65044103360322</v>
      </c>
      <c r="CZ147" s="59">
        <f t="shared" si="150"/>
        <v>321.65762891855167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101.8495655162172</v>
      </c>
      <c r="DG147" s="21">
        <f>EXP(-LN(2)/25)*DG146+(1-EXP(-LN(2)/25))/(LN(2)/25)*Calculateur!DB147*Calculateur!DD147*VLOOKUP('Données projet'!$B$13,Paramètres!$A$1:$I$89,3,0)*0.475*44/12</f>
        <v>18.996332968719297</v>
      </c>
      <c r="DH147" s="21">
        <f>EXP(-LN(2)/2)*DH146+(1-EXP(-LN(2)/2))/(LN(2)/2)*DB147*DE147*VLOOKUP('Données projet'!$B$13,Paramètres!$A$1:$I$89,3,0)*0.475*44/12</f>
        <v>6.3286326100855286E-2</v>
      </c>
      <c r="DI147" s="22">
        <f t="shared" si="123"/>
        <v>120.90918481103735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-25.899999999999977</v>
      </c>
      <c r="DP147" s="17">
        <f>DO147*VLOOKUP('Données projet'!$B$14,Paramètres!$A$1:$I$89,3,0)*VLOOKUP('Données projet'!$B$14,Paramètres!$A$1:$I$89,5,0)</f>
        <v>-13.171703999999989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63.94726564348116</v>
      </c>
      <c r="DU147" s="59">
        <f t="shared" si="152"/>
        <v>280.8165028422905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5.3365008524849626</v>
      </c>
      <c r="EB147" s="21">
        <f>EXP(-LN(2)/25)*EB146+(1-EXP(-LN(2)/25))/(LN(2)/25)*Calculateur!DW147*Calculateur!DY147*VLOOKUP('Données projet'!$B$14,Paramètres!$A$1:$I$89,3,0)*0.475*44/12</f>
        <v>0.27547443792569926</v>
      </c>
      <c r="EC147" s="21">
        <f>EXP(-LN(2)/2)*EC146+(1-EXP(-LN(2)/2))/(LN(2)/2)*DW147*DZ147*VLOOKUP('Données projet'!$B$14,Paramètres!$A$1:$I$89,3,0)*0.475*44/12</f>
        <v>6.7423573431016733E-19</v>
      </c>
      <c r="ED147" s="22">
        <f t="shared" si="126"/>
        <v>5.6119752904106619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-5.9685589803848416E-13</v>
      </c>
      <c r="O148" s="13">
        <f>N148*VLOOKUP('Données projet'!$B$9,Paramètres!$A$1:$I$89,3,0)*VLOOKUP('Données projet'!$B$9,Paramètres!$A$1:$I$89,5,0)</f>
        <v>-3.4140157367801295E-13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294.9631697747962</v>
      </c>
      <c r="T148" s="59">
        <f t="shared" si="142"/>
        <v>202.04924881627716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45.786094396180289</v>
      </c>
      <c r="AA148" s="21">
        <f>EXP(-LN(2)/25)*AA147+(1-EXP(-LN(2)/25))/(LN(2)/25)*Calculateur!V148*Calculateur!X148*VLOOKUP('Données projet'!$B$9,Paramètres!$A$1:$I$89,3,0)*0.475*44/12</f>
        <v>10.549531226790041</v>
      </c>
      <c r="AB148" s="21">
        <f>EXP(-LN(2)/2)*AB147+(1-EXP(-LN(2)/2))/(LN(2)/2)*V148*Y148*VLOOKUP('Données projet'!$B$9,Paramètres!$A$1:$I$89,3,0)*0.475*44/12</f>
        <v>1.4800748945781734E-5</v>
      </c>
      <c r="AC148" s="22">
        <f t="shared" si="111"/>
        <v>56.335640423719269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349.71285006949597</v>
      </c>
      <c r="AO148" s="59">
        <f t="shared" si="144"/>
        <v>258.51550516456842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42.305251696778981</v>
      </c>
      <c r="AV148" s="21">
        <f>EXP(-LN(2)/25)*AV147+(1-EXP(-LN(2)/25))/(LN(2)/25)*Calculateur!AQ148*Calculateur!AS148*VLOOKUP('Données projet'!$B$10,Paramètres!$A$1:$I$89,3,0)*0.475*44/12</f>
        <v>8.5346386523682192</v>
      </c>
      <c r="AW148" s="21">
        <f>EXP(-LN(2)/2)*AW147+(1-EXP(-LN(2)/2))/(LN(2)/2)*AQ148*AT148*VLOOKUP('Données projet'!$B$10,Paramètres!$A$1:$I$89,3,0)*0.475*44/12</f>
        <v>1.1642514184927923E-8</v>
      </c>
      <c r="AX148" s="21">
        <f t="shared" si="114"/>
        <v>50.83989036078971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7.5999999999999988</v>
      </c>
      <c r="BD148" s="12">
        <f>IF('Données projet'!$A$88&gt;35,BD147+BC148-BL147,IF(A148&lt;'Données projet'!$A$88,$BA$205^A148,IF(A148='Données projet'!$A$88,'Données projet'!$B$88,BD147+BC148-BL147)))</f>
        <v>414.16000000000042</v>
      </c>
      <c r="BE148" s="13">
        <f>BD148*VLOOKUP('Données projet'!$B$11,Paramètres!$A$1:$I$89,3,0)*VLOOKUP('Données projet'!$B$11,Paramètres!$A$1:$I$89,5,0)</f>
        <v>374.73196800000034</v>
      </c>
      <c r="BF148" s="13">
        <f t="shared" si="145"/>
        <v>86.634667747380036</v>
      </c>
      <c r="BG148" s="20">
        <f t="shared" si="115"/>
        <v>803.54689059335408</v>
      </c>
      <c r="BH148" s="59">
        <f t="shared" si="116"/>
        <v>1096.8802239266874</v>
      </c>
      <c r="BI148" s="59">
        <f ca="1">AVERAGE(OFFSET($BH$3,0,0,'Données projet'!$E$11+1,1))-AVERAGE(OFFSET($H$3,0,0,'Données projet'!$E$11+1,1))</f>
        <v>490.06222615476065</v>
      </c>
      <c r="BJ148" s="59">
        <f t="shared" si="146"/>
        <v>310.43914804089906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41.800779901949085</v>
      </c>
      <c r="BQ148" s="21">
        <f>EXP(-LN(2)/25)*BQ147+(1-EXP(-LN(2)/25))/(LN(2)/25)*Calculateur!BL148*Calculateur!BN148*VLOOKUP('Données projet'!$B$11,Paramètres!$A$1:$I$89,3,0)*0.475*44/12</f>
        <v>17.568925476166292</v>
      </c>
      <c r="BR148" s="21">
        <f>EXP(-LN(2)/2)*BR147+(1-EXP(-LN(2)/2))/(LN(2)/2)*BL148*BO148*VLOOKUP('Données projet'!$B$11,Paramètres!$A$1:$I$89,3,0)*0.475*44/12</f>
        <v>2.3692864549851422E-6</v>
      </c>
      <c r="BS148" s="22">
        <f t="shared" si="117"/>
        <v>59.369707747401833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315.78032199999979</v>
      </c>
      <c r="CA148" s="13">
        <f t="shared" si="147"/>
        <v>74.474690447846996</v>
      </c>
      <c r="CB148" s="20">
        <f t="shared" si="118"/>
        <v>679.69414667999979</v>
      </c>
      <c r="CC148" s="59">
        <f t="shared" si="119"/>
        <v>973.02748001333316</v>
      </c>
      <c r="CD148" s="59">
        <f ca="1">AVERAGE(OFFSET($CC$3,0,0,'Données projet'!$E$12+1,1))-AVERAGE(OFFSET($H$3,0,0,'Données projet'!$E$12+1,1))</f>
        <v>510.71380643466227</v>
      </c>
      <c r="CE148" s="59">
        <f t="shared" si="148"/>
        <v>252.40654099948841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22.229070098298788</v>
      </c>
      <c r="CL148" s="21">
        <f>EXP(-LN(2)/25)*CL147+(1-EXP(-LN(2)/25))/(LN(2)/25)*Calculateur!CG148*Calculateur!CI148*VLOOKUP('Données projet'!$B$12,Paramètres!$A$1:$I$89,3,0)*0.475*44/12</f>
        <v>20.871931567921084</v>
      </c>
      <c r="CM148" s="21">
        <f>EXP(-LN(2)/2)*CM147+(1-EXP(-LN(2)/2))/(LN(2)/2)*CG148*CJ148*VLOOKUP('Données projet'!$B$12,Paramètres!$A$1:$I$89,3,0)*0.475*44/12</f>
        <v>9.9591389615752828</v>
      </c>
      <c r="CN148" s="22">
        <f t="shared" si="120"/>
        <v>53.060140627795157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2.5579538487363607E-13</v>
      </c>
      <c r="CU148" s="17">
        <f>CT148*VLOOKUP('Données projet'!$B$13,Paramètres!$A$1:$I$89,3,0)*VLOOKUP('Données projet'!$B$13,Paramètres!$A$1:$I$89,5,0)</f>
        <v>2.7533815227798186E-13</v>
      </c>
      <c r="CV148" s="13">
        <f t="shared" si="149"/>
        <v>3.6763598146902537E-12</v>
      </c>
      <c r="CW148" s="20">
        <f t="shared" si="121"/>
        <v>6.88254062580301E-12</v>
      </c>
      <c r="CX148" s="59">
        <f t="shared" si="122"/>
        <v>293.33333333334019</v>
      </c>
      <c r="CY148" s="59">
        <f ca="1">AVERAGE(OFFSET($CX$3,0,0,'Données projet'!$E$13+1,1))-AVERAGE(OFFSET($H$3,0,0,'Données projet'!$E$13+1,1))</f>
        <v>502.65044103360322</v>
      </c>
      <c r="CZ148" s="59">
        <f t="shared" si="150"/>
        <v>321.65762891855167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99.852357658545088</v>
      </c>
      <c r="DG148" s="21">
        <f>EXP(-LN(2)/25)*DG147+(1-EXP(-LN(2)/25))/(LN(2)/25)*Calculateur!DB148*Calculateur!DD148*VLOOKUP('Données projet'!$B$13,Paramètres!$A$1:$I$89,3,0)*0.475*44/12</f>
        <v>18.476877244715933</v>
      </c>
      <c r="DH148" s="21">
        <f>EXP(-LN(2)/2)*DH147+(1-EXP(-LN(2)/2))/(LN(2)/2)*DB148*DE148*VLOOKUP('Données projet'!$B$13,Paramètres!$A$1:$I$89,3,0)*0.475*44/12</f>
        <v>4.475019034229797E-2</v>
      </c>
      <c r="DI148" s="22">
        <f t="shared" si="123"/>
        <v>118.37398509360332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-25.899999999999977</v>
      </c>
      <c r="DP148" s="17">
        <f>DO148*VLOOKUP('Données projet'!$B$14,Paramètres!$A$1:$I$89,3,0)*VLOOKUP('Données projet'!$B$14,Paramètres!$A$1:$I$89,5,0)</f>
        <v>-13.171703999999989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63.94726564348116</v>
      </c>
      <c r="DU148" s="59">
        <f t="shared" si="152"/>
        <v>280.8165028422905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5.2318553257118534</v>
      </c>
      <c r="EB148" s="21">
        <f>EXP(-LN(2)/25)*EB147+(1-EXP(-LN(2)/25))/(LN(2)/25)*Calculateur!DW148*Calculateur!DY148*VLOOKUP('Données projet'!$B$14,Paramètres!$A$1:$I$89,3,0)*0.475*44/12</f>
        <v>0.26794157493404991</v>
      </c>
      <c r="EC148" s="21">
        <f>EXP(-LN(2)/2)*EC147+(1-EXP(-LN(2)/2))/(LN(2)/2)*DW148*DZ148*VLOOKUP('Données projet'!$B$14,Paramètres!$A$1:$I$89,3,0)*0.475*44/12</f>
        <v>4.7675665984901067E-19</v>
      </c>
      <c r="ED148" s="22">
        <f t="shared" si="126"/>
        <v>5.4997969006459035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-5.9685589803848416E-13</v>
      </c>
      <c r="O149" s="13">
        <f>N149*VLOOKUP('Données projet'!$B$9,Paramètres!$A$1:$I$89,3,0)*VLOOKUP('Données projet'!$B$9,Paramètres!$A$1:$I$89,5,0)</f>
        <v>-3.4140157367801295E-13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294.9631697747962</v>
      </c>
      <c r="T149" s="59">
        <f t="shared" si="142"/>
        <v>202.04924881627716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44.888257011831236</v>
      </c>
      <c r="AA149" s="21">
        <f>EXP(-LN(2)/25)*AA148+(1-EXP(-LN(2)/25))/(LN(2)/25)*Calculateur!V149*Calculateur!X149*VLOOKUP('Données projet'!$B$9,Paramètres!$A$1:$I$89,3,0)*0.475*44/12</f>
        <v>10.261053740617731</v>
      </c>
      <c r="AB149" s="21">
        <f>EXP(-LN(2)/2)*AB148+(1-EXP(-LN(2)/2))/(LN(2)/2)*V149*Y149*VLOOKUP('Données projet'!$B$9,Paramètres!$A$1:$I$89,3,0)*0.475*44/12</f>
        <v>1.046570994620191E-5</v>
      </c>
      <c r="AC149" s="22">
        <f t="shared" si="111"/>
        <v>55.149321218158917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349.71285006949597</v>
      </c>
      <c r="AO149" s="59">
        <f t="shared" si="144"/>
        <v>258.51550516456842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41.475671514660782</v>
      </c>
      <c r="AV149" s="21">
        <f>EXP(-LN(2)/25)*AV148+(1-EXP(-LN(2)/25))/(LN(2)/25)*Calculateur!AQ149*Calculateur!AS149*VLOOKUP('Données projet'!$B$10,Paramètres!$A$1:$I$89,3,0)*0.475*44/12</f>
        <v>8.3012585096020697</v>
      </c>
      <c r="AW149" s="21">
        <f>EXP(-LN(2)/2)*AW148+(1-EXP(-LN(2)/2))/(LN(2)/2)*AQ149*AT149*VLOOKUP('Données projet'!$B$10,Paramètres!$A$1:$I$89,3,0)*0.475*44/12</f>
        <v>8.2325007302231047E-9</v>
      </c>
      <c r="AX149" s="21">
        <f t="shared" si="114"/>
        <v>49.776930032495351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7.5999999999999988</v>
      </c>
      <c r="BD149" s="12">
        <f>IF('Données projet'!$A$88&gt;35,BD148+BC149-BL148,IF(A149&lt;'Données projet'!$A$88,$BA$205^A149,IF(A149='Données projet'!$A$88,'Données projet'!$B$88,BD148+BC149-BL148)))</f>
        <v>421.76000000000045</v>
      </c>
      <c r="BE149" s="13">
        <f>BD149*VLOOKUP('Données projet'!$B$11,Paramètres!$A$1:$I$89,3,0)*VLOOKUP('Données projet'!$B$11,Paramètres!$A$1:$I$89,5,0)</f>
        <v>381.60844800000035</v>
      </c>
      <c r="BF149" s="13">
        <f t="shared" si="145"/>
        <v>88.037907665522127</v>
      </c>
      <c r="BG149" s="20">
        <f t="shared" si="115"/>
        <v>817.96740278411835</v>
      </c>
      <c r="BH149" s="59">
        <f t="shared" si="116"/>
        <v>1111.3007361174516</v>
      </c>
      <c r="BI149" s="59">
        <f ca="1">AVERAGE(OFFSET($BH$3,0,0,'Données projet'!$E$11+1,1))-AVERAGE(OFFSET($H$3,0,0,'Données projet'!$E$11+1,1))</f>
        <v>490.06222615476065</v>
      </c>
      <c r="BJ149" s="59">
        <f t="shared" si="146"/>
        <v>310.43914804089906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40.98109210403009</v>
      </c>
      <c r="BQ149" s="21">
        <f>EXP(-LN(2)/25)*BQ148+(1-EXP(-LN(2)/25))/(LN(2)/25)*Calculateur!BL149*Calculateur!BN149*VLOOKUP('Données projet'!$B$11,Paramètres!$A$1:$I$89,3,0)*0.475*44/12</f>
        <v>17.088502285110888</v>
      </c>
      <c r="BR149" s="21">
        <f>EXP(-LN(2)/2)*BR148+(1-EXP(-LN(2)/2))/(LN(2)/2)*BL149*BO149*VLOOKUP('Données projet'!$B$11,Paramètres!$A$1:$I$89,3,0)*0.475*44/12</f>
        <v>1.6753385188934299E-6</v>
      </c>
      <c r="BS149" s="22">
        <f t="shared" si="117"/>
        <v>58.069596064479491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323.05285999999978</v>
      </c>
      <c r="CA149" s="13">
        <f t="shared" si="147"/>
        <v>75.988209111509335</v>
      </c>
      <c r="CB149" s="20">
        <f t="shared" si="118"/>
        <v>694.99652870254488</v>
      </c>
      <c r="CC149" s="59">
        <f t="shared" si="119"/>
        <v>988.32986203587825</v>
      </c>
      <c r="CD149" s="59">
        <f ca="1">AVERAGE(OFFSET($CC$3,0,0,'Données projet'!$E$12+1,1))-AVERAGE(OFFSET($H$3,0,0,'Données projet'!$E$12+1,1))</f>
        <v>510.71380643466227</v>
      </c>
      <c r="CE149" s="59">
        <f t="shared" si="148"/>
        <v>252.40654099948841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21.793171592065129</v>
      </c>
      <c r="CL149" s="21">
        <f>EXP(-LN(2)/25)*CL148+(1-EXP(-LN(2)/25))/(LN(2)/25)*Calculateur!CG149*Calculateur!CI149*VLOOKUP('Données projet'!$B$12,Paramètres!$A$1:$I$89,3,0)*0.475*44/12</f>
        <v>20.301187501589105</v>
      </c>
      <c r="CM149" s="21">
        <f>EXP(-LN(2)/2)*CM148+(1-EXP(-LN(2)/2))/(LN(2)/2)*CG149*CJ149*VLOOKUP('Données projet'!$B$12,Paramètres!$A$1:$I$89,3,0)*0.475*44/12</f>
        <v>7.0421746945090344</v>
      </c>
      <c r="CN149" s="22">
        <f t="shared" si="120"/>
        <v>49.13653378816327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2.5579538487363607E-13</v>
      </c>
      <c r="CU149" s="17">
        <f>CT149*VLOOKUP('Données projet'!$B$13,Paramètres!$A$1:$I$89,3,0)*VLOOKUP('Données projet'!$B$13,Paramètres!$A$1:$I$89,5,0)</f>
        <v>2.7533815227798186E-13</v>
      </c>
      <c r="CV149" s="13">
        <f t="shared" si="149"/>
        <v>3.6763598146902537E-12</v>
      </c>
      <c r="CW149" s="20">
        <f t="shared" si="121"/>
        <v>6.88254062580301E-12</v>
      </c>
      <c r="CX149" s="59">
        <f t="shared" si="122"/>
        <v>293.33333333334019</v>
      </c>
      <c r="CY149" s="59">
        <f ca="1">AVERAGE(OFFSET($CX$3,0,0,'Données projet'!$E$13+1,1))-AVERAGE(OFFSET($H$3,0,0,'Données projet'!$E$13+1,1))</f>
        <v>502.65044103360322</v>
      </c>
      <c r="CZ149" s="59">
        <f t="shared" si="150"/>
        <v>321.65762891855167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97.894313828785428</v>
      </c>
      <c r="DG149" s="21">
        <f>EXP(-LN(2)/25)*DG148+(1-EXP(-LN(2)/25))/(LN(2)/25)*Calculateur!DB149*Calculateur!DD149*VLOOKUP('Données projet'!$B$13,Paramètres!$A$1:$I$89,3,0)*0.475*44/12</f>
        <v>17.971626064802432</v>
      </c>
      <c r="DH149" s="21">
        <f>EXP(-LN(2)/2)*DH148+(1-EXP(-LN(2)/2))/(LN(2)/2)*DB149*DE149*VLOOKUP('Données projet'!$B$13,Paramètres!$A$1:$I$89,3,0)*0.475*44/12</f>
        <v>3.1643163050427643E-2</v>
      </c>
      <c r="DI149" s="22">
        <f t="shared" si="123"/>
        <v>115.8975830566383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-25.899999999999977</v>
      </c>
      <c r="DP149" s="17">
        <f>DO149*VLOOKUP('Données projet'!$B$14,Paramètres!$A$1:$I$89,3,0)*VLOOKUP('Données projet'!$B$14,Paramètres!$A$1:$I$89,5,0)</f>
        <v>-13.171703999999989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63.94726564348116</v>
      </c>
      <c r="DU149" s="59">
        <f t="shared" si="152"/>
        <v>280.8165028422905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5.1292618338912961</v>
      </c>
      <c r="EB149" s="21">
        <f>EXP(-LN(2)/25)*EB148+(1-EXP(-LN(2)/25))/(LN(2)/25)*Calculateur!DW149*Calculateur!DY149*VLOOKUP('Données projet'!$B$14,Paramètres!$A$1:$I$89,3,0)*0.475*44/12</f>
        <v>0.26061469847704327</v>
      </c>
      <c r="EC149" s="21">
        <f>EXP(-LN(2)/2)*EC148+(1-EXP(-LN(2)/2))/(LN(2)/2)*DW149*DZ149*VLOOKUP('Données projet'!$B$14,Paramètres!$A$1:$I$89,3,0)*0.475*44/12</f>
        <v>3.3711786715508366E-19</v>
      </c>
      <c r="ED149" s="22">
        <f t="shared" si="126"/>
        <v>5.3898765323683397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-5.9685589803848416E-13</v>
      </c>
      <c r="O150" s="13">
        <f>N150*VLOOKUP('Données projet'!$B$9,Paramètres!$A$1:$I$89,3,0)*VLOOKUP('Données projet'!$B$9,Paramètres!$A$1:$I$89,5,0)</f>
        <v>-3.4140157367801295E-13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294.9631697747962</v>
      </c>
      <c r="T150" s="59">
        <f t="shared" si="142"/>
        <v>202.04924881627716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44.008025670962539</v>
      </c>
      <c r="AA150" s="21">
        <f>EXP(-LN(2)/25)*AA149+(1-EXP(-LN(2)/25))/(LN(2)/25)*Calculateur!V150*Calculateur!X150*VLOOKUP('Données projet'!$B$9,Paramètres!$A$1:$I$89,3,0)*0.475*44/12</f>
        <v>9.9804646864751749</v>
      </c>
      <c r="AB150" s="21">
        <f>EXP(-LN(2)/2)*AB149+(1-EXP(-LN(2)/2))/(LN(2)/2)*V150*Y150*VLOOKUP('Données projet'!$B$9,Paramètres!$A$1:$I$89,3,0)*0.475*44/12</f>
        <v>7.4003744728908687E-6</v>
      </c>
      <c r="AC150" s="22">
        <f t="shared" si="111"/>
        <v>53.988497757812183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349.71285006949597</v>
      </c>
      <c r="AO150" s="59">
        <f t="shared" si="144"/>
        <v>258.51550516456842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40.662358893919972</v>
      </c>
      <c r="AV150" s="21">
        <f>EXP(-LN(2)/25)*AV149+(1-EXP(-LN(2)/25))/(LN(2)/25)*Calculateur!AQ150*Calculateur!AS150*VLOOKUP('Données projet'!$B$10,Paramètres!$A$1:$I$89,3,0)*0.475*44/12</f>
        <v>8.0742601591127894</v>
      </c>
      <c r="AW150" s="21">
        <f>EXP(-LN(2)/2)*AW149+(1-EXP(-LN(2)/2))/(LN(2)/2)*AQ150*AT150*VLOOKUP('Données projet'!$B$10,Paramètres!$A$1:$I$89,3,0)*0.475*44/12</f>
        <v>5.8212570924639616E-9</v>
      </c>
      <c r="AX150" s="21">
        <f t="shared" si="114"/>
        <v>48.736619058854018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7.5999999999999988</v>
      </c>
      <c r="BD150" s="12">
        <f>IF('Données projet'!$A$88&gt;35,BD149+BC150-BL149,IF(A150&lt;'Données projet'!$A$88,$BA$205^A150,IF(A150='Données projet'!$A$88,'Données projet'!$B$88,BD149+BC150-BL149)))</f>
        <v>429.36000000000047</v>
      </c>
      <c r="BE150" s="13">
        <f>BD150*VLOOKUP('Données projet'!$B$11,Paramètres!$A$1:$I$89,3,0)*VLOOKUP('Données projet'!$B$11,Paramètres!$A$1:$I$89,5,0)</f>
        <v>388.48492800000042</v>
      </c>
      <c r="BF150" s="13">
        <f t="shared" si="145"/>
        <v>89.438207209646222</v>
      </c>
      <c r="BG150" s="20">
        <f t="shared" si="115"/>
        <v>832.38279382346775</v>
      </c>
      <c r="BH150" s="59">
        <f t="shared" si="116"/>
        <v>1125.7161271568011</v>
      </c>
      <c r="BI150" s="59">
        <f ca="1">AVERAGE(OFFSET($BH$3,0,0,'Données projet'!$E$11+1,1))-AVERAGE(OFFSET($H$3,0,0,'Données projet'!$E$11+1,1))</f>
        <v>490.06222615476065</v>
      </c>
      <c r="BJ150" s="59">
        <f t="shared" si="146"/>
        <v>310.43914804089906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40.177477883868093</v>
      </c>
      <c r="BQ150" s="21">
        <f>EXP(-LN(2)/25)*BQ149+(1-EXP(-LN(2)/25))/(LN(2)/25)*Calculateur!BL150*Calculateur!BN150*VLOOKUP('Données projet'!$B$11,Paramètres!$A$1:$I$89,3,0)*0.475*44/12</f>
        <v>16.62121629147925</v>
      </c>
      <c r="BR150" s="21">
        <f>EXP(-LN(2)/2)*BR149+(1-EXP(-LN(2)/2))/(LN(2)/2)*BL150*BO150*VLOOKUP('Données projet'!$B$11,Paramètres!$A$1:$I$89,3,0)*0.475*44/12</f>
        <v>1.1846432274925711E-6</v>
      </c>
      <c r="BS150" s="22">
        <f t="shared" si="117"/>
        <v>56.798695359990568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330.32539799999972</v>
      </c>
      <c r="CA150" s="13">
        <f t="shared" si="147"/>
        <v>77.497766609036603</v>
      </c>
      <c r="CB150" s="20">
        <f t="shared" si="118"/>
        <v>710.29201169407168</v>
      </c>
      <c r="CC150" s="59">
        <f t="shared" si="119"/>
        <v>1003.625345027405</v>
      </c>
      <c r="CD150" s="59">
        <f ca="1">AVERAGE(OFFSET($CC$3,0,0,'Données projet'!$E$12+1,1))-AVERAGE(OFFSET($H$3,0,0,'Données projet'!$E$12+1,1))</f>
        <v>510.71380643466227</v>
      </c>
      <c r="CE150" s="59">
        <f t="shared" si="148"/>
        <v>252.40654099948841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21.365820789666873</v>
      </c>
      <c r="CL150" s="21">
        <f>EXP(-LN(2)/25)*CL149+(1-EXP(-LN(2)/25))/(LN(2)/25)*Calculateur!CG150*Calculateur!CI150*VLOOKUP('Données projet'!$B$12,Paramètres!$A$1:$I$89,3,0)*0.475*44/12</f>
        <v>19.746050461765098</v>
      </c>
      <c r="CM150" s="21">
        <f>EXP(-LN(2)/2)*CM149+(1-EXP(-LN(2)/2))/(LN(2)/2)*CG150*CJ150*VLOOKUP('Données projet'!$B$12,Paramètres!$A$1:$I$89,3,0)*0.475*44/12</f>
        <v>4.9795694807876423</v>
      </c>
      <c r="CN150" s="22">
        <f t="shared" si="120"/>
        <v>46.09144073221961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2.5579538487363607E-13</v>
      </c>
      <c r="CU150" s="17">
        <f>CT150*VLOOKUP('Données projet'!$B$13,Paramètres!$A$1:$I$89,3,0)*VLOOKUP('Données projet'!$B$13,Paramètres!$A$1:$I$89,5,0)</f>
        <v>2.7533815227798186E-13</v>
      </c>
      <c r="CV150" s="13">
        <f t="shared" si="149"/>
        <v>3.6763598146902537E-12</v>
      </c>
      <c r="CW150" s="20">
        <f t="shared" si="121"/>
        <v>6.88254062580301E-12</v>
      </c>
      <c r="CX150" s="59">
        <f t="shared" si="122"/>
        <v>293.33333333334019</v>
      </c>
      <c r="CY150" s="59">
        <f ca="1">AVERAGE(OFFSET($CX$3,0,0,'Données projet'!$E$13+1,1))-AVERAGE(OFFSET($H$3,0,0,'Données projet'!$E$13+1,1))</f>
        <v>502.65044103360322</v>
      </c>
      <c r="CZ150" s="59">
        <f t="shared" si="150"/>
        <v>321.65762891855167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95.974666044238546</v>
      </c>
      <c r="DG150" s="21">
        <f>EXP(-LN(2)/25)*DG149+(1-EXP(-LN(2)/25))/(LN(2)/25)*Calculateur!DB150*Calculateur!DD150*VLOOKUP('Données projet'!$B$13,Paramètres!$A$1:$I$89,3,0)*0.475*44/12</f>
        <v>17.480191004973669</v>
      </c>
      <c r="DH150" s="21">
        <f>EXP(-LN(2)/2)*DH149+(1-EXP(-LN(2)/2))/(LN(2)/2)*DB150*DE150*VLOOKUP('Données projet'!$B$13,Paramètres!$A$1:$I$89,3,0)*0.475*44/12</f>
        <v>2.2375095171148985E-2</v>
      </c>
      <c r="DI150" s="22">
        <f t="shared" si="123"/>
        <v>113.47723214438336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-25.899999999999977</v>
      </c>
      <c r="DP150" s="17">
        <f>DO150*VLOOKUP('Données projet'!$B$14,Paramètres!$A$1:$I$89,3,0)*VLOOKUP('Données projet'!$B$14,Paramètres!$A$1:$I$89,5,0)</f>
        <v>-13.171703999999989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63.94726564348116</v>
      </c>
      <c r="DU150" s="59">
        <f t="shared" si="152"/>
        <v>280.8165028422905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5.0286801378694888</v>
      </c>
      <c r="EB150" s="21">
        <f>EXP(-LN(2)/25)*EB149+(1-EXP(-LN(2)/25))/(LN(2)/25)*Calculateur!DW150*Calculateur!DY150*VLOOKUP('Données projet'!$B$14,Paramètres!$A$1:$I$89,3,0)*0.475*44/12</f>
        <v>0.25348817584205718</v>
      </c>
      <c r="EC150" s="21">
        <f>EXP(-LN(2)/2)*EC149+(1-EXP(-LN(2)/2))/(LN(2)/2)*DW150*DZ150*VLOOKUP('Données projet'!$B$14,Paramètres!$A$1:$I$89,3,0)*0.475*44/12</f>
        <v>2.3837832992450534E-19</v>
      </c>
      <c r="ED150" s="22">
        <f t="shared" si="126"/>
        <v>5.282168313711546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-5.9685589803848416E-13</v>
      </c>
      <c r="O151" s="13">
        <f>N151*VLOOKUP('Données projet'!$B$9,Paramètres!$A$1:$I$89,3,0)*VLOOKUP('Données projet'!$B$9,Paramètres!$A$1:$I$89,5,0)</f>
        <v>-3.4140157367801295E-13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294.9631697747962</v>
      </c>
      <c r="T151" s="59">
        <f t="shared" si="142"/>
        <v>202.04924881627716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43.14505512980017</v>
      </c>
      <c r="AA151" s="21">
        <f>EXP(-LN(2)/25)*AA150+(1-EXP(-LN(2)/25))/(LN(2)/25)*Calculateur!V151*Calculateur!X151*VLOOKUP('Données projet'!$B$9,Paramètres!$A$1:$I$89,3,0)*0.475*44/12</f>
        <v>9.7075483547736834</v>
      </c>
      <c r="AB151" s="21">
        <f>EXP(-LN(2)/2)*AB150+(1-EXP(-LN(2)/2))/(LN(2)/2)*V151*Y151*VLOOKUP('Données projet'!$B$9,Paramètres!$A$1:$I$89,3,0)*0.475*44/12</f>
        <v>5.2328549731009557E-6</v>
      </c>
      <c r="AC151" s="22">
        <f t="shared" si="111"/>
        <v>52.852608717428829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349.71285006949597</v>
      </c>
      <c r="AO151" s="59">
        <f t="shared" si="144"/>
        <v>258.51550516456842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39.864994837600172</v>
      </c>
      <c r="AV151" s="21">
        <f>EXP(-LN(2)/25)*AV150+(1-EXP(-LN(2)/25))/(LN(2)/25)*Calculateur!AQ151*Calculateur!AS151*VLOOKUP('Données projet'!$B$10,Paramètres!$A$1:$I$89,3,0)*0.475*44/12</f>
        <v>7.8534690904549622</v>
      </c>
      <c r="AW151" s="21">
        <f>EXP(-LN(2)/2)*AW150+(1-EXP(-LN(2)/2))/(LN(2)/2)*AQ151*AT151*VLOOKUP('Données projet'!$B$10,Paramètres!$A$1:$I$89,3,0)*0.475*44/12</f>
        <v>4.1162503651115523E-9</v>
      </c>
      <c r="AX151" s="21">
        <f t="shared" si="114"/>
        <v>47.718463932171389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7.5999999999999988</v>
      </c>
      <c r="BD151" s="12">
        <f>IF('Données projet'!$A$88&gt;35,BD150+BC151-BL150,IF(A151&lt;'Données projet'!$A$88,$BA$205^A151,IF(A151='Données projet'!$A$88,'Données projet'!$B$88,BD150+BC151-BL150)))</f>
        <v>436.96000000000049</v>
      </c>
      <c r="BE151" s="13">
        <f>BD151*VLOOKUP('Données projet'!$B$11,Paramètres!$A$1:$I$89,3,0)*VLOOKUP('Données projet'!$B$11,Paramètres!$A$1:$I$89,5,0)</f>
        <v>395.36140800000044</v>
      </c>
      <c r="BF151" s="13">
        <f t="shared" si="145"/>
        <v>90.835624431167318</v>
      </c>
      <c r="BG151" s="20">
        <f t="shared" si="115"/>
        <v>846.79316481761714</v>
      </c>
      <c r="BH151" s="59">
        <f t="shared" si="116"/>
        <v>1140.1264981509505</v>
      </c>
      <c r="BI151" s="59">
        <f ca="1">AVERAGE(OFFSET($BH$3,0,0,'Données projet'!$E$11+1,1))-AVERAGE(OFFSET($H$3,0,0,'Données projet'!$E$11+1,1))</f>
        <v>490.06222615476065</v>
      </c>
      <c r="BJ151" s="59">
        <f t="shared" si="146"/>
        <v>310.43914804089906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39.389622048407197</v>
      </c>
      <c r="BQ151" s="21">
        <f>EXP(-LN(2)/25)*BQ150+(1-EXP(-LN(2)/25))/(LN(2)/25)*Calculateur!BL151*Calculateur!BN151*VLOOKUP('Données projet'!$B$11,Paramètres!$A$1:$I$89,3,0)*0.475*44/12</f>
        <v>16.166708257916973</v>
      </c>
      <c r="BR151" s="21">
        <f>EXP(-LN(2)/2)*BR150+(1-EXP(-LN(2)/2))/(LN(2)/2)*BL151*BO151*VLOOKUP('Données projet'!$B$11,Paramètres!$A$1:$I$89,3,0)*0.475*44/12</f>
        <v>8.3766925944671493E-7</v>
      </c>
      <c r="BS151" s="22">
        <f t="shared" si="117"/>
        <v>55.556331143993432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337.59793599999972</v>
      </c>
      <c r="CA151" s="13">
        <f t="shared" si="147"/>
        <v>79.003460193077288</v>
      </c>
      <c r="CB151" s="20">
        <f t="shared" si="118"/>
        <v>725.58076503627569</v>
      </c>
      <c r="CC151" s="59">
        <f t="shared" si="119"/>
        <v>1018.9140983696091</v>
      </c>
      <c r="CD151" s="59">
        <f ca="1">AVERAGE(OFFSET($CC$3,0,0,'Données projet'!$E$12+1,1))-AVERAGE(OFFSET($H$3,0,0,'Données projet'!$E$12+1,1))</f>
        <v>510.71380643466227</v>
      </c>
      <c r="CE151" s="59">
        <f t="shared" si="148"/>
        <v>252.40654099948841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20.946850075845397</v>
      </c>
      <c r="CL151" s="21">
        <f>EXP(-LN(2)/25)*CL150+(1-EXP(-LN(2)/25))/(LN(2)/25)*Calculateur!CG151*Calculateur!CI151*VLOOKUP('Données projet'!$B$12,Paramètres!$A$1:$I$89,3,0)*0.475*44/12</f>
        <v>19.206093673488468</v>
      </c>
      <c r="CM151" s="21">
        <f>EXP(-LN(2)/2)*CM150+(1-EXP(-LN(2)/2))/(LN(2)/2)*CG151*CJ151*VLOOKUP('Données projet'!$B$12,Paramètres!$A$1:$I$89,3,0)*0.475*44/12</f>
        <v>3.5210873472545177</v>
      </c>
      <c r="CN151" s="22">
        <f t="shared" si="120"/>
        <v>43.674031096588379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2.5579538487363607E-13</v>
      </c>
      <c r="CU151" s="17">
        <f>CT151*VLOOKUP('Données projet'!$B$13,Paramètres!$A$1:$I$89,3,0)*VLOOKUP('Données projet'!$B$13,Paramètres!$A$1:$I$89,5,0)</f>
        <v>2.7533815227798186E-13</v>
      </c>
      <c r="CV151" s="13">
        <f t="shared" si="149"/>
        <v>3.6763598146902537E-12</v>
      </c>
      <c r="CW151" s="20">
        <f t="shared" si="121"/>
        <v>6.88254062580301E-12</v>
      </c>
      <c r="CX151" s="59">
        <f t="shared" si="122"/>
        <v>293.33333333334019</v>
      </c>
      <c r="CY151" s="59">
        <f ca="1">AVERAGE(OFFSET($CX$3,0,0,'Données projet'!$E$13+1,1))-AVERAGE(OFFSET($H$3,0,0,'Données projet'!$E$13+1,1))</f>
        <v>502.65044103360322</v>
      </c>
      <c r="CZ151" s="59">
        <f t="shared" si="150"/>
        <v>321.65762891855167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94.092661381877093</v>
      </c>
      <c r="DG151" s="21">
        <f>EXP(-LN(2)/25)*DG150+(1-EXP(-LN(2)/25))/(LN(2)/25)*Calculateur!DB151*Calculateur!DD151*VLOOKUP('Données projet'!$B$13,Paramètres!$A$1:$I$89,3,0)*0.475*44/12</f>
        <v>17.002194262699369</v>
      </c>
      <c r="DH151" s="21">
        <f>EXP(-LN(2)/2)*DH150+(1-EXP(-LN(2)/2))/(LN(2)/2)*DB151*DE151*VLOOKUP('Données projet'!$B$13,Paramètres!$A$1:$I$89,3,0)*0.475*44/12</f>
        <v>1.5821581525213822E-2</v>
      </c>
      <c r="DI151" s="22">
        <f t="shared" si="123"/>
        <v>111.11067722610167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-25.899999999999977</v>
      </c>
      <c r="DP151" s="17">
        <f>DO151*VLOOKUP('Données projet'!$B$14,Paramètres!$A$1:$I$89,3,0)*VLOOKUP('Données projet'!$B$14,Paramètres!$A$1:$I$89,5,0)</f>
        <v>-13.171703999999989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63.94726564348116</v>
      </c>
      <c r="DU151" s="59">
        <f t="shared" si="152"/>
        <v>280.8165028422905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4.9300707875578924</v>
      </c>
      <c r="EB151" s="21">
        <f>EXP(-LN(2)/25)*EB150+(1-EXP(-LN(2)/25))/(LN(2)/25)*Calculateur!DW151*Calculateur!DY151*VLOOKUP('Données projet'!$B$14,Paramètres!$A$1:$I$89,3,0)*0.475*44/12</f>
        <v>0.24655652834329231</v>
      </c>
      <c r="EC151" s="21">
        <f>EXP(-LN(2)/2)*EC150+(1-EXP(-LN(2)/2))/(LN(2)/2)*DW151*DZ151*VLOOKUP('Données projet'!$B$14,Paramètres!$A$1:$I$89,3,0)*0.475*44/12</f>
        <v>1.6855893357754183E-19</v>
      </c>
      <c r="ED151" s="22">
        <f t="shared" si="126"/>
        <v>5.1766273159011851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-5.9685589803848416E-13</v>
      </c>
      <c r="O152" s="13">
        <f>N152*VLOOKUP('Données projet'!$B$9,Paramètres!$A$1:$I$89,3,0)*VLOOKUP('Données projet'!$B$9,Paramètres!$A$1:$I$89,5,0)</f>
        <v>-3.4140157367801295E-13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294.9631697747962</v>
      </c>
      <c r="T152" s="59">
        <f t="shared" si="142"/>
        <v>202.04924881627716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42.299006914589938</v>
      </c>
      <c r="AA152" s="21">
        <f>EXP(-LN(2)/25)*AA151+(1-EXP(-LN(2)/25))/(LN(2)/25)*Calculateur!V152*Calculateur!X152*VLOOKUP('Données projet'!$B$9,Paramètres!$A$1:$I$89,3,0)*0.475*44/12</f>
        <v>9.4420949345146159</v>
      </c>
      <c r="AB152" s="21">
        <f>EXP(-LN(2)/2)*AB151+(1-EXP(-LN(2)/2))/(LN(2)/2)*V152*Y152*VLOOKUP('Données projet'!$B$9,Paramètres!$A$1:$I$89,3,0)*0.475*44/12</f>
        <v>3.7001872364454347E-6</v>
      </c>
      <c r="AC152" s="22">
        <f t="shared" si="111"/>
        <v>51.741105549291788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349.71285006949597</v>
      </c>
      <c r="AO152" s="59">
        <f t="shared" si="144"/>
        <v>258.51550516456842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39.083266604080755</v>
      </c>
      <c r="AV152" s="21">
        <f>EXP(-LN(2)/25)*AV151+(1-EXP(-LN(2)/25))/(LN(2)/25)*Calculateur!AQ152*Calculateur!AS152*VLOOKUP('Données projet'!$B$10,Paramètres!$A$1:$I$89,3,0)*0.475*44/12</f>
        <v>7.6387155651804814</v>
      </c>
      <c r="AW152" s="21">
        <f>EXP(-LN(2)/2)*AW151+(1-EXP(-LN(2)/2))/(LN(2)/2)*AQ152*AT152*VLOOKUP('Données projet'!$B$10,Paramètres!$A$1:$I$89,3,0)*0.475*44/12</f>
        <v>2.9106285462319808E-9</v>
      </c>
      <c r="AX152" s="21">
        <f t="shared" si="114"/>
        <v>46.72198217217187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7.5999999999999988</v>
      </c>
      <c r="BC152" s="12">
        <f t="array" ref="BC152">INDEX(BB:BB,MIN(IF(ISNUMBER(BB152:BB348),ROW(BB152:BB348),"")))</f>
        <v>7.5999999999999988</v>
      </c>
      <c r="BD152" s="12">
        <f>IF('Données projet'!$A$88&gt;35,BD151+BC152-BL151,IF(A152&lt;'Données projet'!$A$88,$BA$205^A152,IF(A152='Données projet'!$A$88,'Données projet'!$B$88,BD151+BC152-BL151)))</f>
        <v>444.56000000000051</v>
      </c>
      <c r="BE152" s="13">
        <f>BD152*VLOOKUP('Données projet'!$B$11,Paramètres!$A$1:$I$89,3,0)*VLOOKUP('Données projet'!$B$11,Paramètres!$A$1:$I$89,5,0)</f>
        <v>402.23788800000051</v>
      </c>
      <c r="BF152" s="13">
        <f t="shared" si="145"/>
        <v>92.230215246448978</v>
      </c>
      <c r="BG152" s="20">
        <f t="shared" si="115"/>
        <v>861.1986131542327</v>
      </c>
      <c r="BH152" s="59">
        <f t="shared" si="116"/>
        <v>1154.5319464875661</v>
      </c>
      <c r="BI152" s="59">
        <f ca="1">AVERAGE(OFFSET($BH$3,0,0,'Données projet'!$E$11+1,1))-AVERAGE(OFFSET($H$3,0,0,'Données projet'!$E$11+1,1))</f>
        <v>490.06222615476065</v>
      </c>
      <c r="BJ152" s="59">
        <f t="shared" si="146"/>
        <v>310.43914804089906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176.67000000000002</v>
      </c>
      <c r="BM152" s="16">
        <f>IF(ISNA(VLOOKUP(A152,'Données projet'!$A$87:$I$107,5,0)),0%,VLOOKUP(A152,'Données projet'!$A$87:$I$107,5,0)*VLOOKUP('Données projet'!$B$11,Paramètres!$A$1:$I$89,7,0))</f>
        <v>0.19350000000000001</v>
      </c>
      <c r="BN152" s="16">
        <f>IF(ISNA(VLOOKUP(A152,'Données projet'!$A$87:$I$107,6,0)),0%,VLOOKUP(A152,'Données projet'!$A$87:$I$107,6,0)*VLOOKUP('Données projet'!$B$11,Paramètres!$A$1:$I$89,7,0))</f>
        <v>2.1500000000000002E-2</v>
      </c>
      <c r="BO152" s="16">
        <f>IF(ISNA(VLOOKUP(A152,'Données projet'!$A$87:$I$107,7,0)),0%,VLOOKUP(A152,'Données projet'!$A$87:$I$107,7,0))</f>
        <v>0.05</v>
      </c>
      <c r="BP152" s="21">
        <f>EXP(-LN(2)/35)*BP151+(1-EXP(-LN(2)/35))/(LN(2)/35)*BL152*BM152*VLOOKUP('Données projet'!$B$11,Paramètres!$A$1:$I$89,3,0)*0.475*44/12</f>
        <v>72.810709588964016</v>
      </c>
      <c r="BQ152" s="21">
        <f>EXP(-LN(2)/25)*BQ151+(1-EXP(-LN(2)/25))/(LN(2)/25)*Calculateur!BL152*Calculateur!BN152*VLOOKUP('Données projet'!$B$11,Paramètres!$A$1:$I$89,3,0)*0.475*44/12</f>
        <v>19.508946680322214</v>
      </c>
      <c r="BR152" s="21">
        <f>EXP(-LN(2)/2)*BR151+(1-EXP(-LN(2)/2))/(LN(2)/2)*BL152*BO152*VLOOKUP('Données projet'!$B$11,Paramètres!$A$1:$I$89,3,0)*0.475*44/12</f>
        <v>7.5411873884724425</v>
      </c>
      <c r="BS152" s="22">
        <f t="shared" si="117"/>
        <v>99.860843657758664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344.87047399999972</v>
      </c>
      <c r="CA152" s="13">
        <f t="shared" si="147"/>
        <v>80.505382686910082</v>
      </c>
      <c r="CB152" s="20">
        <f t="shared" si="118"/>
        <v>740.86295039636786</v>
      </c>
      <c r="CC152" s="59">
        <f t="shared" si="119"/>
        <v>1034.1962837297012</v>
      </c>
      <c r="CD152" s="59">
        <f ca="1">AVERAGE(OFFSET($CC$3,0,0,'Données projet'!$E$12+1,1))-AVERAGE(OFFSET($H$3,0,0,'Données projet'!$E$12+1,1))</f>
        <v>510.71380643466227</v>
      </c>
      <c r="CE152" s="59">
        <f t="shared" si="148"/>
        <v>252.40654099948841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20.536095122175059</v>
      </c>
      <c r="CL152" s="21">
        <f>EXP(-LN(2)/25)*CL151+(1-EXP(-LN(2)/25))/(LN(2)/25)*Calculateur!CG152*Calculateur!CI152*VLOOKUP('Données projet'!$B$12,Paramètres!$A$1:$I$89,3,0)*0.475*44/12</f>
        <v>18.680902031982356</v>
      </c>
      <c r="CM152" s="21">
        <f>EXP(-LN(2)/2)*CM151+(1-EXP(-LN(2)/2))/(LN(2)/2)*CG152*CJ152*VLOOKUP('Données projet'!$B$12,Paramètres!$A$1:$I$89,3,0)*0.475*44/12</f>
        <v>2.4897847403938216</v>
      </c>
      <c r="CN152" s="22">
        <f t="shared" si="120"/>
        <v>41.706781894551234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2.5579538487363607E-13</v>
      </c>
      <c r="CU152" s="17">
        <f>CT152*VLOOKUP('Données projet'!$B$13,Paramètres!$A$1:$I$89,3,0)*VLOOKUP('Données projet'!$B$13,Paramètres!$A$1:$I$89,5,0)</f>
        <v>2.7533815227798186E-13</v>
      </c>
      <c r="CV152" s="13">
        <f t="shared" si="149"/>
        <v>3.6763598146902537E-12</v>
      </c>
      <c r="CW152" s="20">
        <f t="shared" si="121"/>
        <v>6.88254062580301E-12</v>
      </c>
      <c r="CX152" s="59">
        <f t="shared" si="122"/>
        <v>293.33333333334019</v>
      </c>
      <c r="CY152" s="59">
        <f ca="1">AVERAGE(OFFSET($CX$3,0,0,'Données projet'!$E$13+1,1))-AVERAGE(OFFSET($H$3,0,0,'Données projet'!$E$13+1,1))</f>
        <v>502.65044103360322</v>
      </c>
      <c r="CZ152" s="59">
        <f t="shared" si="150"/>
        <v>321.65762891855167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92.247561683035045</v>
      </c>
      <c r="DG152" s="21">
        <f>EXP(-LN(2)/25)*DG151+(1-EXP(-LN(2)/25))/(LN(2)/25)*Calculateur!DB152*Calculateur!DD152*VLOOKUP('Données projet'!$B$13,Paramètres!$A$1:$I$89,3,0)*0.475*44/12</f>
        <v>16.537268366479317</v>
      </c>
      <c r="DH152" s="21">
        <f>EXP(-LN(2)/2)*DH151+(1-EXP(-LN(2)/2))/(LN(2)/2)*DB152*DE152*VLOOKUP('Données projet'!$B$13,Paramètres!$A$1:$I$89,3,0)*0.475*44/12</f>
        <v>1.1187547585574492E-2</v>
      </c>
      <c r="DI152" s="22">
        <f t="shared" si="123"/>
        <v>108.79601759709995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-25.899999999999977</v>
      </c>
      <c r="DP152" s="17">
        <f>DO152*VLOOKUP('Données projet'!$B$14,Paramètres!$A$1:$I$89,3,0)*VLOOKUP('Données projet'!$B$14,Paramètres!$A$1:$I$89,5,0)</f>
        <v>-13.171703999999989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63.94726564348116</v>
      </c>
      <c r="DU152" s="59">
        <f t="shared" si="152"/>
        <v>280.8165028422905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4.8333951064601415</v>
      </c>
      <c r="EB152" s="21">
        <f>EXP(-LN(2)/25)*EB151+(1-EXP(-LN(2)/25))/(LN(2)/25)*Calculateur!DW152*Calculateur!DY152*VLOOKUP('Données projet'!$B$14,Paramètres!$A$1:$I$89,3,0)*0.475*44/12</f>
        <v>0.23981442710990067</v>
      </c>
      <c r="EC152" s="21">
        <f>EXP(-LN(2)/2)*EC151+(1-EXP(-LN(2)/2))/(LN(2)/2)*DW152*DZ152*VLOOKUP('Données projet'!$B$14,Paramètres!$A$1:$I$89,3,0)*0.475*44/12</f>
        <v>1.1918916496225267E-19</v>
      </c>
      <c r="ED152" s="22">
        <f t="shared" si="126"/>
        <v>5.0732095335700418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-5.9685589803848416E-13</v>
      </c>
      <c r="O153" s="13">
        <f>N153*VLOOKUP('Données projet'!$B$9,Paramètres!$A$1:$I$89,3,0)*VLOOKUP('Données projet'!$B$9,Paramètres!$A$1:$I$89,5,0)</f>
        <v>-3.4140157367801295E-13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294.9631697747962</v>
      </c>
      <c r="T153" s="59">
        <f t="shared" si="142"/>
        <v>202.04924881627716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41.469549188841526</v>
      </c>
      <c r="AA153" s="21">
        <f>EXP(-LN(2)/25)*AA152+(1-EXP(-LN(2)/25))/(LN(2)/25)*Calculateur!V153*Calculateur!X153*VLOOKUP('Données projet'!$B$9,Paramètres!$A$1:$I$89,3,0)*0.475*44/12</f>
        <v>9.1839003519921221</v>
      </c>
      <c r="AB153" s="21">
        <f>EXP(-LN(2)/2)*AB152+(1-EXP(-LN(2)/2))/(LN(2)/2)*V153*Y153*VLOOKUP('Données projet'!$B$9,Paramètres!$A$1:$I$89,3,0)*0.475*44/12</f>
        <v>2.6164274865504783E-6</v>
      </c>
      <c r="AC153" s="22">
        <f t="shared" si="111"/>
        <v>50.653452157261135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349.71285006949597</v>
      </c>
      <c r="AO153" s="59">
        <f t="shared" si="144"/>
        <v>258.51550516456842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38.316867584413508</v>
      </c>
      <c r="AV153" s="21">
        <f>EXP(-LN(2)/25)*AV152+(1-EXP(-LN(2)/25))/(LN(2)/25)*Calculateur!AQ153*Calculateur!AS153*VLOOKUP('Données projet'!$B$10,Paramètres!$A$1:$I$89,3,0)*0.475*44/12</f>
        <v>7.4298344863480281</v>
      </c>
      <c r="AW153" s="21">
        <f>EXP(-LN(2)/2)*AW152+(1-EXP(-LN(2)/2))/(LN(2)/2)*AQ153*AT153*VLOOKUP('Données projet'!$B$10,Paramètres!$A$1:$I$89,3,0)*0.475*44/12</f>
        <v>2.0581251825557762E-9</v>
      </c>
      <c r="AX153" s="21">
        <f t="shared" si="114"/>
        <v>45.746702072819659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4.6025000000000063</v>
      </c>
      <c r="BD153" s="12">
        <f>IF('Données projet'!$A$88&gt;35,BD152+BC153-BL152,IF(A153&lt;'Données projet'!$A$88,$BA$205^A153,IF(A153='Données projet'!$A$88,'Données projet'!$B$88,BD152+BC153-BL152)))</f>
        <v>272.49250000000052</v>
      </c>
      <c r="BE153" s="13">
        <f>BD153*VLOOKUP('Données projet'!$B$11,Paramètres!$A$1:$I$89,3,0)*VLOOKUP('Données projet'!$B$11,Paramètres!$A$1:$I$89,5,0)</f>
        <v>246.55121400000044</v>
      </c>
      <c r="BF153" s="13">
        <f t="shared" si="145"/>
        <v>59.846839241174408</v>
      </c>
      <c r="BG153" s="20">
        <f t="shared" si="115"/>
        <v>533.64327606171275</v>
      </c>
      <c r="BH153" s="59">
        <f t="shared" si="116"/>
        <v>826.97660939504613</v>
      </c>
      <c r="BI153" s="59">
        <f ca="1">AVERAGE(OFFSET($BH$3,0,0,'Données projet'!$E$11+1,1))-AVERAGE(OFFSET($H$3,0,0,'Données projet'!$E$11+1,1))</f>
        <v>490.06222615476065</v>
      </c>
      <c r="BJ153" s="59">
        <f t="shared" si="146"/>
        <v>310.43914804089906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71.382935984072148</v>
      </c>
      <c r="BQ153" s="21">
        <f>EXP(-LN(2)/25)*BQ152+(1-EXP(-LN(2)/25))/(LN(2)/25)*Calculateur!BL153*Calculateur!BN153*VLOOKUP('Données projet'!$B$11,Paramètres!$A$1:$I$89,3,0)*0.475*44/12</f>
        <v>18.975473507417885</v>
      </c>
      <c r="BR153" s="21">
        <f>EXP(-LN(2)/2)*BR152+(1-EXP(-LN(2)/2))/(LN(2)/2)*BL153*BO153*VLOOKUP('Données projet'!$B$11,Paramètres!$A$1:$I$89,3,0)*0.475*44/12</f>
        <v>5.332424740587336</v>
      </c>
      <c r="BS153" s="22">
        <f t="shared" si="117"/>
        <v>95.690834232077378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352.14301199999971</v>
      </c>
      <c r="CA153" s="13">
        <f t="shared" si="147"/>
        <v>82.003622775261761</v>
      </c>
      <c r="CB153" s="20">
        <f t="shared" si="118"/>
        <v>756.13872223358032</v>
      </c>
      <c r="CC153" s="59">
        <f t="shared" si="119"/>
        <v>1049.4720555669137</v>
      </c>
      <c r="CD153" s="59">
        <f ca="1">AVERAGE(OFFSET($CC$3,0,0,'Données projet'!$E$12+1,1))-AVERAGE(OFFSET($H$3,0,0,'Données projet'!$E$12+1,1))</f>
        <v>510.71380643466227</v>
      </c>
      <c r="CE153" s="59">
        <f t="shared" si="148"/>
        <v>252.40654099948841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20.133394822610413</v>
      </c>
      <c r="CL153" s="21">
        <f>EXP(-LN(2)/25)*CL152+(1-EXP(-LN(2)/25))/(LN(2)/25)*Calculateur!CG153*Calculateur!CI153*VLOOKUP('Données projet'!$B$12,Paramètres!$A$1:$I$89,3,0)*0.475*44/12</f>
        <v>18.170071783531856</v>
      </c>
      <c r="CM153" s="21">
        <f>EXP(-LN(2)/2)*CM152+(1-EXP(-LN(2)/2))/(LN(2)/2)*CG153*CJ153*VLOOKUP('Données projet'!$B$12,Paramètres!$A$1:$I$89,3,0)*0.475*44/12</f>
        <v>1.7605436736272591</v>
      </c>
      <c r="CN153" s="22">
        <f t="shared" si="120"/>
        <v>40.064010279769526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2.5579538487363607E-13</v>
      </c>
      <c r="CU153" s="17">
        <f>CT153*VLOOKUP('Données projet'!$B$13,Paramètres!$A$1:$I$89,3,0)*VLOOKUP('Données projet'!$B$13,Paramètres!$A$1:$I$89,5,0)</f>
        <v>2.7533815227798186E-13</v>
      </c>
      <c r="CV153" s="13">
        <f t="shared" si="149"/>
        <v>3.6763598146902537E-12</v>
      </c>
      <c r="CW153" s="20">
        <f t="shared" si="121"/>
        <v>6.88254062580301E-12</v>
      </c>
      <c r="CX153" s="59">
        <f t="shared" si="122"/>
        <v>293.33333333334019</v>
      </c>
      <c r="CY153" s="59">
        <f ca="1">AVERAGE(OFFSET($CX$3,0,0,'Données projet'!$E$13+1,1))-AVERAGE(OFFSET($H$3,0,0,'Données projet'!$E$13+1,1))</f>
        <v>502.65044103360322</v>
      </c>
      <c r="CZ153" s="59">
        <f t="shared" si="150"/>
        <v>321.65762891855167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90.438643263887599</v>
      </c>
      <c r="DG153" s="21">
        <f>EXP(-LN(2)/25)*DG152+(1-EXP(-LN(2)/25))/(LN(2)/25)*Calculateur!DB153*Calculateur!DD153*VLOOKUP('Données projet'!$B$13,Paramètres!$A$1:$I$89,3,0)*0.475*44/12</f>
        <v>16.085055893340794</v>
      </c>
      <c r="DH153" s="21">
        <f>EXP(-LN(2)/2)*DH152+(1-EXP(-LN(2)/2))/(LN(2)/2)*DB153*DE153*VLOOKUP('Données projet'!$B$13,Paramètres!$A$1:$I$89,3,0)*0.475*44/12</f>
        <v>7.9107907626069108E-3</v>
      </c>
      <c r="DI153" s="22">
        <f t="shared" si="123"/>
        <v>106.531609947991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-25.899999999999977</v>
      </c>
      <c r="DP153" s="17">
        <f>DO153*VLOOKUP('Données projet'!$B$14,Paramètres!$A$1:$I$89,3,0)*VLOOKUP('Données projet'!$B$14,Paramètres!$A$1:$I$89,5,0)</f>
        <v>-13.171703999999989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63.94726564348116</v>
      </c>
      <c r="DU153" s="59">
        <f t="shared" si="152"/>
        <v>280.8165028422905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4.7386151765023747</v>
      </c>
      <c r="EB153" s="21">
        <f>EXP(-LN(2)/25)*EB152+(1-EXP(-LN(2)/25))/(LN(2)/25)*Calculateur!DW153*Calculateur!DY153*VLOOKUP('Données projet'!$B$14,Paramètres!$A$1:$I$89,3,0)*0.475*44/12</f>
        <v>0.23325668898928781</v>
      </c>
      <c r="EC153" s="21">
        <f>EXP(-LN(2)/2)*EC152+(1-EXP(-LN(2)/2))/(LN(2)/2)*DW153*DZ153*VLOOKUP('Données projet'!$B$14,Paramètres!$A$1:$I$89,3,0)*0.475*44/12</f>
        <v>8.4279466788770916E-20</v>
      </c>
      <c r="ED153" s="22">
        <f t="shared" si="126"/>
        <v>4.9718718654916625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-5.9685589803848416E-13</v>
      </c>
      <c r="O154" s="13">
        <f>N154*VLOOKUP('Données projet'!$B$9,Paramètres!$A$1:$I$89,3,0)*VLOOKUP('Données projet'!$B$9,Paramètres!$A$1:$I$89,5,0)</f>
        <v>-3.4140157367801295E-13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294.9631697747962</v>
      </c>
      <c r="T154" s="59">
        <f t="shared" si="142"/>
        <v>202.04924881627716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40.656356623175782</v>
      </c>
      <c r="AA154" s="21">
        <f>EXP(-LN(2)/25)*AA153+(1-EXP(-LN(2)/25))/(LN(2)/25)*Calculateur!V154*Calculateur!X154*VLOOKUP('Données projet'!$B$9,Paramètres!$A$1:$I$89,3,0)*0.475*44/12</f>
        <v>8.9327661139065686</v>
      </c>
      <c r="AB154" s="21">
        <f>EXP(-LN(2)/2)*AB153+(1-EXP(-LN(2)/2))/(LN(2)/2)*V154*Y154*VLOOKUP('Données projet'!$B$9,Paramètres!$A$1:$I$89,3,0)*0.475*44/12</f>
        <v>1.8500936182227176E-6</v>
      </c>
      <c r="AC154" s="22">
        <f t="shared" ref="AC154:AC203" si="163">SUM(Z154:AB154)</f>
        <v>49.589124587175966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349.71285006949597</v>
      </c>
      <c r="AO154" s="59">
        <f t="shared" si="144"/>
        <v>258.51550516456842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37.565497182064696</v>
      </c>
      <c r="AV154" s="21">
        <f>EXP(-LN(2)/25)*AV153+(1-EXP(-LN(2)/25))/(LN(2)/25)*Calculateur!AQ154*Calculateur!AS154*VLOOKUP('Données projet'!$B$10,Paramètres!$A$1:$I$89,3,0)*0.475*44/12</f>
        <v>7.2266652716008268</v>
      </c>
      <c r="AW154" s="21">
        <f>EXP(-LN(2)/2)*AW153+(1-EXP(-LN(2)/2))/(LN(2)/2)*AQ154*AT154*VLOOKUP('Données projet'!$B$10,Paramètres!$A$1:$I$89,3,0)*0.475*44/12</f>
        <v>1.4553142731159904E-9</v>
      </c>
      <c r="AX154" s="21">
        <f t="shared" ref="AX154:AX203" si="166">SUM(AU154:AW154)</f>
        <v>44.792162455120838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4.6025000000000063</v>
      </c>
      <c r="BD154" s="12">
        <f>IF('Données projet'!$A$88&gt;35,BD153+BC154-BL153,IF(A154&lt;'Données projet'!$A$88,$BA$205^A154,IF(A154='Données projet'!$A$88,'Données projet'!$B$88,BD153+BC154-BL153)))</f>
        <v>277.09500000000054</v>
      </c>
      <c r="BE154" s="13">
        <f>BD154*VLOOKUP('Données projet'!$B$11,Paramètres!$A$1:$I$89,3,0)*VLOOKUP('Données projet'!$B$11,Paramètres!$A$1:$I$89,5,0)</f>
        <v>250.71555600000048</v>
      </c>
      <c r="BF154" s="13">
        <f t="shared" ref="BF154:BF203" si="167">EXP(-1.0587+0.8836*LN(BE154)+0.284)</f>
        <v>60.739140902774786</v>
      </c>
      <c r="BG154" s="20">
        <f t="shared" ref="BG154:BG203" si="168">(BE154+BF154)*0.475*44/12</f>
        <v>542.45026377233353</v>
      </c>
      <c r="BH154" s="59">
        <f t="shared" si="116"/>
        <v>835.78359710566679</v>
      </c>
      <c r="BI154" s="59">
        <f ca="1">AVERAGE(OFFSET($BH$3,0,0,'Données projet'!$E$11+1,1))-AVERAGE(OFFSET($H$3,0,0,'Données projet'!$E$11+1,1))</f>
        <v>490.06222615476065</v>
      </c>
      <c r="BJ154" s="59">
        <f t="shared" si="146"/>
        <v>310.43914804089906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69.983160148716294</v>
      </c>
      <c r="BQ154" s="21">
        <f>EXP(-LN(2)/25)*BQ153+(1-EXP(-LN(2)/25))/(LN(2)/25)*Calculateur!BL154*Calculateur!BN154*VLOOKUP('Données projet'!$B$11,Paramètres!$A$1:$I$89,3,0)*0.475*44/12</f>
        <v>18.456588186480761</v>
      </c>
      <c r="BR154" s="21">
        <f>EXP(-LN(2)/2)*BR153+(1-EXP(-LN(2)/2))/(LN(2)/2)*BL154*BO154*VLOOKUP('Données projet'!$B$11,Paramètres!$A$1:$I$89,3,0)*0.475*44/12</f>
        <v>3.7705936942362221</v>
      </c>
      <c r="BS154" s="22">
        <f t="shared" ref="BS154:BS203" si="169">SUM(BP154:BR154)</f>
        <v>92.210342029433278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359.41554999999971</v>
      </c>
      <c r="CA154" s="13">
        <f t="shared" ref="CA154:CA203" si="170">EXP(-1.0587+0.8836*LN(BZ154)+0.284)</f>
        <v>83.498265270422635</v>
      </c>
      <c r="CB154" s="20">
        <f t="shared" ref="CB154:CB203" si="171">(BZ154+CA154)*0.475*44/12</f>
        <v>771.40822826265219</v>
      </c>
      <c r="CC154" s="59">
        <f t="shared" si="119"/>
        <v>1064.7415615959856</v>
      </c>
      <c r="CD154" s="59">
        <f ca="1">AVERAGE(OFFSET($CC$3,0,0,'Données projet'!$E$12+1,1))-AVERAGE(OFFSET($H$3,0,0,'Données projet'!$E$12+1,1))</f>
        <v>510.71380643466227</v>
      </c>
      <c r="CE154" s="59">
        <f t="shared" si="148"/>
        <v>252.40654099948841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19.738591230297299</v>
      </c>
      <c r="CL154" s="21">
        <f>EXP(-LN(2)/25)*CL153+(1-EXP(-LN(2)/25))/(LN(2)/25)*Calculateur!CG154*Calculateur!CI154*VLOOKUP('Données projet'!$B$12,Paramètres!$A$1:$I$89,3,0)*0.475*44/12</f>
        <v>17.673210215088631</v>
      </c>
      <c r="CM154" s="21">
        <f>EXP(-LN(2)/2)*CM153+(1-EXP(-LN(2)/2))/(LN(2)/2)*CG154*CJ154*VLOOKUP('Données projet'!$B$12,Paramètres!$A$1:$I$89,3,0)*0.475*44/12</f>
        <v>1.2448923701969108</v>
      </c>
      <c r="CN154" s="22">
        <f t="shared" ref="CN154:CN203" si="172">SUM(CK154:CM154)</f>
        <v>38.656693815582841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2.5579538487363607E-13</v>
      </c>
      <c r="CU154" s="17">
        <f>CT154*VLOOKUP('Données projet'!$B$13,Paramètres!$A$1:$I$89,3,0)*VLOOKUP('Données projet'!$B$13,Paramètres!$A$1:$I$89,5,0)</f>
        <v>2.7533815227798186E-13</v>
      </c>
      <c r="CV154" s="13">
        <f t="shared" ref="CV154:CV203" si="173">EXP(-1.0587+0.8836*LN(CU154)+0.284)</f>
        <v>3.6763598146902537E-12</v>
      </c>
      <c r="CW154" s="20">
        <f t="shared" ref="CW154:CW203" si="174">(CU154+CV154)*0.475*44/12</f>
        <v>6.88254062580301E-12</v>
      </c>
      <c r="CX154" s="59">
        <f t="shared" si="122"/>
        <v>293.33333333334019</v>
      </c>
      <c r="CY154" s="59">
        <f ca="1">AVERAGE(OFFSET($CX$3,0,0,'Données projet'!$E$13+1,1))-AVERAGE(OFFSET($H$3,0,0,'Données projet'!$E$13+1,1))</f>
        <v>502.65044103360322</v>
      </c>
      <c r="CZ154" s="59">
        <f t="shared" si="150"/>
        <v>321.65762891855167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88.665196631608353</v>
      </c>
      <c r="DG154" s="21">
        <f>EXP(-LN(2)/25)*DG153+(1-EXP(-LN(2)/25))/(LN(2)/25)*Calculateur!DB154*Calculateur!DD154*VLOOKUP('Données projet'!$B$13,Paramètres!$A$1:$I$89,3,0)*0.475*44/12</f>
        <v>15.645209194061064</v>
      </c>
      <c r="DH154" s="21">
        <f>EXP(-LN(2)/2)*DH153+(1-EXP(-LN(2)/2))/(LN(2)/2)*DB154*DE154*VLOOKUP('Données projet'!$B$13,Paramètres!$A$1:$I$89,3,0)*0.475*44/12</f>
        <v>5.5937737927872462E-3</v>
      </c>
      <c r="DI154" s="22">
        <f t="shared" ref="DI154:DI203" si="175">SUM(DF154:DH154)</f>
        <v>104.3159995994622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-25.899999999999977</v>
      </c>
      <c r="DP154" s="17">
        <f>DO154*VLOOKUP('Données projet'!$B$14,Paramètres!$A$1:$I$89,3,0)*VLOOKUP('Données projet'!$B$14,Paramètres!$A$1:$I$89,5,0)</f>
        <v>-13.171703999999989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63.94726564348116</v>
      </c>
      <c r="DU154" s="59">
        <f t="shared" si="152"/>
        <v>280.8165028422905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4.6456938231610305</v>
      </c>
      <c r="EB154" s="21">
        <f>EXP(-LN(2)/25)*EB153+(1-EXP(-LN(2)/25))/(LN(2)/25)*Calculateur!DW154*Calculateur!DY154*VLOOKUP('Données projet'!$B$14,Paramètres!$A$1:$I$89,3,0)*0.475*44/12</f>
        <v>0.22687827256243959</v>
      </c>
      <c r="EC154" s="21">
        <f>EXP(-LN(2)/2)*EC153+(1-EXP(-LN(2)/2))/(LN(2)/2)*DW154*DZ154*VLOOKUP('Données projet'!$B$14,Paramètres!$A$1:$I$89,3,0)*0.475*44/12</f>
        <v>5.9594582481126334E-20</v>
      </c>
      <c r="ED154" s="22">
        <f t="shared" ref="ED154:ED203" si="178">SUM(EA154:EC154)</f>
        <v>4.8725720957234699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-5.9685589803848416E-13</v>
      </c>
      <c r="O155" s="13">
        <f>N155*VLOOKUP('Données projet'!$B$9,Paramètres!$A$1:$I$89,3,0)*VLOOKUP('Données projet'!$B$9,Paramètres!$A$1:$I$89,5,0)</f>
        <v>-3.4140157367801295E-13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294.9631697747962</v>
      </c>
      <c r="T155" s="59">
        <f t="shared" si="142"/>
        <v>202.04924881627716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39.859110267724255</v>
      </c>
      <c r="AA155" s="21">
        <f>EXP(-LN(2)/25)*AA154+(1-EXP(-LN(2)/25))/(LN(2)/25)*Calculateur!V155*Calculateur!X155*VLOOKUP('Données projet'!$B$9,Paramètres!$A$1:$I$89,3,0)*0.475*44/12</f>
        <v>8.6884991547680404</v>
      </c>
      <c r="AB155" s="21">
        <f>EXP(-LN(2)/2)*AB154+(1-EXP(-LN(2)/2))/(LN(2)/2)*V155*Y155*VLOOKUP('Données projet'!$B$9,Paramètres!$A$1:$I$89,3,0)*0.475*44/12</f>
        <v>1.3082137432752393E-6</v>
      </c>
      <c r="AC155" s="22">
        <f t="shared" si="163"/>
        <v>48.547610730706033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349.71285006949597</v>
      </c>
      <c r="AO155" s="59">
        <f t="shared" si="144"/>
        <v>258.51550516456842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36.828860695015251</v>
      </c>
      <c r="AV155" s="21">
        <f>EXP(-LN(2)/25)*AV154+(1-EXP(-LN(2)/25))/(LN(2)/25)*Calculateur!AQ155*Calculateur!AS155*VLOOKUP('Données projet'!$B$10,Paramètres!$A$1:$I$89,3,0)*0.475*44/12</f>
        <v>7.0290517297150927</v>
      </c>
      <c r="AW155" s="21">
        <f>EXP(-LN(2)/2)*AW154+(1-EXP(-LN(2)/2))/(LN(2)/2)*AQ155*AT155*VLOOKUP('Données projet'!$B$10,Paramètres!$A$1:$I$89,3,0)*0.475*44/12</f>
        <v>1.0290625912778881E-9</v>
      </c>
      <c r="AX155" s="21">
        <f t="shared" si="166"/>
        <v>43.857912425759409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4.6025000000000063</v>
      </c>
      <c r="BD155" s="12">
        <f>IF('Données projet'!$A$88&gt;35,BD154+BC155-BL154,IF(A155&lt;'Données projet'!$A$88,$BA$205^A155,IF(A155='Données projet'!$A$88,'Données projet'!$B$88,BD154+BC155-BL154)))</f>
        <v>281.69750000000056</v>
      </c>
      <c r="BE155" s="13">
        <f>BD155*VLOOKUP('Données projet'!$B$11,Paramètres!$A$1:$I$89,3,0)*VLOOKUP('Données projet'!$B$11,Paramètres!$A$1:$I$89,5,0)</f>
        <v>254.87989800000048</v>
      </c>
      <c r="BF155" s="13">
        <f t="shared" si="167"/>
        <v>61.629718985583246</v>
      </c>
      <c r="BG155" s="20">
        <f t="shared" si="168"/>
        <v>551.25424958322492</v>
      </c>
      <c r="BH155" s="59">
        <f t="shared" si="116"/>
        <v>844.58758291655818</v>
      </c>
      <c r="BI155" s="59">
        <f ca="1">AVERAGE(OFFSET($BH$3,0,0,'Données projet'!$E$11+1,1))-AVERAGE(OFFSET($H$3,0,0,'Données projet'!$E$11+1,1))</f>
        <v>490.06222615476065</v>
      </c>
      <c r="BJ155" s="59">
        <f t="shared" si="146"/>
        <v>310.43914804089906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68.610833063712818</v>
      </c>
      <c r="BQ155" s="21">
        <f>EXP(-LN(2)/25)*BQ154+(1-EXP(-LN(2)/25))/(LN(2)/25)*Calculateur!BL155*Calculateur!BN155*VLOOKUP('Données projet'!$B$11,Paramètres!$A$1:$I$89,3,0)*0.475*44/12</f>
        <v>17.951891811931656</v>
      </c>
      <c r="BR155" s="21">
        <f>EXP(-LN(2)/2)*BR154+(1-EXP(-LN(2)/2))/(LN(2)/2)*BL155*BO155*VLOOKUP('Données projet'!$B$11,Paramètres!$A$1:$I$89,3,0)*0.475*44/12</f>
        <v>2.6662123702936684</v>
      </c>
      <c r="BS155" s="22">
        <f t="shared" si="169"/>
        <v>89.228937245938141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366.68808799999971</v>
      </c>
      <c r="CA155" s="13">
        <f t="shared" si="170"/>
        <v>84.989391356215521</v>
      </c>
      <c r="CB155" s="20">
        <f t="shared" si="171"/>
        <v>786.67160987874149</v>
      </c>
      <c r="CC155" s="59">
        <f t="shared" si="119"/>
        <v>1080.0049432120747</v>
      </c>
      <c r="CD155" s="59">
        <f ca="1">AVERAGE(OFFSET($CC$3,0,0,'Données projet'!$E$12+1,1))-AVERAGE(OFFSET($H$3,0,0,'Données projet'!$E$12+1,1))</f>
        <v>510.71380643466227</v>
      </c>
      <c r="CE155" s="59">
        <f t="shared" si="148"/>
        <v>252.40654099948841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19.351529495623033</v>
      </c>
      <c r="CL155" s="21">
        <f>EXP(-LN(2)/25)*CL154+(1-EXP(-LN(2)/25))/(LN(2)/25)*Calculateur!CG155*Calculateur!CI155*VLOOKUP('Données projet'!$B$12,Paramètres!$A$1:$I$89,3,0)*0.475*44/12</f>
        <v>17.1899353523633</v>
      </c>
      <c r="CM155" s="21">
        <f>EXP(-LN(2)/2)*CM154+(1-EXP(-LN(2)/2))/(LN(2)/2)*CG155*CJ155*VLOOKUP('Données projet'!$B$12,Paramètres!$A$1:$I$89,3,0)*0.475*44/12</f>
        <v>0.88027183681362953</v>
      </c>
      <c r="CN155" s="22">
        <f t="shared" si="172"/>
        <v>37.42173668479996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2.5579538487363607E-13</v>
      </c>
      <c r="CU155" s="17">
        <f>CT155*VLOOKUP('Données projet'!$B$13,Paramètres!$A$1:$I$89,3,0)*VLOOKUP('Données projet'!$B$13,Paramètres!$A$1:$I$89,5,0)</f>
        <v>2.7533815227798186E-13</v>
      </c>
      <c r="CV155" s="13">
        <f t="shared" si="173"/>
        <v>3.6763598146902537E-12</v>
      </c>
      <c r="CW155" s="20">
        <f t="shared" si="174"/>
        <v>6.88254062580301E-12</v>
      </c>
      <c r="CX155" s="59">
        <f t="shared" si="122"/>
        <v>293.33333333334019</v>
      </c>
      <c r="CY155" s="59">
        <f ca="1">AVERAGE(OFFSET($CX$3,0,0,'Données projet'!$E$13+1,1))-AVERAGE(OFFSET($H$3,0,0,'Données projet'!$E$13+1,1))</f>
        <v>502.65044103360322</v>
      </c>
      <c r="CZ155" s="59">
        <f t="shared" si="150"/>
        <v>321.65762891855167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86.926526206092461</v>
      </c>
      <c r="DG155" s="21">
        <f>EXP(-LN(2)/25)*DG154+(1-EXP(-LN(2)/25))/(LN(2)/25)*Calculateur!DB155*Calculateur!DD155*VLOOKUP('Données projet'!$B$13,Paramètres!$A$1:$I$89,3,0)*0.475*44/12</f>
        <v>15.21739012590367</v>
      </c>
      <c r="DH155" s="21">
        <f>EXP(-LN(2)/2)*DH154+(1-EXP(-LN(2)/2))/(LN(2)/2)*DB155*DE155*VLOOKUP('Données projet'!$B$13,Paramètres!$A$1:$I$89,3,0)*0.475*44/12</f>
        <v>3.9553953813034554E-3</v>
      </c>
      <c r="DI155" s="22">
        <f t="shared" si="175"/>
        <v>102.14787172737744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-25.899999999999977</v>
      </c>
      <c r="DP155" s="17">
        <f>DO155*VLOOKUP('Données projet'!$B$14,Paramètres!$A$1:$I$89,3,0)*VLOOKUP('Données projet'!$B$14,Paramètres!$A$1:$I$89,5,0)</f>
        <v>-13.171703999999989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63.94726564348116</v>
      </c>
      <c r="DU155" s="59">
        <f t="shared" si="152"/>
        <v>280.8165028422905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4.5545946008822806</v>
      </c>
      <c r="EB155" s="21">
        <f>EXP(-LN(2)/25)*EB154+(1-EXP(-LN(2)/25))/(LN(2)/25)*Calculateur!DW155*Calculateur!DY155*VLOOKUP('Données projet'!$B$14,Paramètres!$A$1:$I$89,3,0)*0.475*44/12</f>
        <v>0.22067427426820985</v>
      </c>
      <c r="EC155" s="21">
        <f>EXP(-LN(2)/2)*EC154+(1-EXP(-LN(2)/2))/(LN(2)/2)*DW155*DZ155*VLOOKUP('Données projet'!$B$14,Paramètres!$A$1:$I$89,3,0)*0.475*44/12</f>
        <v>4.2139733394385458E-20</v>
      </c>
      <c r="ED155" s="22">
        <f t="shared" si="178"/>
        <v>4.7752688751504904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-5.9685589803848416E-13</v>
      </c>
      <c r="O156" s="13">
        <f>N156*VLOOKUP('Données projet'!$B$9,Paramètres!$A$1:$I$89,3,0)*VLOOKUP('Données projet'!$B$9,Paramètres!$A$1:$I$89,5,0)</f>
        <v>-3.4140157367801295E-13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294.9631697747962</v>
      </c>
      <c r="T156" s="59">
        <f t="shared" si="142"/>
        <v>202.04924881627716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39.07749742703087</v>
      </c>
      <c r="AA156" s="21">
        <f>EXP(-LN(2)/25)*AA155+(1-EXP(-LN(2)/25))/(LN(2)/25)*Calculateur!V156*Calculateur!X156*VLOOKUP('Données projet'!$B$9,Paramètres!$A$1:$I$89,3,0)*0.475*44/12</f>
        <v>8.4509116884725959</v>
      </c>
      <c r="AB156" s="21">
        <f>EXP(-LN(2)/2)*AB155+(1-EXP(-LN(2)/2))/(LN(2)/2)*V156*Y156*VLOOKUP('Données projet'!$B$9,Paramètres!$A$1:$I$89,3,0)*0.475*44/12</f>
        <v>9.25046809111359E-7</v>
      </c>
      <c r="AC156" s="22">
        <f t="shared" si="163"/>
        <v>47.528410040550277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349.71285006949597</v>
      </c>
      <c r="AO156" s="59">
        <f t="shared" si="144"/>
        <v>258.51550516456842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36.106669200172952</v>
      </c>
      <c r="AV156" s="21">
        <f>EXP(-LN(2)/25)*AV155+(1-EXP(-LN(2)/25))/(LN(2)/25)*Calculateur!AQ156*Calculateur!AS156*VLOOKUP('Données projet'!$B$10,Paramètres!$A$1:$I$89,3,0)*0.475*44/12</f>
        <v>6.836841940524268</v>
      </c>
      <c r="AW156" s="21">
        <f>EXP(-LN(2)/2)*AW155+(1-EXP(-LN(2)/2))/(LN(2)/2)*AQ156*AT156*VLOOKUP('Données projet'!$B$10,Paramètres!$A$1:$I$89,3,0)*0.475*44/12</f>
        <v>7.2765713655799521E-10</v>
      </c>
      <c r="AX156" s="21">
        <f t="shared" si="166"/>
        <v>42.943511141424878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4.6025000000000063</v>
      </c>
      <c r="BC156" s="12">
        <f t="array" ref="BC156">INDEX(BB:BB,MIN(IF(ISNUMBER(BB156:BB352),ROW(BB156:BB352),"")))</f>
        <v>4.6025000000000063</v>
      </c>
      <c r="BD156" s="12">
        <f>IF('Données projet'!$A$88&gt;35,BD155+BC156-BL155,IF(A156&lt;'Données projet'!$A$88,$BA$205^A156,IF(A156='Données projet'!$A$88,'Données projet'!$B$88,BD155+BC156-BL155)))</f>
        <v>286.30000000000058</v>
      </c>
      <c r="BE156" s="13">
        <f>BD156*VLOOKUP('Données projet'!$B$11,Paramètres!$A$1:$I$89,3,0)*VLOOKUP('Données projet'!$B$11,Paramètres!$A$1:$I$89,5,0)</f>
        <v>259.04424000000051</v>
      </c>
      <c r="BF156" s="13">
        <f t="shared" si="167"/>
        <v>62.518604901036426</v>
      </c>
      <c r="BG156" s="20">
        <f t="shared" si="168"/>
        <v>560.0552882026393</v>
      </c>
      <c r="BH156" s="59">
        <f t="shared" si="116"/>
        <v>853.38862153597256</v>
      </c>
      <c r="BI156" s="59">
        <f ca="1">AVERAGE(OFFSET($BH$3,0,0,'Données projet'!$E$11+1,1))-AVERAGE(OFFSET($H$3,0,0,'Données projet'!$E$11+1,1))</f>
        <v>490.06222615476065</v>
      </c>
      <c r="BJ156" s="59">
        <f t="shared" si="146"/>
        <v>310.43914804089906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102.89000000000001</v>
      </c>
      <c r="BM156" s="16">
        <f>IF(ISNA(VLOOKUP(A156,'Données projet'!$A$87:$I$107,5,0)),0%,VLOOKUP(A156,'Données projet'!$A$87:$I$107,5,0)*VLOOKUP('Données projet'!$B$11,Paramètres!$A$1:$I$89,7,0))</f>
        <v>0.19350000000000001</v>
      </c>
      <c r="BN156" s="16">
        <f>IF(ISNA(VLOOKUP(A156,'Données projet'!$A$87:$I$107,6,0)),0%,VLOOKUP(A156,'Données projet'!$A$87:$I$107,6,0)*VLOOKUP('Données projet'!$B$11,Paramètres!$A$1:$I$89,7,0))</f>
        <v>2.1500000000000002E-2</v>
      </c>
      <c r="BO156" s="16">
        <f>IF(ISNA(VLOOKUP(A156,'Données projet'!$A$87:$I$107,7,0)),0%,VLOOKUP(A156,'Données projet'!$A$87:$I$107,7,0))</f>
        <v>0.05</v>
      </c>
      <c r="BP156" s="21">
        <f>EXP(-LN(2)/35)*BP155+(1-EXP(-LN(2)/35))/(LN(2)/35)*BL156*BM156*VLOOKUP('Données projet'!$B$11,Paramètres!$A$1:$I$89,3,0)*0.475*44/12</f>
        <v>87.179202619655996</v>
      </c>
      <c r="BQ156" s="21">
        <f>EXP(-LN(2)/25)*BQ155+(1-EXP(-LN(2)/25))/(LN(2)/25)*Calculateur!BL156*Calculateur!BN156*VLOOKUP('Données projet'!$B$11,Paramètres!$A$1:$I$89,3,0)*0.475*44/12</f>
        <v>19.664927272957744</v>
      </c>
      <c r="BR156" s="21">
        <f>EXP(-LN(2)/2)*BR155+(1-EXP(-LN(2)/2))/(LN(2)/2)*BL156*BO156*VLOOKUP('Données projet'!$B$11,Paramètres!$A$1:$I$89,3,0)*0.475*44/12</f>
        <v>6.2771727143052889</v>
      </c>
      <c r="BS156" s="22">
        <f t="shared" si="169"/>
        <v>113.12130260691903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373.96062599999971</v>
      </c>
      <c r="CA156" s="13">
        <f t="shared" si="170"/>
        <v>86.477078812062814</v>
      </c>
      <c r="CB156" s="20">
        <f t="shared" si="171"/>
        <v>801.92900254767562</v>
      </c>
      <c r="CC156" s="59">
        <f t="shared" si="119"/>
        <v>1095.262335881009</v>
      </c>
      <c r="CD156" s="59">
        <f ca="1">AVERAGE(OFFSET($CC$3,0,0,'Données projet'!$E$12+1,1))-AVERAGE(OFFSET($H$3,0,0,'Données projet'!$E$12+1,1))</f>
        <v>510.71380643466227</v>
      </c>
      <c r="CE156" s="59">
        <f t="shared" si="148"/>
        <v>252.40654099948841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18.972057805481381</v>
      </c>
      <c r="CL156" s="21">
        <f>EXP(-LN(2)/25)*CL155+(1-EXP(-LN(2)/25))/(LN(2)/25)*Calculateur!CG156*Calculateur!CI156*VLOOKUP('Données projet'!$B$12,Paramètres!$A$1:$I$89,3,0)*0.475*44/12</f>
        <v>16.719875666173515</v>
      </c>
      <c r="CM156" s="21">
        <f>EXP(-LN(2)/2)*CM155+(1-EXP(-LN(2)/2))/(LN(2)/2)*CG156*CJ156*VLOOKUP('Données projet'!$B$12,Paramètres!$A$1:$I$89,3,0)*0.475*44/12</f>
        <v>0.6224461850984554</v>
      </c>
      <c r="CN156" s="22">
        <f t="shared" si="172"/>
        <v>36.314379656753346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2.5579538487363607E-13</v>
      </c>
      <c r="CU156" s="17">
        <f>CT156*VLOOKUP('Données projet'!$B$13,Paramètres!$A$1:$I$89,3,0)*VLOOKUP('Données projet'!$B$13,Paramètres!$A$1:$I$89,5,0)</f>
        <v>2.7533815227798186E-13</v>
      </c>
      <c r="CV156" s="13">
        <f t="shared" si="173"/>
        <v>3.6763598146902537E-12</v>
      </c>
      <c r="CW156" s="20">
        <f t="shared" si="174"/>
        <v>6.88254062580301E-12</v>
      </c>
      <c r="CX156" s="59">
        <f t="shared" si="122"/>
        <v>293.33333333334019</v>
      </c>
      <c r="CY156" s="59">
        <f ca="1">AVERAGE(OFFSET($CX$3,0,0,'Données projet'!$E$13+1,1))-AVERAGE(OFFSET($H$3,0,0,'Données projet'!$E$13+1,1))</f>
        <v>502.65044103360322</v>
      </c>
      <c r="CZ156" s="59">
        <f t="shared" si="150"/>
        <v>321.65762891855167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85.221950047136687</v>
      </c>
      <c r="DG156" s="21">
        <f>EXP(-LN(2)/25)*DG155+(1-EXP(-LN(2)/25))/(LN(2)/25)*Calculateur!DB156*Calculateur!DD156*VLOOKUP('Données projet'!$B$13,Paramètres!$A$1:$I$89,3,0)*0.475*44/12</f>
        <v>14.801269792663067</v>
      </c>
      <c r="DH156" s="21">
        <f>EXP(-LN(2)/2)*DH155+(1-EXP(-LN(2)/2))/(LN(2)/2)*DB156*DE156*VLOOKUP('Données projet'!$B$13,Paramètres!$A$1:$I$89,3,0)*0.475*44/12</f>
        <v>2.7968868963936231E-3</v>
      </c>
      <c r="DI156" s="22">
        <f t="shared" si="175"/>
        <v>100.02601672669614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-25.899999999999977</v>
      </c>
      <c r="DP156" s="17">
        <f>DO156*VLOOKUP('Données projet'!$B$14,Paramètres!$A$1:$I$89,3,0)*VLOOKUP('Données projet'!$B$14,Paramètres!$A$1:$I$89,5,0)</f>
        <v>-13.171703999999989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63.94726564348116</v>
      </c>
      <c r="DU156" s="59">
        <f t="shared" si="152"/>
        <v>280.8165028422905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4.4652817787873778</v>
      </c>
      <c r="EB156" s="21">
        <f>EXP(-LN(2)/25)*EB155+(1-EXP(-LN(2)/25))/(LN(2)/25)*Calculateur!DW156*Calculateur!DY156*VLOOKUP('Données projet'!$B$14,Paramètres!$A$1:$I$89,3,0)*0.475*44/12</f>
        <v>0.21463992463358991</v>
      </c>
      <c r="EC156" s="21">
        <f>EXP(-LN(2)/2)*EC155+(1-EXP(-LN(2)/2))/(LN(2)/2)*DW156*DZ156*VLOOKUP('Données projet'!$B$14,Paramètres!$A$1:$I$89,3,0)*0.475*44/12</f>
        <v>2.9797291240563167E-20</v>
      </c>
      <c r="ED156" s="22">
        <f t="shared" si="178"/>
        <v>4.6799217034209679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-5.9685589803848416E-13</v>
      </c>
      <c r="O157" s="13">
        <f>N157*VLOOKUP('Données projet'!$B$9,Paramètres!$A$1:$I$89,3,0)*VLOOKUP('Données projet'!$B$9,Paramètres!$A$1:$I$89,5,0)</f>
        <v>-3.4140157367801295E-13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294.9631697747962</v>
      </c>
      <c r="T157" s="59">
        <f t="shared" si="142"/>
        <v>202.04924881627716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38.31121153740672</v>
      </c>
      <c r="AA157" s="21">
        <f>EXP(-LN(2)/25)*AA156+(1-EXP(-LN(2)/25))/(LN(2)/25)*Calculateur!V157*Calculateur!X157*VLOOKUP('Données projet'!$B$9,Paramètres!$A$1:$I$89,3,0)*0.475*44/12</f>
        <v>8.2198210639371823</v>
      </c>
      <c r="AB157" s="21">
        <f>EXP(-LN(2)/2)*AB156+(1-EXP(-LN(2)/2))/(LN(2)/2)*V157*Y157*VLOOKUP('Données projet'!$B$9,Paramètres!$A$1:$I$89,3,0)*0.475*44/12</f>
        <v>6.5410687163761978E-7</v>
      </c>
      <c r="AC157" s="22">
        <f t="shared" si="163"/>
        <v>46.531033255450772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349.71285006949597</v>
      </c>
      <c r="AO157" s="59">
        <f t="shared" si="144"/>
        <v>258.51550516456842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35.398639440051191</v>
      </c>
      <c r="AV157" s="21">
        <f>EXP(-LN(2)/25)*AV156+(1-EXP(-LN(2)/25))/(LN(2)/25)*Calculateur!AQ157*Calculateur!AS157*VLOOKUP('Données projet'!$B$10,Paramètres!$A$1:$I$89,3,0)*0.475*44/12</f>
        <v>6.6498881381267401</v>
      </c>
      <c r="AW157" s="21">
        <f>EXP(-LN(2)/2)*AW156+(1-EXP(-LN(2)/2))/(LN(2)/2)*AQ157*AT157*VLOOKUP('Données projet'!$B$10,Paramètres!$A$1:$I$89,3,0)*0.475*44/12</f>
        <v>5.1453129563894404E-10</v>
      </c>
      <c r="AX157" s="21">
        <f t="shared" si="166"/>
        <v>42.048527578692465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2.7775000000000034</v>
      </c>
      <c r="BD157" s="12">
        <f>IF('Données projet'!$A$88&gt;35,BD156+BC157-BL156,IF(A157&lt;'Données projet'!$A$88,$BA$205^A157,IF(A157='Données projet'!$A$88,'Données projet'!$B$88,BD156+BC157-BL156)))</f>
        <v>186.18750000000054</v>
      </c>
      <c r="BE157" s="13">
        <f>BD157*VLOOKUP('Données projet'!$B$11,Paramètres!$A$1:$I$89,3,0)*VLOOKUP('Données projet'!$B$11,Paramètres!$A$1:$I$89,5,0)</f>
        <v>168.4624500000005</v>
      </c>
      <c r="BF157" s="13">
        <f t="shared" si="167"/>
        <v>42.745481653995263</v>
      </c>
      <c r="BG157" s="20">
        <f t="shared" si="168"/>
        <v>367.85381429737589</v>
      </c>
      <c r="BH157" s="59">
        <f t="shared" si="116"/>
        <v>661.18714763070921</v>
      </c>
      <c r="BI157" s="59">
        <f ca="1">AVERAGE(OFFSET($BH$3,0,0,'Données projet'!$E$11+1,1))-AVERAGE(OFFSET($H$3,0,0,'Données projet'!$E$11+1,1))</f>
        <v>490.06222615476065</v>
      </c>
      <c r="BJ157" s="59">
        <f t="shared" si="146"/>
        <v>310.43914804089906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85.469671630347634</v>
      </c>
      <c r="BQ157" s="21">
        <f>EXP(-LN(2)/25)*BQ156+(1-EXP(-LN(2)/25))/(LN(2)/25)*Calculateur!BL157*Calculateur!BN157*VLOOKUP('Données projet'!$B$11,Paramètres!$A$1:$I$89,3,0)*0.475*44/12</f>
        <v>19.127188802545135</v>
      </c>
      <c r="BR157" s="21">
        <f>EXP(-LN(2)/2)*BR156+(1-EXP(-LN(2)/2))/(LN(2)/2)*BL157*BO157*VLOOKUP('Données projet'!$B$11,Paramètres!$A$1:$I$89,3,0)*0.475*44/12</f>
        <v>4.438631392964437</v>
      </c>
      <c r="BS157" s="22">
        <f t="shared" si="169"/>
        <v>109.03549182585721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381.23316399999965</v>
      </c>
      <c r="CA157" s="13">
        <f t="shared" si="170"/>
        <v>87.961402219130861</v>
      </c>
      <c r="CB157" s="20">
        <f t="shared" si="171"/>
        <v>817.18053616498548</v>
      </c>
      <c r="CC157" s="59">
        <f t="shared" si="119"/>
        <v>1110.5138694983189</v>
      </c>
      <c r="CD157" s="59">
        <f ca="1">AVERAGE(OFFSET($CC$3,0,0,'Données projet'!$E$12+1,1))-AVERAGE(OFFSET($H$3,0,0,'Données projet'!$E$12+1,1))</f>
        <v>510.71380643466227</v>
      </c>
      <c r="CE157" s="59">
        <f t="shared" si="148"/>
        <v>252.40654099948841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18.600027323728529</v>
      </c>
      <c r="CL157" s="21">
        <f>EXP(-LN(2)/25)*CL156+(1-EXP(-LN(2)/25))/(LN(2)/25)*Calculateur!CG157*Calculateur!CI157*VLOOKUP('Données projet'!$B$12,Paramètres!$A$1:$I$89,3,0)*0.475*44/12</f>
        <v>16.262669786821952</v>
      </c>
      <c r="CM157" s="21">
        <f>EXP(-LN(2)/2)*CM156+(1-EXP(-LN(2)/2))/(LN(2)/2)*CG157*CJ157*VLOOKUP('Données projet'!$B$12,Paramètres!$A$1:$I$89,3,0)*0.475*44/12</f>
        <v>0.44013591840681476</v>
      </c>
      <c r="CN157" s="22">
        <f t="shared" si="172"/>
        <v>35.302833028957302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2.5579538487363607E-13</v>
      </c>
      <c r="CU157" s="17">
        <f>CT157*VLOOKUP('Données projet'!$B$13,Paramètres!$A$1:$I$89,3,0)*VLOOKUP('Données projet'!$B$13,Paramètres!$A$1:$I$89,5,0)</f>
        <v>2.7533815227798186E-13</v>
      </c>
      <c r="CV157" s="13">
        <f t="shared" si="173"/>
        <v>3.6763598146902537E-12</v>
      </c>
      <c r="CW157" s="20">
        <f t="shared" si="174"/>
        <v>6.88254062580301E-12</v>
      </c>
      <c r="CX157" s="59">
        <f t="shared" si="122"/>
        <v>293.33333333334019</v>
      </c>
      <c r="CY157" s="59">
        <f ca="1">AVERAGE(OFFSET($CX$3,0,0,'Données projet'!$E$13+1,1))-AVERAGE(OFFSET($H$3,0,0,'Données projet'!$E$13+1,1))</f>
        <v>502.65044103360322</v>
      </c>
      <c r="CZ157" s="59">
        <f t="shared" si="150"/>
        <v>321.65762891855167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83.550799586969248</v>
      </c>
      <c r="DG157" s="21">
        <f>EXP(-LN(2)/25)*DG156+(1-EXP(-LN(2)/25))/(LN(2)/25)*Calculateur!DB157*Calculateur!DD157*VLOOKUP('Données projet'!$B$13,Paramètres!$A$1:$I$89,3,0)*0.475*44/12</f>
        <v>14.396528291817747</v>
      </c>
      <c r="DH157" s="21">
        <f>EXP(-LN(2)/2)*DH156+(1-EXP(-LN(2)/2))/(LN(2)/2)*DB157*DE157*VLOOKUP('Données projet'!$B$13,Paramètres!$A$1:$I$89,3,0)*0.475*44/12</f>
        <v>1.9776976906517277E-3</v>
      </c>
      <c r="DI157" s="22">
        <f t="shared" si="175"/>
        <v>97.949305576477641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-25.899999999999977</v>
      </c>
      <c r="DP157" s="17">
        <f>DO157*VLOOKUP('Données projet'!$B$14,Paramètres!$A$1:$I$89,3,0)*VLOOKUP('Données projet'!$B$14,Paramètres!$A$1:$I$89,5,0)</f>
        <v>-13.171703999999989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63.94726564348116</v>
      </c>
      <c r="DU157" s="59">
        <f t="shared" si="152"/>
        <v>280.8165028422905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4.3777203266583138</v>
      </c>
      <c r="EB157" s="21">
        <f>EXP(-LN(2)/25)*EB156+(1-EXP(-LN(2)/25))/(LN(2)/25)*Calculateur!DW157*Calculateur!DY157*VLOOKUP('Données projet'!$B$14,Paramètres!$A$1:$I$89,3,0)*0.475*44/12</f>
        <v>0.20877058460706133</v>
      </c>
      <c r="EC157" s="21">
        <f>EXP(-LN(2)/2)*EC156+(1-EXP(-LN(2)/2))/(LN(2)/2)*DW157*DZ157*VLOOKUP('Données projet'!$B$14,Paramètres!$A$1:$I$89,3,0)*0.475*44/12</f>
        <v>2.1069866697192729E-20</v>
      </c>
      <c r="ED157" s="22">
        <f t="shared" si="178"/>
        <v>4.5864909112653756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-5.9685589803848416E-13</v>
      </c>
      <c r="O158" s="13">
        <f>N158*VLOOKUP('Données projet'!$B$9,Paramètres!$A$1:$I$89,3,0)*VLOOKUP('Données projet'!$B$9,Paramètres!$A$1:$I$89,5,0)</f>
        <v>-3.4140157367801295E-13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294.9631697747962</v>
      </c>
      <c r="T158" s="59">
        <f t="shared" si="142"/>
        <v>202.04924881627716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37.559952046689858</v>
      </c>
      <c r="AA158" s="21">
        <f>EXP(-LN(2)/25)*AA157+(1-EXP(-LN(2)/25))/(LN(2)/25)*Calculateur!V158*Calculateur!X158*VLOOKUP('Données projet'!$B$9,Paramètres!$A$1:$I$89,3,0)*0.475*44/12</f>
        <v>7.9950496246822169</v>
      </c>
      <c r="AB158" s="21">
        <f>EXP(-LN(2)/2)*AB157+(1-EXP(-LN(2)/2))/(LN(2)/2)*V158*Y158*VLOOKUP('Données projet'!$B$9,Paramètres!$A$1:$I$89,3,0)*0.475*44/12</f>
        <v>4.6252340455567956E-7</v>
      </c>
      <c r="AC158" s="22">
        <f t="shared" si="163"/>
        <v>45.555002133895478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349.71285006949597</v>
      </c>
      <c r="AO158" s="59">
        <f t="shared" si="144"/>
        <v>258.51550516456842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34.704493711669905</v>
      </c>
      <c r="AV158" s="21">
        <f>EXP(-LN(2)/25)*AV157+(1-EXP(-LN(2)/25))/(LN(2)/25)*Calculateur!AQ158*Calculateur!AS158*VLOOKUP('Données projet'!$B$10,Paramètres!$A$1:$I$89,3,0)*0.475*44/12</f>
        <v>6.4680465972872456</v>
      </c>
      <c r="AW158" s="21">
        <f>EXP(-LN(2)/2)*AW157+(1-EXP(-LN(2)/2))/(LN(2)/2)*AQ158*AT158*VLOOKUP('Données projet'!$B$10,Paramètres!$A$1:$I$89,3,0)*0.475*44/12</f>
        <v>3.638285682789976E-10</v>
      </c>
      <c r="AX158" s="21">
        <f t="shared" si="166"/>
        <v>41.172540309320979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2.7775000000000034</v>
      </c>
      <c r="BD158" s="12">
        <f>IF('Données projet'!$A$88&gt;35,BD157+BC158-BL157,IF(A158&lt;'Données projet'!$A$88,$BA$205^A158,IF(A158='Données projet'!$A$88,'Données projet'!$B$88,BD157+BC158-BL157)))</f>
        <v>188.96500000000054</v>
      </c>
      <c r="BE158" s="13">
        <f>BD158*VLOOKUP('Données projet'!$B$11,Paramètres!$A$1:$I$89,3,0)*VLOOKUP('Données projet'!$B$11,Paramètres!$A$1:$I$89,5,0)</f>
        <v>170.9755320000005</v>
      </c>
      <c r="BF158" s="13">
        <f t="shared" si="167"/>
        <v>43.308437487586524</v>
      </c>
      <c r="BG158" s="20">
        <f t="shared" si="168"/>
        <v>373.21124685754739</v>
      </c>
      <c r="BH158" s="59">
        <f t="shared" si="116"/>
        <v>666.54458019088065</v>
      </c>
      <c r="BI158" s="59">
        <f ca="1">AVERAGE(OFFSET($BH$3,0,0,'Données projet'!$E$11+1,1))-AVERAGE(OFFSET($H$3,0,0,'Données projet'!$E$11+1,1))</f>
        <v>490.06222615476065</v>
      </c>
      <c r="BJ158" s="59">
        <f t="shared" si="146"/>
        <v>310.43914804089906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83.793663501028661</v>
      </c>
      <c r="BQ158" s="21">
        <f>EXP(-LN(2)/25)*BQ157+(1-EXP(-LN(2)/25))/(LN(2)/25)*Calculateur!BL158*Calculateur!BN158*VLOOKUP('Données projet'!$B$11,Paramètres!$A$1:$I$89,3,0)*0.475*44/12</f>
        <v>18.604154818884396</v>
      </c>
      <c r="BR158" s="21">
        <f>EXP(-LN(2)/2)*BR157+(1-EXP(-LN(2)/2))/(LN(2)/2)*BL158*BO158*VLOOKUP('Données projet'!$B$11,Paramètres!$A$1:$I$89,3,0)*0.475*44/12</f>
        <v>3.1385863571526449</v>
      </c>
      <c r="BS158" s="22">
        <f t="shared" si="169"/>
        <v>105.5364046770657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388.50570199999964</v>
      </c>
      <c r="CA158" s="13">
        <f t="shared" si="170"/>
        <v>89.442433150300388</v>
      </c>
      <c r="CB158" s="20">
        <f t="shared" si="171"/>
        <v>832.42633538677239</v>
      </c>
      <c r="CC158" s="59">
        <f t="shared" si="119"/>
        <v>1125.7596687201058</v>
      </c>
      <c r="CD158" s="59">
        <f ca="1">AVERAGE(OFFSET($CC$3,0,0,'Données projet'!$E$12+1,1))-AVERAGE(OFFSET($H$3,0,0,'Données projet'!$E$12+1,1))</f>
        <v>510.71380643466227</v>
      </c>
      <c r="CE158" s="59">
        <f t="shared" si="148"/>
        <v>252.40654099948841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18.235292132806666</v>
      </c>
      <c r="CL158" s="21">
        <f>EXP(-LN(2)/25)*CL157+(1-EXP(-LN(2)/25))/(LN(2)/25)*Calculateur!CG158*Calculateur!CI158*VLOOKUP('Données projet'!$B$12,Paramètres!$A$1:$I$89,3,0)*0.475*44/12</f>
        <v>15.817966226284671</v>
      </c>
      <c r="CM158" s="21">
        <f>EXP(-LN(2)/2)*CM157+(1-EXP(-LN(2)/2))/(LN(2)/2)*CG158*CJ158*VLOOKUP('Données projet'!$B$12,Paramètres!$A$1:$I$89,3,0)*0.475*44/12</f>
        <v>0.3112230925492277</v>
      </c>
      <c r="CN158" s="22">
        <f t="shared" si="172"/>
        <v>34.364481451640565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2.5579538487363607E-13</v>
      </c>
      <c r="CU158" s="17">
        <f>CT158*VLOOKUP('Données projet'!$B$13,Paramètres!$A$1:$I$89,3,0)*VLOOKUP('Données projet'!$B$13,Paramètres!$A$1:$I$89,5,0)</f>
        <v>2.7533815227798186E-13</v>
      </c>
      <c r="CV158" s="13">
        <f t="shared" si="173"/>
        <v>3.6763598146902537E-12</v>
      </c>
      <c r="CW158" s="20">
        <f t="shared" si="174"/>
        <v>6.88254062580301E-12</v>
      </c>
      <c r="CX158" s="59">
        <f t="shared" si="122"/>
        <v>293.33333333334019</v>
      </c>
      <c r="CY158" s="59">
        <f ca="1">AVERAGE(OFFSET($CX$3,0,0,'Données projet'!$E$13+1,1))-AVERAGE(OFFSET($H$3,0,0,'Données projet'!$E$13+1,1))</f>
        <v>502.65044103360322</v>
      </c>
      <c r="CZ158" s="59">
        <f t="shared" si="150"/>
        <v>321.65762891855167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81.912419368024558</v>
      </c>
      <c r="DG158" s="21">
        <f>EXP(-LN(2)/25)*DG157+(1-EXP(-LN(2)/25))/(LN(2)/25)*Calculateur!DB158*Calculateur!DD158*VLOOKUP('Données projet'!$B$13,Paramètres!$A$1:$I$89,3,0)*0.475*44/12</f>
        <v>14.002854468597471</v>
      </c>
      <c r="DH158" s="21">
        <f>EXP(-LN(2)/2)*DH157+(1-EXP(-LN(2)/2))/(LN(2)/2)*DB158*DE158*VLOOKUP('Données projet'!$B$13,Paramètres!$A$1:$I$89,3,0)*0.475*44/12</f>
        <v>1.3984434481968116E-3</v>
      </c>
      <c r="DI158" s="22">
        <f t="shared" si="175"/>
        <v>95.91667228007023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-25.899999999999977</v>
      </c>
      <c r="DP158" s="17">
        <f>DO158*VLOOKUP('Données projet'!$B$14,Paramètres!$A$1:$I$89,3,0)*VLOOKUP('Données projet'!$B$14,Paramètres!$A$1:$I$89,5,0)</f>
        <v>-13.171703999999989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63.94726564348116</v>
      </c>
      <c r="DU158" s="59">
        <f t="shared" si="152"/>
        <v>280.8165028422905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4.2918759011982885</v>
      </c>
      <c r="EB158" s="21">
        <f>EXP(-LN(2)/25)*EB157+(1-EXP(-LN(2)/25))/(LN(2)/25)*Calculateur!DW158*Calculateur!DY158*VLOOKUP('Données projet'!$B$14,Paramètres!$A$1:$I$89,3,0)*0.475*44/12</f>
        <v>0.20306174199221333</v>
      </c>
      <c r="EC158" s="21">
        <f>EXP(-LN(2)/2)*EC157+(1-EXP(-LN(2)/2))/(LN(2)/2)*DW158*DZ158*VLOOKUP('Données projet'!$B$14,Paramètres!$A$1:$I$89,3,0)*0.475*44/12</f>
        <v>1.4898645620281583E-20</v>
      </c>
      <c r="ED158" s="22">
        <f t="shared" si="178"/>
        <v>4.4949376431905019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-5.9685589803848416E-13</v>
      </c>
      <c r="O159" s="13">
        <f>N159*VLOOKUP('Données projet'!$B$9,Paramètres!$A$1:$I$89,3,0)*VLOOKUP('Données projet'!$B$9,Paramètres!$A$1:$I$89,5,0)</f>
        <v>-3.4140157367801295E-13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294.9631697747962</v>
      </c>
      <c r="T159" s="59">
        <f t="shared" si="142"/>
        <v>202.04924881627716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36.823424296362916</v>
      </c>
      <c r="AA159" s="21">
        <f>EXP(-LN(2)/25)*AA158+(1-EXP(-LN(2)/25))/(LN(2)/25)*Calculateur!V159*Calculateur!X159*VLOOKUP('Données projet'!$B$9,Paramètres!$A$1:$I$89,3,0)*0.475*44/12</f>
        <v>7.7764245722538945</v>
      </c>
      <c r="AB159" s="21">
        <f>EXP(-LN(2)/2)*AB158+(1-EXP(-LN(2)/2))/(LN(2)/2)*V159*Y159*VLOOKUP('Données projet'!$B$9,Paramètres!$A$1:$I$89,3,0)*0.475*44/12</f>
        <v>3.2705343581880994E-7</v>
      </c>
      <c r="AC159" s="22">
        <f t="shared" si="163"/>
        <v>44.599849195670245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349.71285006949597</v>
      </c>
      <c r="AO159" s="59">
        <f t="shared" si="144"/>
        <v>258.51550516456842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34.02395975763509</v>
      </c>
      <c r="AV159" s="21">
        <f>EXP(-LN(2)/25)*AV158+(1-EXP(-LN(2)/25))/(LN(2)/25)*Calculateur!AQ159*Calculateur!AS159*VLOOKUP('Données projet'!$B$10,Paramètres!$A$1:$I$89,3,0)*0.475*44/12</f>
        <v>6.2911775229446381</v>
      </c>
      <c r="AW159" s="21">
        <f>EXP(-LN(2)/2)*AW158+(1-EXP(-LN(2)/2))/(LN(2)/2)*AQ159*AT159*VLOOKUP('Données projet'!$B$10,Paramètres!$A$1:$I$89,3,0)*0.475*44/12</f>
        <v>2.5726564781947202E-10</v>
      </c>
      <c r="AX159" s="21">
        <f t="shared" si="166"/>
        <v>40.315137280836993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2.7775000000000034</v>
      </c>
      <c r="BD159" s="12">
        <f>IF('Données projet'!$A$88&gt;35,BD158+BC159-BL158,IF(A159&lt;'Données projet'!$A$88,$BA$205^A159,IF(A159='Données projet'!$A$88,'Données projet'!$B$88,BD158+BC159-BL158)))</f>
        <v>191.74250000000055</v>
      </c>
      <c r="BE159" s="13">
        <f>BD159*VLOOKUP('Données projet'!$B$11,Paramètres!$A$1:$I$89,3,0)*VLOOKUP('Données projet'!$B$11,Paramètres!$A$1:$I$89,5,0)</f>
        <v>173.4886140000005</v>
      </c>
      <c r="BF159" s="13">
        <f t="shared" si="167"/>
        <v>43.870430944544125</v>
      </c>
      <c r="BG159" s="20">
        <f t="shared" si="168"/>
        <v>378.56700327841526</v>
      </c>
      <c r="BH159" s="59">
        <f t="shared" si="116"/>
        <v>671.90033661174857</v>
      </c>
      <c r="BI159" s="59">
        <f ca="1">AVERAGE(OFFSET($BH$3,0,0,'Données projet'!$E$11+1,1))-AVERAGE(OFFSET($H$3,0,0,'Données projet'!$E$11+1,1))</f>
        <v>490.06222615476065</v>
      </c>
      <c r="BJ159" s="59">
        <f t="shared" si="146"/>
        <v>310.43914804089906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82.150520868861619</v>
      </c>
      <c r="BQ159" s="21">
        <f>EXP(-LN(2)/25)*BQ158+(1-EXP(-LN(2)/25))/(LN(2)/25)*Calculateur!BL159*Calculateur!BN159*VLOOKUP('Données projet'!$B$11,Paramètres!$A$1:$I$89,3,0)*0.475*44/12</f>
        <v>18.09542322701202</v>
      </c>
      <c r="BR159" s="21">
        <f>EXP(-LN(2)/2)*BR158+(1-EXP(-LN(2)/2))/(LN(2)/2)*BL159*BO159*VLOOKUP('Données projet'!$B$11,Paramètres!$A$1:$I$89,3,0)*0.475*44/12</f>
        <v>2.2193156964822189</v>
      </c>
      <c r="BS159" s="22">
        <f t="shared" si="169"/>
        <v>102.46525979235585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395.77823999999964</v>
      </c>
      <c r="CA159" s="13">
        <f t="shared" si="170"/>
        <v>90.920240345509228</v>
      </c>
      <c r="CB159" s="20">
        <f t="shared" si="171"/>
        <v>847.66651993509458</v>
      </c>
      <c r="CC159" s="59">
        <f t="shared" si="119"/>
        <v>1140.9998532684278</v>
      </c>
      <c r="CD159" s="59">
        <f ca="1">AVERAGE(OFFSET($CC$3,0,0,'Données projet'!$E$12+1,1))-AVERAGE(OFFSET($H$3,0,0,'Données projet'!$E$12+1,1))</f>
        <v>510.71380643466227</v>
      </c>
      <c r="CE159" s="59">
        <f t="shared" si="148"/>
        <v>252.40654099948841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0.1075</v>
      </c>
      <c r="CI159" s="16">
        <f>IF(ISNA(VLOOKUP(A159,'Données projet'!$A$113:$I$133,6,0)),0%,VLOOKUP(A159,'Données projet'!$A$113:$I$133,6,0)*VLOOKUP('Données projet'!$B$12,Paramètres!$A$1:$I$89,7,0))</f>
        <v>0.1075</v>
      </c>
      <c r="CJ159" s="16">
        <f>IF(ISNA(VLOOKUP(A159,'Données projet'!$A$113:$I$133,7,0)),0%,VLOOKUP(A159,'Données projet'!$A$113:$I$133,7,0))</f>
        <v>0.25</v>
      </c>
      <c r="CK159" s="21">
        <f>EXP(-LN(2)/35)*CK158+(1-EXP(-LN(2)/35))/(LN(2)/35)*CG159*CH159*VLOOKUP('Données projet'!$B$12,Paramètres!$A$1:$I$89,3,0)*0.475*44/12</f>
        <v>25.428129419510288</v>
      </c>
      <c r="CL159" s="21">
        <f>EXP(-LN(2)/25)*CL158+(1-EXP(-LN(2)/25))/(LN(2)/25)*Calculateur!CG159*Calculateur!CI159*VLOOKUP('Données projet'!$B$12,Paramètres!$A$1:$I$89,3,0)*0.475*44/12</f>
        <v>22.906114469561889</v>
      </c>
      <c r="CM159" s="21">
        <f>EXP(-LN(2)/2)*CM158+(1-EXP(-LN(2)/2))/(LN(2)/2)*CG159*CJ159*VLOOKUP('Données projet'!$B$12,Paramètres!$A$1:$I$89,3,0)*0.475*44/12</f>
        <v>15.206900393542885</v>
      </c>
      <c r="CN159" s="22">
        <f t="shared" si="172"/>
        <v>63.541144282615065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2.5579538487363607E-13</v>
      </c>
      <c r="CU159" s="17">
        <f>CT159*VLOOKUP('Données projet'!$B$13,Paramètres!$A$1:$I$89,3,0)*VLOOKUP('Données projet'!$B$13,Paramètres!$A$1:$I$89,5,0)</f>
        <v>2.7533815227798186E-13</v>
      </c>
      <c r="CV159" s="13">
        <f t="shared" si="173"/>
        <v>3.6763598146902537E-12</v>
      </c>
      <c r="CW159" s="20">
        <f t="shared" si="174"/>
        <v>6.88254062580301E-12</v>
      </c>
      <c r="CX159" s="59">
        <f t="shared" si="122"/>
        <v>293.33333333334019</v>
      </c>
      <c r="CY159" s="59">
        <f ca="1">AVERAGE(OFFSET($CX$3,0,0,'Données projet'!$E$13+1,1))-AVERAGE(OFFSET($H$3,0,0,'Données projet'!$E$13+1,1))</f>
        <v>502.65044103360322</v>
      </c>
      <c r="CZ159" s="59">
        <f t="shared" si="150"/>
        <v>321.65762891855167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80.306166785860114</v>
      </c>
      <c r="DG159" s="21">
        <f>EXP(-LN(2)/25)*DG158+(1-EXP(-LN(2)/25))/(LN(2)/25)*Calculateur!DB159*Calculateur!DD159*VLOOKUP('Données projet'!$B$13,Paramètres!$A$1:$I$89,3,0)*0.475*44/12</f>
        <v>13.619945676775561</v>
      </c>
      <c r="DH159" s="21">
        <f>EXP(-LN(2)/2)*DH158+(1-EXP(-LN(2)/2))/(LN(2)/2)*DB159*DE159*VLOOKUP('Données projet'!$B$13,Paramètres!$A$1:$I$89,3,0)*0.475*44/12</f>
        <v>9.8884884532586385E-4</v>
      </c>
      <c r="DI159" s="22">
        <f t="shared" si="175"/>
        <v>93.927101311480996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-25.899999999999977</v>
      </c>
      <c r="DP159" s="17">
        <f>DO159*VLOOKUP('Données projet'!$B$14,Paramètres!$A$1:$I$89,3,0)*VLOOKUP('Données projet'!$B$14,Paramètres!$A$1:$I$89,5,0)</f>
        <v>-13.171703999999989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63.94726564348116</v>
      </c>
      <c r="DU159" s="59">
        <f t="shared" si="152"/>
        <v>280.8165028422905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4.2077148325616047</v>
      </c>
      <c r="EB159" s="21">
        <f>EXP(-LN(2)/25)*EB158+(1-EXP(-LN(2)/25))/(LN(2)/25)*Calculateur!DW159*Calculateur!DY159*VLOOKUP('Données projet'!$B$14,Paramètres!$A$1:$I$89,3,0)*0.475*44/12</f>
        <v>0.19750900797888335</v>
      </c>
      <c r="EC159" s="21">
        <f>EXP(-LN(2)/2)*EC158+(1-EXP(-LN(2)/2))/(LN(2)/2)*DW159*DZ159*VLOOKUP('Données projet'!$B$14,Paramètres!$A$1:$I$89,3,0)*0.475*44/12</f>
        <v>1.0534933348596364E-20</v>
      </c>
      <c r="ED159" s="22">
        <f t="shared" si="178"/>
        <v>4.4052238405404882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-5.9685589803848416E-13</v>
      </c>
      <c r="O160" s="13">
        <f>N160*VLOOKUP('Données projet'!$B$9,Paramètres!$A$1:$I$89,3,0)*VLOOKUP('Données projet'!$B$9,Paramètres!$A$1:$I$89,5,0)</f>
        <v>-3.4140157367801295E-13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294.9631697747962</v>
      </c>
      <c r="T160" s="59">
        <f t="shared" si="142"/>
        <v>202.04924881627716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36.101339405982309</v>
      </c>
      <c r="AA160" s="21">
        <f>EXP(-LN(2)/25)*AA159+(1-EXP(-LN(2)/25))/(LN(2)/25)*Calculateur!V160*Calculateur!X160*VLOOKUP('Données projet'!$B$9,Paramètres!$A$1:$I$89,3,0)*0.475*44/12</f>
        <v>7.5637778333812165</v>
      </c>
      <c r="AB160" s="21">
        <f>EXP(-LN(2)/2)*AB159+(1-EXP(-LN(2)/2))/(LN(2)/2)*V160*Y160*VLOOKUP('Données projet'!$B$9,Paramètres!$A$1:$I$89,3,0)*0.475*44/12</f>
        <v>2.3126170227783983E-7</v>
      </c>
      <c r="AC160" s="22">
        <f t="shared" si="163"/>
        <v>43.665117470625226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349.71285006949597</v>
      </c>
      <c r="AO160" s="59">
        <f t="shared" si="144"/>
        <v>258.51550516456842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33.356770659354176</v>
      </c>
      <c r="AV160" s="21">
        <f>EXP(-LN(2)/25)*AV159+(1-EXP(-LN(2)/25))/(LN(2)/25)*Calculateur!AQ160*Calculateur!AS160*VLOOKUP('Données projet'!$B$10,Paramètres!$A$1:$I$89,3,0)*0.475*44/12</f>
        <v>6.1191449427410696</v>
      </c>
      <c r="AW160" s="21">
        <f>EXP(-LN(2)/2)*AW159+(1-EXP(-LN(2)/2))/(LN(2)/2)*AQ160*AT160*VLOOKUP('Données projet'!$B$10,Paramètres!$A$1:$I$89,3,0)*0.475*44/12</f>
        <v>1.819142841394988E-10</v>
      </c>
      <c r="AX160" s="21">
        <f t="shared" si="166"/>
        <v>39.475915602277155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2.7775000000000034</v>
      </c>
      <c r="BC160" s="12">
        <f t="array" ref="BC160">INDEX(BB:BB,MIN(IF(ISNUMBER(BB160:BB356),ROW(BB160:BB356),"")))</f>
        <v>2.7775000000000034</v>
      </c>
      <c r="BD160" s="12">
        <f>IF('Données projet'!$A$88&gt;35,BD159+BC160-BL159,IF(A160&lt;'Données projet'!$A$88,$BA$205^A160,IF(A160='Données projet'!$A$88,'Données projet'!$B$88,BD159+BC160-BL159)))</f>
        <v>194.52000000000055</v>
      </c>
      <c r="BE160" s="13">
        <f>BD160*VLOOKUP('Données projet'!$B$11,Paramètres!$A$1:$I$89,3,0)*VLOOKUP('Données projet'!$B$11,Paramètres!$A$1:$I$89,5,0)</f>
        <v>176.00169600000049</v>
      </c>
      <c r="BF160" s="13">
        <f t="shared" si="167"/>
        <v>44.431477576109785</v>
      </c>
      <c r="BG160" s="20">
        <f t="shared" si="168"/>
        <v>383.92111064505872</v>
      </c>
      <c r="BH160" s="59">
        <f t="shared" si="116"/>
        <v>677.25444397839203</v>
      </c>
      <c r="BI160" s="59">
        <f ca="1">AVERAGE(OFFSET($BH$3,0,0,'Données projet'!$E$11+1,1))-AVERAGE(OFFSET($H$3,0,0,'Données projet'!$E$11+1,1))</f>
        <v>490.06222615476065</v>
      </c>
      <c r="BJ160" s="59">
        <f t="shared" si="146"/>
        <v>310.43914804089906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67.13000000000001</v>
      </c>
      <c r="BM160" s="16">
        <f>IF(ISNA(VLOOKUP(A160,'Données projet'!$A$87:$I$107,5,0)),0%,VLOOKUP(A160,'Données projet'!$A$87:$I$107,5,0)*VLOOKUP('Données projet'!$B$11,Paramètres!$A$1:$I$89,7,0))</f>
        <v>0.19350000000000001</v>
      </c>
      <c r="BN160" s="16">
        <f>IF(ISNA(VLOOKUP(A160,'Données projet'!$A$87:$I$107,6,0)),0%,VLOOKUP(A160,'Données projet'!$A$87:$I$107,6,0)*VLOOKUP('Données projet'!$B$11,Paramètres!$A$1:$I$89,7,0))</f>
        <v>2.1500000000000002E-2</v>
      </c>
      <c r="BO160" s="16">
        <f>IF(ISNA(VLOOKUP(A160,'Données projet'!$A$87:$I$107,7,0)),0%,VLOOKUP(A160,'Données projet'!$A$87:$I$107,7,0))</f>
        <v>0.05</v>
      </c>
      <c r="BP160" s="21">
        <f>EXP(-LN(2)/35)*BP159+(1-EXP(-LN(2)/35))/(LN(2)/35)*BL160*BM160*VLOOKUP('Données projet'!$B$11,Paramètres!$A$1:$I$89,3,0)*0.475*44/12</f>
        <v>93.53223667850591</v>
      </c>
      <c r="BQ160" s="21">
        <f>EXP(-LN(2)/25)*BQ159+(1-EXP(-LN(2)/25))/(LN(2)/25)*Calculateur!BL160*Calculateur!BN160*VLOOKUP('Données projet'!$B$11,Paramètres!$A$1:$I$89,3,0)*0.475*44/12</f>
        <v>19.038545199818962</v>
      </c>
      <c r="BR160" s="21">
        <f>EXP(-LN(2)/2)*BR159+(1-EXP(-LN(2)/2))/(LN(2)/2)*BL160*BO160*VLOOKUP('Données projet'!$B$11,Paramètres!$A$1:$I$89,3,0)*0.475*44/12</f>
        <v>4.4347478093886004</v>
      </c>
      <c r="BS160" s="22">
        <f t="shared" si="169"/>
        <v>117.00552968771348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339.66935599999965</v>
      </c>
      <c r="CA160" s="13">
        <f t="shared" si="170"/>
        <v>79.431629410153604</v>
      </c>
      <c r="CB160" s="20">
        <f t="shared" si="171"/>
        <v>729.93421625601695</v>
      </c>
      <c r="CC160" s="59">
        <f t="shared" si="119"/>
        <v>1023.2675495893502</v>
      </c>
      <c r="CD160" s="59">
        <f ca="1">AVERAGE(OFFSET($CC$3,0,0,'Données projet'!$E$12+1,1))-AVERAGE(OFFSET($H$3,0,0,'Données projet'!$E$12+1,1))</f>
        <v>510.71380643466227</v>
      </c>
      <c r="CE160" s="59">
        <f t="shared" si="148"/>
        <v>252.40654099948841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24.929499311221189</v>
      </c>
      <c r="CL160" s="21">
        <f>EXP(-LN(2)/25)*CL159+(1-EXP(-LN(2)/25))/(LN(2)/25)*Calculateur!CG160*Calculateur!CI160*VLOOKUP('Données projet'!$B$12,Paramètres!$A$1:$I$89,3,0)*0.475*44/12</f>
        <v>22.27974556481151</v>
      </c>
      <c r="CM160" s="21">
        <f>EXP(-LN(2)/2)*CM159+(1-EXP(-LN(2)/2))/(LN(2)/2)*CG160*CJ160*VLOOKUP('Données projet'!$B$12,Paramètres!$A$1:$I$89,3,0)*0.475*44/12</f>
        <v>10.752902389102553</v>
      </c>
      <c r="CN160" s="22">
        <f t="shared" si="172"/>
        <v>57.962147265135251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2.5579538487363607E-13</v>
      </c>
      <c r="CU160" s="17">
        <f>CT160*VLOOKUP('Données projet'!$B$13,Paramètres!$A$1:$I$89,3,0)*VLOOKUP('Données projet'!$B$13,Paramètres!$A$1:$I$89,5,0)</f>
        <v>2.7533815227798186E-13</v>
      </c>
      <c r="CV160" s="13">
        <f t="shared" si="173"/>
        <v>3.6763598146902537E-12</v>
      </c>
      <c r="CW160" s="20">
        <f t="shared" si="174"/>
        <v>6.88254062580301E-12</v>
      </c>
      <c r="CX160" s="59">
        <f t="shared" si="122"/>
        <v>293.33333333334019</v>
      </c>
      <c r="CY160" s="59">
        <f ca="1">AVERAGE(OFFSET($CX$3,0,0,'Données projet'!$E$13+1,1))-AVERAGE(OFFSET($H$3,0,0,'Données projet'!$E$13+1,1))</f>
        <v>502.65044103360322</v>
      </c>
      <c r="CZ160" s="59">
        <f t="shared" si="150"/>
        <v>321.65762891855167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78.731411837114578</v>
      </c>
      <c r="DG160" s="21">
        <f>EXP(-LN(2)/25)*DG159+(1-EXP(-LN(2)/25))/(LN(2)/25)*Calculateur!DB160*Calculateur!DD160*VLOOKUP('Données projet'!$B$13,Paramètres!$A$1:$I$89,3,0)*0.475*44/12</f>
        <v>13.24750754600232</v>
      </c>
      <c r="DH160" s="21">
        <f>EXP(-LN(2)/2)*DH159+(1-EXP(-LN(2)/2))/(LN(2)/2)*DB160*DE160*VLOOKUP('Données projet'!$B$13,Paramètres!$A$1:$I$89,3,0)*0.475*44/12</f>
        <v>6.9922172409840578E-4</v>
      </c>
      <c r="DI160" s="22">
        <f t="shared" si="175"/>
        <v>91.979618604841008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-25.899999999999977</v>
      </c>
      <c r="DP160" s="17">
        <f>DO160*VLOOKUP('Données projet'!$B$14,Paramètres!$A$1:$I$89,3,0)*VLOOKUP('Données projet'!$B$14,Paramètres!$A$1:$I$89,5,0)</f>
        <v>-13.171703999999989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63.94726564348116</v>
      </c>
      <c r="DU160" s="59">
        <f t="shared" si="152"/>
        <v>280.8165028422905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4.1252041111477036</v>
      </c>
      <c r="EB160" s="21">
        <f>EXP(-LN(2)/25)*EB159+(1-EXP(-LN(2)/25))/(LN(2)/25)*Calculateur!DW160*Calculateur!DY160*VLOOKUP('Données projet'!$B$14,Paramètres!$A$1:$I$89,3,0)*0.475*44/12</f>
        <v>0.19210811376915346</v>
      </c>
      <c r="EC160" s="21">
        <f>EXP(-LN(2)/2)*EC159+(1-EXP(-LN(2)/2))/(LN(2)/2)*DW160*DZ160*VLOOKUP('Données projet'!$B$14,Paramètres!$A$1:$I$89,3,0)*0.475*44/12</f>
        <v>7.4493228101407917E-21</v>
      </c>
      <c r="ED160" s="22">
        <f t="shared" si="178"/>
        <v>4.317312224916857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-5.9685589803848416E-13</v>
      </c>
      <c r="O161" s="13">
        <f>N161*VLOOKUP('Données projet'!$B$9,Paramètres!$A$1:$I$89,3,0)*VLOOKUP('Données projet'!$B$9,Paramètres!$A$1:$I$89,5,0)</f>
        <v>-3.4140157367801295E-13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294.9631697747962</v>
      </c>
      <c r="T161" s="59">
        <f t="shared" si="142"/>
        <v>202.04924881627716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35.393414159873771</v>
      </c>
      <c r="AA161" s="21">
        <f>EXP(-LN(2)/25)*AA160+(1-EXP(-LN(2)/25))/(LN(2)/25)*Calculateur!V161*Calculateur!X161*VLOOKUP('Données projet'!$B$9,Paramètres!$A$1:$I$89,3,0)*0.475*44/12</f>
        <v>7.356945930765618</v>
      </c>
      <c r="AB161" s="21">
        <f>EXP(-LN(2)/2)*AB160+(1-EXP(-LN(2)/2))/(LN(2)/2)*V161*Y161*VLOOKUP('Données projet'!$B$9,Paramètres!$A$1:$I$89,3,0)*0.475*44/12</f>
        <v>1.63526717909405E-7</v>
      </c>
      <c r="AC161" s="22">
        <f t="shared" si="163"/>
        <v>42.750360254166111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349.71285006949597</v>
      </c>
      <c r="AO161" s="59">
        <f t="shared" si="144"/>
        <v>258.51550516456842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32.702664732345376</v>
      </c>
      <c r="AV161" s="21">
        <f>EXP(-LN(2)/25)*AV160+(1-EXP(-LN(2)/25))/(LN(2)/25)*Calculateur!AQ161*Calculateur!AS161*VLOOKUP('Données projet'!$B$10,Paramètres!$A$1:$I$89,3,0)*0.475*44/12</f>
        <v>5.9518166024899681</v>
      </c>
      <c r="AW161" s="21">
        <f>EXP(-LN(2)/2)*AW160+(1-EXP(-LN(2)/2))/(LN(2)/2)*AQ161*AT161*VLOOKUP('Données projet'!$B$10,Paramètres!$A$1:$I$89,3,0)*0.475*44/12</f>
        <v>1.2863282390973601E-10</v>
      </c>
      <c r="AX161" s="21">
        <f t="shared" si="166"/>
        <v>38.654481334963975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1.7174999999999976</v>
      </c>
      <c r="BD161" s="12">
        <f>IF('Données projet'!$A$88&gt;35,BD160+BC161-BL160,IF(A161&lt;'Données projet'!$A$88,$BA$205^A161,IF(A161='Données projet'!$A$88,'Données projet'!$B$88,BD160+BC161-BL160)))</f>
        <v>129.10750000000053</v>
      </c>
      <c r="BE161" s="13">
        <f>BD161*VLOOKUP('Données projet'!$B$11,Paramètres!$A$1:$I$89,3,0)*VLOOKUP('Données projet'!$B$11,Paramètres!$A$1:$I$89,5,0)</f>
        <v>116.81646600000047</v>
      </c>
      <c r="BF161" s="13">
        <f t="shared" si="167"/>
        <v>30.931334347171287</v>
      </c>
      <c r="BG161" s="20">
        <f t="shared" si="168"/>
        <v>257.32741893799079</v>
      </c>
      <c r="BH161" s="59">
        <f t="shared" si="116"/>
        <v>550.6607522713241</v>
      </c>
      <c r="BI161" s="59">
        <f ca="1">AVERAGE(OFFSET($BH$3,0,0,'Données projet'!$E$11+1,1))-AVERAGE(OFFSET($H$3,0,0,'Données projet'!$E$11+1,1))</f>
        <v>490.06222615476065</v>
      </c>
      <c r="BJ161" s="59">
        <f t="shared" si="146"/>
        <v>310.43914804089906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91.698126566271654</v>
      </c>
      <c r="BQ161" s="21">
        <f>EXP(-LN(2)/25)*BQ160+(1-EXP(-LN(2)/25))/(LN(2)/25)*Calculateur!BL161*Calculateur!BN161*VLOOKUP('Données projet'!$B$11,Paramètres!$A$1:$I$89,3,0)*0.475*44/12</f>
        <v>18.517935180136334</v>
      </c>
      <c r="BR161" s="21">
        <f>EXP(-LN(2)/2)*BR160+(1-EXP(-LN(2)/2))/(LN(2)/2)*BL161*BO161*VLOOKUP('Données projet'!$B$11,Paramètres!$A$1:$I$89,3,0)*0.475*44/12</f>
        <v>3.1358402488708661</v>
      </c>
      <c r="BS161" s="22">
        <f t="shared" si="169"/>
        <v>113.35190199527885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347.09583999999967</v>
      </c>
      <c r="CA161" s="13">
        <f t="shared" si="170"/>
        <v>80.964224852451267</v>
      </c>
      <c r="CB161" s="20">
        <f t="shared" si="171"/>
        <v>745.53794628468529</v>
      </c>
      <c r="CC161" s="59">
        <f t="shared" si="119"/>
        <v>1038.8712796180187</v>
      </c>
      <c r="CD161" s="59">
        <f ca="1">AVERAGE(OFFSET($CC$3,0,0,'Données projet'!$E$12+1,1))-AVERAGE(OFFSET($H$3,0,0,'Données projet'!$E$12+1,1))</f>
        <v>510.71380643466227</v>
      </c>
      <c r="CE161" s="59">
        <f t="shared" si="148"/>
        <v>252.40654099948841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24.440647035221303</v>
      </c>
      <c r="CL161" s="21">
        <f>EXP(-LN(2)/25)*CL160+(1-EXP(-LN(2)/25))/(LN(2)/25)*Calculateur!CG161*Calculateur!CI161*VLOOKUP('Données projet'!$B$12,Paramètres!$A$1:$I$89,3,0)*0.475*44/12</f>
        <v>21.670504750700839</v>
      </c>
      <c r="CM161" s="21">
        <f>EXP(-LN(2)/2)*CM160+(1-EXP(-LN(2)/2))/(LN(2)/2)*CG161*CJ161*VLOOKUP('Données projet'!$B$12,Paramètres!$A$1:$I$89,3,0)*0.475*44/12</f>
        <v>7.6034501967714441</v>
      </c>
      <c r="CN161" s="22">
        <f t="shared" si="172"/>
        <v>53.714601982693594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2.5579538487363607E-13</v>
      </c>
      <c r="CU161" s="17">
        <f>CT161*VLOOKUP('Données projet'!$B$13,Paramètres!$A$1:$I$89,3,0)*VLOOKUP('Données projet'!$B$13,Paramètres!$A$1:$I$89,5,0)</f>
        <v>2.7533815227798186E-13</v>
      </c>
      <c r="CV161" s="13">
        <f t="shared" si="173"/>
        <v>3.6763598146902537E-12</v>
      </c>
      <c r="CW161" s="20">
        <f t="shared" si="174"/>
        <v>6.88254062580301E-12</v>
      </c>
      <c r="CX161" s="59">
        <f t="shared" si="122"/>
        <v>293.33333333334019</v>
      </c>
      <c r="CY161" s="59">
        <f ca="1">AVERAGE(OFFSET($CX$3,0,0,'Données projet'!$E$13+1,1))-AVERAGE(OFFSET($H$3,0,0,'Données projet'!$E$13+1,1))</f>
        <v>502.65044103360322</v>
      </c>
      <c r="CZ161" s="59">
        <f t="shared" si="150"/>
        <v>321.65762891855167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77.187536872408259</v>
      </c>
      <c r="DG161" s="21">
        <f>EXP(-LN(2)/25)*DG160+(1-EXP(-LN(2)/25))/(LN(2)/25)*Calculateur!DB161*Calculateur!DD161*VLOOKUP('Données projet'!$B$13,Paramètres!$A$1:$I$89,3,0)*0.475*44/12</f>
        <v>12.885253755500742</v>
      </c>
      <c r="DH161" s="21">
        <f>EXP(-LN(2)/2)*DH160+(1-EXP(-LN(2)/2))/(LN(2)/2)*DB161*DE161*VLOOKUP('Données projet'!$B$13,Paramètres!$A$1:$I$89,3,0)*0.475*44/12</f>
        <v>4.9442442266293192E-4</v>
      </c>
      <c r="DI161" s="22">
        <f t="shared" si="175"/>
        <v>90.07328505233167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-25.899999999999977</v>
      </c>
      <c r="DP161" s="17">
        <f>DO161*VLOOKUP('Données projet'!$B$14,Paramètres!$A$1:$I$89,3,0)*VLOOKUP('Données projet'!$B$14,Paramètres!$A$1:$I$89,5,0)</f>
        <v>-13.171703999999989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63.94726564348116</v>
      </c>
      <c r="DU161" s="59">
        <f t="shared" si="152"/>
        <v>280.8165028422905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4.0443113746541579</v>
      </c>
      <c r="EB161" s="21">
        <f>EXP(-LN(2)/25)*EB160+(1-EXP(-LN(2)/25))/(LN(2)/25)*Calculateur!DW161*Calculateur!DY161*VLOOKUP('Données projet'!$B$14,Paramètres!$A$1:$I$89,3,0)*0.475*44/12</f>
        <v>0.18685490729560933</v>
      </c>
      <c r="EC161" s="21">
        <f>EXP(-LN(2)/2)*EC160+(1-EXP(-LN(2)/2))/(LN(2)/2)*DW161*DZ161*VLOOKUP('Données projet'!$B$14,Paramètres!$A$1:$I$89,3,0)*0.475*44/12</f>
        <v>5.2674666742981822E-21</v>
      </c>
      <c r="ED161" s="22">
        <f t="shared" si="178"/>
        <v>4.2311662819497675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-5.9685589803848416E-13</v>
      </c>
      <c r="O162" s="13">
        <f>N162*VLOOKUP('Données projet'!$B$9,Paramètres!$A$1:$I$89,3,0)*VLOOKUP('Données projet'!$B$9,Paramètres!$A$1:$I$89,5,0)</f>
        <v>-3.4140157367801295E-13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294.9631697747962</v>
      </c>
      <c r="T162" s="59">
        <f t="shared" si="142"/>
        <v>202.04924881627716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34.699370896049658</v>
      </c>
      <c r="AA162" s="21">
        <f>EXP(-LN(2)/25)*AA161+(1-EXP(-LN(2)/25))/(LN(2)/25)*Calculateur!V162*Calculateur!X162*VLOOKUP('Données projet'!$B$9,Paramètres!$A$1:$I$89,3,0)*0.475*44/12</f>
        <v>7.1557698574038602</v>
      </c>
      <c r="AB162" s="21">
        <f>EXP(-LN(2)/2)*AB161+(1-EXP(-LN(2)/2))/(LN(2)/2)*V162*Y162*VLOOKUP('Données projet'!$B$9,Paramètres!$A$1:$I$89,3,0)*0.475*44/12</f>
        <v>1.1563085113891993E-7</v>
      </c>
      <c r="AC162" s="22">
        <f t="shared" si="163"/>
        <v>41.855140869084373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349.71285006949597</v>
      </c>
      <c r="AO162" s="59">
        <f t="shared" si="144"/>
        <v>258.51550516456842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32.061385423600001</v>
      </c>
      <c r="AV162" s="21">
        <f>EXP(-LN(2)/25)*AV161+(1-EXP(-LN(2)/25))/(LN(2)/25)*Calculateur!AQ162*Calculateur!AS162*VLOOKUP('Données projet'!$B$10,Paramètres!$A$1:$I$89,3,0)*0.475*44/12</f>
        <v>5.7890638645024479</v>
      </c>
      <c r="AW162" s="21">
        <f>EXP(-LN(2)/2)*AW161+(1-EXP(-LN(2)/2))/(LN(2)/2)*AQ162*AT162*VLOOKUP('Données projet'!$B$10,Paramètres!$A$1:$I$89,3,0)*0.475*44/12</f>
        <v>9.0957142069749401E-11</v>
      </c>
      <c r="AX162" s="21">
        <f t="shared" si="166"/>
        <v>37.850449288193403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1.7174999999999976</v>
      </c>
      <c r="BD162" s="12">
        <f>IF('Données projet'!$A$88&gt;35,BD161+BC162-BL161,IF(A162&lt;'Données projet'!$A$88,$BA$205^A162,IF(A162='Données projet'!$A$88,'Données projet'!$B$88,BD161+BC162-BL161)))</f>
        <v>130.82500000000053</v>
      </c>
      <c r="BE162" s="13">
        <f>BD162*VLOOKUP('Données projet'!$B$11,Paramètres!$A$1:$I$89,3,0)*VLOOKUP('Données projet'!$B$11,Paramètres!$A$1:$I$89,5,0)</f>
        <v>118.37046000000048</v>
      </c>
      <c r="BF162" s="13">
        <f t="shared" si="167"/>
        <v>31.29463394593726</v>
      </c>
      <c r="BG162" s="20">
        <f t="shared" si="168"/>
        <v>260.6667052891749</v>
      </c>
      <c r="BH162" s="59">
        <f t="shared" si="116"/>
        <v>554.00003862250821</v>
      </c>
      <c r="BI162" s="59">
        <f ca="1">AVERAGE(OFFSET($BH$3,0,0,'Données projet'!$E$11+1,1))-AVERAGE(OFFSET($H$3,0,0,'Données projet'!$E$11+1,1))</f>
        <v>490.06222615476065</v>
      </c>
      <c r="BJ162" s="59">
        <f t="shared" si="146"/>
        <v>310.43914804089906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89.899982234641612</v>
      </c>
      <c r="BQ162" s="21">
        <f>EXP(-LN(2)/25)*BQ161+(1-EXP(-LN(2)/25))/(LN(2)/25)*Calculateur!BL162*Calculateur!BN162*VLOOKUP('Données projet'!$B$11,Paramètres!$A$1:$I$89,3,0)*0.475*44/12</f>
        <v>18.011561268819619</v>
      </c>
      <c r="BR162" s="21">
        <f>EXP(-LN(2)/2)*BR161+(1-EXP(-LN(2)/2))/(LN(2)/2)*BL162*BO162*VLOOKUP('Données projet'!$B$11,Paramètres!$A$1:$I$89,3,0)*0.475*44/12</f>
        <v>2.2173739046943002</v>
      </c>
      <c r="BS162" s="22">
        <f t="shared" si="169"/>
        <v>110.12891740815553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354.52232399999963</v>
      </c>
      <c r="CA162" s="13">
        <f t="shared" si="170"/>
        <v>82.493007805005064</v>
      </c>
      <c r="CB162" s="20">
        <f t="shared" si="171"/>
        <v>761.13503622704968</v>
      </c>
      <c r="CC162" s="59">
        <f t="shared" si="119"/>
        <v>1054.4683695603831</v>
      </c>
      <c r="CD162" s="59">
        <f ca="1">AVERAGE(OFFSET($CC$3,0,0,'Données projet'!$E$12+1,1))-AVERAGE(OFFSET($H$3,0,0,'Données projet'!$E$12+1,1))</f>
        <v>510.71380643466227</v>
      </c>
      <c r="CE162" s="59">
        <f t="shared" si="148"/>
        <v>252.40654099948841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23.961380854183329</v>
      </c>
      <c r="CL162" s="21">
        <f>EXP(-LN(2)/25)*CL161+(1-EXP(-LN(2)/25))/(LN(2)/25)*Calculateur!CG162*Calculateur!CI162*VLOOKUP('Données projet'!$B$12,Paramètres!$A$1:$I$89,3,0)*0.475*44/12</f>
        <v>21.077923658690608</v>
      </c>
      <c r="CM162" s="21">
        <f>EXP(-LN(2)/2)*CM161+(1-EXP(-LN(2)/2))/(LN(2)/2)*CG162*CJ162*VLOOKUP('Données projet'!$B$12,Paramètres!$A$1:$I$89,3,0)*0.475*44/12</f>
        <v>5.3764511945512776</v>
      </c>
      <c r="CN162" s="22">
        <f t="shared" si="172"/>
        <v>50.41575570742522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2.5579538487363607E-13</v>
      </c>
      <c r="CU162" s="17">
        <f>CT162*VLOOKUP('Données projet'!$B$13,Paramètres!$A$1:$I$89,3,0)*VLOOKUP('Données projet'!$B$13,Paramètres!$A$1:$I$89,5,0)</f>
        <v>2.7533815227798186E-13</v>
      </c>
      <c r="CV162" s="13">
        <f t="shared" si="173"/>
        <v>3.6763598146902537E-12</v>
      </c>
      <c r="CW162" s="20">
        <f t="shared" si="174"/>
        <v>6.88254062580301E-12</v>
      </c>
      <c r="CX162" s="59">
        <f t="shared" si="122"/>
        <v>293.33333333334019</v>
      </c>
      <c r="CY162" s="59">
        <f ca="1">AVERAGE(OFFSET($CX$3,0,0,'Données projet'!$E$13+1,1))-AVERAGE(OFFSET($H$3,0,0,'Données projet'!$E$13+1,1))</f>
        <v>502.65044103360322</v>
      </c>
      <c r="CZ162" s="59">
        <f t="shared" si="150"/>
        <v>321.65762891855167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75.673936354089079</v>
      </c>
      <c r="DG162" s="21">
        <f>EXP(-LN(2)/25)*DG161+(1-EXP(-LN(2)/25))/(LN(2)/25)*Calculateur!DB162*Calculateur!DD162*VLOOKUP('Données projet'!$B$13,Paramètres!$A$1:$I$89,3,0)*0.475*44/12</f>
        <v>12.532905813950528</v>
      </c>
      <c r="DH162" s="21">
        <f>EXP(-LN(2)/2)*DH161+(1-EXP(-LN(2)/2))/(LN(2)/2)*DB162*DE162*VLOOKUP('Données projet'!$B$13,Paramètres!$A$1:$I$89,3,0)*0.475*44/12</f>
        <v>3.4961086204920289E-4</v>
      </c>
      <c r="DI162" s="22">
        <f t="shared" si="175"/>
        <v>88.207191778901645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-25.899999999999977</v>
      </c>
      <c r="DP162" s="17">
        <f>DO162*VLOOKUP('Données projet'!$B$14,Paramètres!$A$1:$I$89,3,0)*VLOOKUP('Données projet'!$B$14,Paramètres!$A$1:$I$89,5,0)</f>
        <v>-13.171703999999989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63.94726564348116</v>
      </c>
      <c r="DU162" s="59">
        <f t="shared" si="152"/>
        <v>280.8165028422905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3.9650048953835535</v>
      </c>
      <c r="EB162" s="21">
        <f>EXP(-LN(2)/25)*EB161+(1-EXP(-LN(2)/25))/(LN(2)/25)*Calculateur!DW162*Calculateur!DY162*VLOOKUP('Données projet'!$B$14,Paramètres!$A$1:$I$89,3,0)*0.475*44/12</f>
        <v>0.18174535002933839</v>
      </c>
      <c r="EC162" s="21">
        <f>EXP(-LN(2)/2)*EC161+(1-EXP(-LN(2)/2))/(LN(2)/2)*DW162*DZ162*VLOOKUP('Données projet'!$B$14,Paramètres!$A$1:$I$89,3,0)*0.475*44/12</f>
        <v>3.7246614050703959E-21</v>
      </c>
      <c r="ED162" s="22">
        <f t="shared" si="178"/>
        <v>4.1467502454128917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-5.9685589803848416E-13</v>
      </c>
      <c r="O163" s="13">
        <f>N163*VLOOKUP('Données projet'!$B$9,Paramètres!$A$1:$I$89,3,0)*VLOOKUP('Données projet'!$B$9,Paramètres!$A$1:$I$89,5,0)</f>
        <v>-3.4140157367801295E-13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294.9631697747962</v>
      </c>
      <c r="T163" s="59">
        <f t="shared" si="142"/>
        <v>202.04924881627716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34.018937397304548</v>
      </c>
      <c r="AA163" s="21">
        <f>EXP(-LN(2)/25)*AA162+(1-EXP(-LN(2)/25))/(LN(2)/25)*Calculateur!V163*Calculateur!X163*VLOOKUP('Données projet'!$B$9,Paramètres!$A$1:$I$89,3,0)*0.475*44/12</f>
        <v>6.9600949543475696</v>
      </c>
      <c r="AB163" s="21">
        <f>EXP(-LN(2)/2)*AB162+(1-EXP(-LN(2)/2))/(LN(2)/2)*V163*Y163*VLOOKUP('Données projet'!$B$9,Paramètres!$A$1:$I$89,3,0)*0.475*44/12</f>
        <v>8.1763358954702512E-8</v>
      </c>
      <c r="AC163" s="22">
        <f t="shared" si="163"/>
        <v>40.979032433415476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349.71285006949597</v>
      </c>
      <c r="AO163" s="59">
        <f t="shared" si="144"/>
        <v>258.51550516456842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31.432681210957366</v>
      </c>
      <c r="AV163" s="21">
        <f>EXP(-LN(2)/25)*AV162+(1-EXP(-LN(2)/25))/(LN(2)/25)*Calculateur!AQ163*Calculateur!AS163*VLOOKUP('Données projet'!$B$10,Paramètres!$A$1:$I$89,3,0)*0.475*44/12</f>
        <v>5.6307616086939909</v>
      </c>
      <c r="AW163" s="21">
        <f>EXP(-LN(2)/2)*AW162+(1-EXP(-LN(2)/2))/(LN(2)/2)*AQ163*AT163*VLOOKUP('Données projet'!$B$10,Paramètres!$A$1:$I$89,3,0)*0.475*44/12</f>
        <v>6.4316411954868005E-11</v>
      </c>
      <c r="AX163" s="21">
        <f t="shared" si="166"/>
        <v>37.063442819715675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1.7174999999999976</v>
      </c>
      <c r="BD163" s="12">
        <f>IF('Données projet'!$A$88&gt;35,BD162+BC163-BL162,IF(A163&lt;'Données projet'!$A$88,$BA$205^A163,IF(A163='Données projet'!$A$88,'Données projet'!$B$88,BD162+BC163-BL162)))</f>
        <v>132.54250000000053</v>
      </c>
      <c r="BE163" s="13">
        <f>BD163*VLOOKUP('Données projet'!$B$11,Paramètres!$A$1:$I$89,3,0)*VLOOKUP('Données projet'!$B$11,Paramètres!$A$1:$I$89,5,0)</f>
        <v>119.92445400000048</v>
      </c>
      <c r="BF163" s="13">
        <f t="shared" si="167"/>
        <v>31.657378784489545</v>
      </c>
      <c r="BG163" s="20">
        <f t="shared" si="168"/>
        <v>264.00502543298677</v>
      </c>
      <c r="BH163" s="59">
        <f t="shared" si="116"/>
        <v>557.33835876632008</v>
      </c>
      <c r="BI163" s="59">
        <f ca="1">AVERAGE(OFFSET($BH$3,0,0,'Données projet'!$E$11+1,1))-AVERAGE(OFFSET($H$3,0,0,'Données projet'!$E$11+1,1))</f>
        <v>490.06222615476065</v>
      </c>
      <c r="BJ163" s="59">
        <f t="shared" si="146"/>
        <v>310.43914804089906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88.137098416595094</v>
      </c>
      <c r="BQ163" s="21">
        <f>EXP(-LN(2)/25)*BQ162+(1-EXP(-LN(2)/25))/(LN(2)/25)*Calculateur!BL163*Calculateur!BN163*VLOOKUP('Données projet'!$B$11,Paramètres!$A$1:$I$89,3,0)*0.475*44/12</f>
        <v>17.519034178736906</v>
      </c>
      <c r="BR163" s="21">
        <f>EXP(-LN(2)/2)*BR162+(1-EXP(-LN(2)/2))/(LN(2)/2)*BL163*BO163*VLOOKUP('Données projet'!$B$11,Paramètres!$A$1:$I$89,3,0)*0.475*44/12</f>
        <v>1.567920124435433</v>
      </c>
      <c r="BS163" s="22">
        <f t="shared" si="169"/>
        <v>107.22405271976743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361.94880799999964</v>
      </c>
      <c r="CA163" s="13">
        <f t="shared" si="170"/>
        <v>84.018067331968155</v>
      </c>
      <c r="CB163" s="20">
        <f t="shared" si="171"/>
        <v>776.72564120317713</v>
      </c>
      <c r="CC163" s="59">
        <f t="shared" si="119"/>
        <v>1070.0589745365105</v>
      </c>
      <c r="CD163" s="59">
        <f ca="1">AVERAGE(OFFSET($CC$3,0,0,'Données projet'!$E$12+1,1))-AVERAGE(OFFSET($H$3,0,0,'Données projet'!$E$12+1,1))</f>
        <v>510.71380643466227</v>
      </c>
      <c r="CE163" s="59">
        <f t="shared" si="148"/>
        <v>252.40654099948841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23.491512790632004</v>
      </c>
      <c r="CL163" s="21">
        <f>EXP(-LN(2)/25)*CL162+(1-EXP(-LN(2)/25))/(LN(2)/25)*Calculateur!CG163*Calculateur!CI163*VLOOKUP('Données projet'!$B$12,Paramètres!$A$1:$I$89,3,0)*0.475*44/12</f>
        <v>20.501546727803884</v>
      </c>
      <c r="CM163" s="21">
        <f>EXP(-LN(2)/2)*CM162+(1-EXP(-LN(2)/2))/(LN(2)/2)*CG163*CJ163*VLOOKUP('Données projet'!$B$12,Paramètres!$A$1:$I$89,3,0)*0.475*44/12</f>
        <v>3.8017250983857225</v>
      </c>
      <c r="CN163" s="22">
        <f t="shared" si="172"/>
        <v>47.794784616821609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2.5579538487363607E-13</v>
      </c>
      <c r="CU163" s="17">
        <f>CT163*VLOOKUP('Données projet'!$B$13,Paramètres!$A$1:$I$89,3,0)*VLOOKUP('Données projet'!$B$13,Paramètres!$A$1:$I$89,5,0)</f>
        <v>2.7533815227798186E-13</v>
      </c>
      <c r="CV163" s="13">
        <f t="shared" si="173"/>
        <v>3.6763598146902537E-12</v>
      </c>
      <c r="CW163" s="20">
        <f t="shared" si="174"/>
        <v>6.88254062580301E-12</v>
      </c>
      <c r="CX163" s="59">
        <f t="shared" si="122"/>
        <v>293.33333333334019</v>
      </c>
      <c r="CY163" s="59">
        <f ca="1">AVERAGE(OFFSET($CX$3,0,0,'Données projet'!$E$13+1,1))-AVERAGE(OFFSET($H$3,0,0,'Données projet'!$E$13+1,1))</f>
        <v>502.65044103360322</v>
      </c>
      <c r="CZ163" s="59">
        <f t="shared" si="150"/>
        <v>321.65762891855167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74.19001661872899</v>
      </c>
      <c r="DG163" s="21">
        <f>EXP(-LN(2)/25)*DG162+(1-EXP(-LN(2)/25))/(LN(2)/25)*Calculateur!DB163*Calculateur!DD163*VLOOKUP('Données projet'!$B$13,Paramètres!$A$1:$I$89,3,0)*0.475*44/12</f>
        <v>12.190192845391179</v>
      </c>
      <c r="DH163" s="21">
        <f>EXP(-LN(2)/2)*DH162+(1-EXP(-LN(2)/2))/(LN(2)/2)*DB163*DE163*VLOOKUP('Données projet'!$B$13,Paramètres!$A$1:$I$89,3,0)*0.475*44/12</f>
        <v>2.4721221133146596E-4</v>
      </c>
      <c r="DI163" s="22">
        <f t="shared" si="175"/>
        <v>86.380456676331505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-25.899999999999977</v>
      </c>
      <c r="DP163" s="17">
        <f>DO163*VLOOKUP('Données projet'!$B$14,Paramètres!$A$1:$I$89,3,0)*VLOOKUP('Données projet'!$B$14,Paramètres!$A$1:$I$89,5,0)</f>
        <v>-13.171703999999989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63.94726564348116</v>
      </c>
      <c r="DU163" s="59">
        <f t="shared" si="152"/>
        <v>280.8165028422905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3.8872535677992697</v>
      </c>
      <c r="EB163" s="21">
        <f>EXP(-LN(2)/25)*EB162+(1-EXP(-LN(2)/25))/(LN(2)/25)*Calculateur!DW163*Calculateur!DY163*VLOOKUP('Données projet'!$B$14,Paramètres!$A$1:$I$89,3,0)*0.475*44/12</f>
        <v>0.17677551387521356</v>
      </c>
      <c r="EC163" s="21">
        <f>EXP(-LN(2)/2)*EC162+(1-EXP(-LN(2)/2))/(LN(2)/2)*DW163*DZ163*VLOOKUP('Données projet'!$B$14,Paramètres!$A$1:$I$89,3,0)*0.475*44/12</f>
        <v>2.6337333371490911E-21</v>
      </c>
      <c r="ED163" s="22">
        <f t="shared" si="178"/>
        <v>4.0640290816744828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-5.9685589803848416E-13</v>
      </c>
      <c r="O164" s="13">
        <f>N164*VLOOKUP('Données projet'!$B$9,Paramètres!$A$1:$I$89,3,0)*VLOOKUP('Données projet'!$B$9,Paramètres!$A$1:$I$89,5,0)</f>
        <v>-3.4140157367801295E-13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294.9631697747962</v>
      </c>
      <c r="T164" s="59">
        <f t="shared" si="142"/>
        <v>202.04924881627716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33.351846784446373</v>
      </c>
      <c r="AA164" s="21">
        <f>EXP(-LN(2)/25)*AA163+(1-EXP(-LN(2)/25))/(LN(2)/25)*Calculateur!V164*Calculateur!X164*VLOOKUP('Données projet'!$B$9,Paramètres!$A$1:$I$89,3,0)*0.475*44/12</f>
        <v>6.7697707918054491</v>
      </c>
      <c r="AB164" s="21">
        <f>EXP(-LN(2)/2)*AB163+(1-EXP(-LN(2)/2))/(LN(2)/2)*V164*Y164*VLOOKUP('Données projet'!$B$9,Paramètres!$A$1:$I$89,3,0)*0.475*44/12</f>
        <v>5.7815425569459971E-8</v>
      </c>
      <c r="AC164" s="22">
        <f t="shared" si="163"/>
        <v>40.121617634067249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349.71285006949597</v>
      </c>
      <c r="AO164" s="59">
        <f t="shared" si="144"/>
        <v>258.51550516456842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30.816305504452949</v>
      </c>
      <c r="AV164" s="21">
        <f>EXP(-LN(2)/25)*AV163+(1-EXP(-LN(2)/25))/(LN(2)/25)*Calculateur!AQ164*Calculateur!AS164*VLOOKUP('Données projet'!$B$10,Paramètres!$A$1:$I$89,3,0)*0.475*44/12</f>
        <v>5.4767881363953697</v>
      </c>
      <c r="AW164" s="21">
        <f>EXP(-LN(2)/2)*AW163+(1-EXP(-LN(2)/2))/(LN(2)/2)*AQ164*AT164*VLOOKUP('Données projet'!$B$10,Paramètres!$A$1:$I$89,3,0)*0.475*44/12</f>
        <v>4.54785710348747E-11</v>
      </c>
      <c r="AX164" s="21">
        <f t="shared" si="166"/>
        <v>36.293093640893801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1.7174999999999976</v>
      </c>
      <c r="BC164" s="12">
        <f t="array" ref="BC164">INDEX(BB:BB,MIN(IF(ISNUMBER(BB164:BB360),ROW(BB164:BB360),"")))</f>
        <v>1.7174999999999976</v>
      </c>
      <c r="BD164" s="12">
        <f>IF('Données projet'!$A$88&gt;35,BD163+BC164-BL163,IF(A164&lt;'Données projet'!$A$88,$BA$205^A164,IF(A164='Données projet'!$A$88,'Données projet'!$B$88,BD163+BC164-BL163)))</f>
        <v>134.26000000000053</v>
      </c>
      <c r="BE164" s="13">
        <f>BD164*VLOOKUP('Données projet'!$B$11,Paramètres!$A$1:$I$89,3,0)*VLOOKUP('Données projet'!$B$11,Paramètres!$A$1:$I$89,5,0)</f>
        <v>121.47844800000047</v>
      </c>
      <c r="BF164" s="13">
        <f t="shared" si="167"/>
        <v>32.019576882630901</v>
      </c>
      <c r="BG164" s="20">
        <f t="shared" si="168"/>
        <v>267.34239333724963</v>
      </c>
      <c r="BH164" s="59">
        <f t="shared" si="116"/>
        <v>560.67572667058289</v>
      </c>
      <c r="BI164" s="59">
        <f ca="1">AVERAGE(OFFSET($BH$3,0,0,'Données projet'!$E$11+1,1))-AVERAGE(OFFSET($H$3,0,0,'Données projet'!$E$11+1,1))</f>
        <v>490.06222615476065</v>
      </c>
      <c r="BJ164" s="59">
        <f t="shared" si="146"/>
        <v>310.43914804089906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134.26</v>
      </c>
      <c r="BM164" s="16">
        <f>IF(ISNA(VLOOKUP(A164,'Données projet'!$A$87:$I$107,5,0)),0%,VLOOKUP(A164,'Données projet'!$A$87:$I$107,5,0)*VLOOKUP('Données projet'!$B$11,Paramètres!$A$1:$I$89,7,0))</f>
        <v>0.19350000000000001</v>
      </c>
      <c r="BN164" s="16">
        <f>IF(ISNA(VLOOKUP(A164,'Données projet'!$A$87:$I$107,6,0)),0%,VLOOKUP(A164,'Données projet'!$A$87:$I$107,6,0)*VLOOKUP('Données projet'!$B$11,Paramètres!$A$1:$I$89,7,0))</f>
        <v>2.1500000000000002E-2</v>
      </c>
      <c r="BO164" s="16">
        <f>IF(ISNA(VLOOKUP(A164,'Données projet'!$A$87:$I$107,7,0)),0%,VLOOKUP(A164,'Données projet'!$A$87:$I$107,7,0))</f>
        <v>0.05</v>
      </c>
      <c r="BP164" s="21">
        <f>EXP(-LN(2)/35)*BP163+(1-EXP(-LN(2)/35))/(LN(2)/35)*BL164*BM164*VLOOKUP('Données projet'!$B$11,Paramètres!$A$1:$I$89,3,0)*0.475*44/12</f>
        <v>112.39405850899264</v>
      </c>
      <c r="BQ164" s="21">
        <f>EXP(-LN(2)/25)*BQ163+(1-EXP(-LN(2)/25))/(LN(2)/25)*Calculateur!BL164*Calculateur!BN164*VLOOKUP('Données projet'!$B$11,Paramètres!$A$1:$I$89,3,0)*0.475*44/12</f>
        <v>19.915859812926445</v>
      </c>
      <c r="BR164" s="21">
        <f>EXP(-LN(2)/2)*BR163+(1-EXP(-LN(2)/2))/(LN(2)/2)*BL164*BO164*VLOOKUP('Données projet'!$B$11,Paramètres!$A$1:$I$89,3,0)*0.475*44/12</f>
        <v>6.8395962139717037</v>
      </c>
      <c r="BS164" s="22">
        <f t="shared" si="169"/>
        <v>139.1495145358908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369.37529199999966</v>
      </c>
      <c r="CA164" s="13">
        <f t="shared" si="170"/>
        <v>85.539488633737008</v>
      </c>
      <c r="CB164" s="20">
        <f t="shared" si="171"/>
        <v>792.309909603758</v>
      </c>
      <c r="CC164" s="59">
        <f t="shared" si="119"/>
        <v>1085.6432429370914</v>
      </c>
      <c r="CD164" s="59">
        <f ca="1">AVERAGE(OFFSET($CC$3,0,0,'Données projet'!$E$12+1,1))-AVERAGE(OFFSET($H$3,0,0,'Données projet'!$E$12+1,1))</f>
        <v>510.71380643466227</v>
      </c>
      <c r="CE164" s="59">
        <f t="shared" si="148"/>
        <v>252.40654099948841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23.030858553215701</v>
      </c>
      <c r="CL164" s="21">
        <f>EXP(-LN(2)/25)*CL163+(1-EXP(-LN(2)/25))/(LN(2)/25)*Calculateur!CG164*Calculateur!CI164*VLOOKUP('Données projet'!$B$12,Paramètres!$A$1:$I$89,3,0)*0.475*44/12</f>
        <v>19.940930854402602</v>
      </c>
      <c r="CM164" s="21">
        <f>EXP(-LN(2)/2)*CM163+(1-EXP(-LN(2)/2))/(LN(2)/2)*CG164*CJ164*VLOOKUP('Données projet'!$B$12,Paramètres!$A$1:$I$89,3,0)*0.475*44/12</f>
        <v>2.6882255972756393</v>
      </c>
      <c r="CN164" s="22">
        <f t="shared" si="172"/>
        <v>45.660015004893943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2.5579538487363607E-13</v>
      </c>
      <c r="CU164" s="17">
        <f>CT164*VLOOKUP('Données projet'!$B$13,Paramètres!$A$1:$I$89,3,0)*VLOOKUP('Données projet'!$B$13,Paramètres!$A$1:$I$89,5,0)</f>
        <v>2.7533815227798186E-13</v>
      </c>
      <c r="CV164" s="13">
        <f t="shared" si="173"/>
        <v>3.6763598146902537E-12</v>
      </c>
      <c r="CW164" s="20">
        <f t="shared" si="174"/>
        <v>6.88254062580301E-12</v>
      </c>
      <c r="CX164" s="59">
        <f t="shared" si="122"/>
        <v>293.33333333334019</v>
      </c>
      <c r="CY164" s="59">
        <f ca="1">AVERAGE(OFFSET($CX$3,0,0,'Données projet'!$E$13+1,1))-AVERAGE(OFFSET($H$3,0,0,'Données projet'!$E$13+1,1))</f>
        <v>502.65044103360322</v>
      </c>
      <c r="CZ164" s="59">
        <f t="shared" si="150"/>
        <v>321.65762891855167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72.735195644277638</v>
      </c>
      <c r="DG164" s="21">
        <f>EXP(-LN(2)/25)*DG163+(1-EXP(-LN(2)/25))/(LN(2)/25)*Calculateur!DB164*Calculateur!DD164*VLOOKUP('Données projet'!$B$13,Paramètres!$A$1:$I$89,3,0)*0.475*44/12</f>
        <v>11.856851380979576</v>
      </c>
      <c r="DH164" s="21">
        <f>EXP(-LN(2)/2)*DH163+(1-EXP(-LN(2)/2))/(LN(2)/2)*DB164*DE164*VLOOKUP('Données projet'!$B$13,Paramètres!$A$1:$I$89,3,0)*0.475*44/12</f>
        <v>1.7480543102460145E-4</v>
      </c>
      <c r="DI164" s="22">
        <f t="shared" si="175"/>
        <v>84.592221830688246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-25.899999999999977</v>
      </c>
      <c r="DP164" s="17">
        <f>DO164*VLOOKUP('Données projet'!$B$14,Paramètres!$A$1:$I$89,3,0)*VLOOKUP('Données projet'!$B$14,Paramètres!$A$1:$I$89,5,0)</f>
        <v>-13.171703999999989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63.94726564348116</v>
      </c>
      <c r="DU164" s="59">
        <f t="shared" si="152"/>
        <v>280.8165028422905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3.8110268963252865</v>
      </c>
      <c r="EB164" s="21">
        <f>EXP(-LN(2)/25)*EB163+(1-EXP(-LN(2)/25))/(LN(2)/25)*Calculateur!DW164*Calculateur!DY164*VLOOKUP('Données projet'!$B$14,Paramètres!$A$1:$I$89,3,0)*0.475*44/12</f>
        <v>0.17194157815207561</v>
      </c>
      <c r="EC164" s="21">
        <f>EXP(-LN(2)/2)*EC163+(1-EXP(-LN(2)/2))/(LN(2)/2)*DW164*DZ164*VLOOKUP('Données projet'!$B$14,Paramètres!$A$1:$I$89,3,0)*0.475*44/12</f>
        <v>1.8623307025351979E-21</v>
      </c>
      <c r="ED164" s="22">
        <f t="shared" si="178"/>
        <v>3.9829684744773619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-5.9685589803848416E-13</v>
      </c>
      <c r="O165" s="13">
        <f>N165*VLOOKUP('Données projet'!$B$9,Paramètres!$A$1:$I$89,3,0)*VLOOKUP('Données projet'!$B$9,Paramètres!$A$1:$I$89,5,0)</f>
        <v>-3.4140157367801295E-13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294.9631697747962</v>
      </c>
      <c r="T165" s="59">
        <f t="shared" si="142"/>
        <v>202.04924881627716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32.697837411621251</v>
      </c>
      <c r="AA165" s="21">
        <f>EXP(-LN(2)/25)*AA164+(1-EXP(-LN(2)/25))/(LN(2)/25)*Calculateur!V165*Calculateur!X165*VLOOKUP('Données projet'!$B$9,Paramètres!$A$1:$I$89,3,0)*0.475*44/12</f>
        <v>6.5846510534967555</v>
      </c>
      <c r="AB165" s="21">
        <f>EXP(-LN(2)/2)*AB164+(1-EXP(-LN(2)/2))/(LN(2)/2)*V165*Y165*VLOOKUP('Données projet'!$B$9,Paramètres!$A$1:$I$89,3,0)*0.475*44/12</f>
        <v>4.0881679477351256E-8</v>
      </c>
      <c r="AC165" s="22">
        <f t="shared" si="163"/>
        <v>39.282488505999687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349.71285006949597</v>
      </c>
      <c r="AO165" s="59">
        <f t="shared" si="144"/>
        <v>258.51550516456842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30.212016549601024</v>
      </c>
      <c r="AV165" s="21">
        <f>EXP(-LN(2)/25)*AV164+(1-EXP(-LN(2)/25))/(LN(2)/25)*Calculateur!AQ165*Calculateur!AS165*VLOOKUP('Données projet'!$B$10,Paramètres!$A$1:$I$89,3,0)*0.475*44/12</f>
        <v>5.3270250767938672</v>
      </c>
      <c r="AW165" s="21">
        <f>EXP(-LN(2)/2)*AW164+(1-EXP(-LN(2)/2))/(LN(2)/2)*AQ165*AT165*VLOOKUP('Données projet'!$B$10,Paramètres!$A$1:$I$89,3,0)*0.475*44/12</f>
        <v>3.2158205977434003E-11</v>
      </c>
      <c r="AX165" s="21">
        <f t="shared" si="166"/>
        <v>35.53904162642705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5.4001247917767614E-13</v>
      </c>
      <c r="BE165" s="13">
        <f>BD165*VLOOKUP('Données projet'!$B$11,Paramètres!$A$1:$I$89,3,0)*VLOOKUP('Données projet'!$B$11,Paramètres!$A$1:$I$89,5,0)</f>
        <v>4.8860329115996133E-13</v>
      </c>
      <c r="BF165" s="13">
        <f t="shared" si="167"/>
        <v>6.1025862939685007E-12</v>
      </c>
      <c r="BG165" s="20">
        <f t="shared" si="168"/>
        <v>1.1479655194098737E-11</v>
      </c>
      <c r="BH165" s="59">
        <f t="shared" si="116"/>
        <v>293.3333333333448</v>
      </c>
      <c r="BI165" s="59">
        <f ca="1">AVERAGE(OFFSET($BH$3,0,0,'Données projet'!$E$11+1,1))-AVERAGE(OFFSET($H$3,0,0,'Données projet'!$E$11+1,1))</f>
        <v>490.06222615476065</v>
      </c>
      <c r="BJ165" s="59">
        <f t="shared" si="146"/>
        <v>310.43914804089906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110.19007957523789</v>
      </c>
      <c r="BQ165" s="21">
        <f>EXP(-LN(2)/25)*BQ164+(1-EXP(-LN(2)/25))/(LN(2)/25)*Calculateur!BL165*Calculateur!BN165*VLOOKUP('Données projet'!$B$11,Paramètres!$A$1:$I$89,3,0)*0.475*44/12</f>
        <v>19.371259579012424</v>
      </c>
      <c r="BR165" s="21">
        <f>EXP(-LN(2)/2)*BR164+(1-EXP(-LN(2)/2))/(LN(2)/2)*BL165*BO165*VLOOKUP('Données projet'!$B$11,Paramètres!$A$1:$I$89,3,0)*0.475*44/12</f>
        <v>4.8363248634772287</v>
      </c>
      <c r="BS165" s="22">
        <f t="shared" si="169"/>
        <v>134.39766401772752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376.80177599999968</v>
      </c>
      <c r="CA165" s="13">
        <f t="shared" si="170"/>
        <v>87.057353288824828</v>
      </c>
      <c r="CB165" s="20">
        <f t="shared" si="171"/>
        <v>807.88798351136938</v>
      </c>
      <c r="CC165" s="59">
        <f t="shared" si="119"/>
        <v>1101.2213168447026</v>
      </c>
      <c r="CD165" s="59">
        <f ca="1">AVERAGE(OFFSET($CC$3,0,0,'Données projet'!$E$12+1,1))-AVERAGE(OFFSET($H$3,0,0,'Données projet'!$E$12+1,1))</f>
        <v>510.71380643466227</v>
      </c>
      <c r="CE165" s="59">
        <f t="shared" si="148"/>
        <v>252.40654099948841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22.579237464423791</v>
      </c>
      <c r="CL165" s="21">
        <f>EXP(-LN(2)/25)*CL164+(1-EXP(-LN(2)/25))/(LN(2)/25)*Calculateur!CG165*Calculateur!CI165*VLOOKUP('Données projet'!$B$12,Paramètres!$A$1:$I$89,3,0)*0.475*44/12</f>
        <v>19.395645051540985</v>
      </c>
      <c r="CM165" s="21">
        <f>EXP(-LN(2)/2)*CM164+(1-EXP(-LN(2)/2))/(LN(2)/2)*CG165*CJ165*VLOOKUP('Données projet'!$B$12,Paramètres!$A$1:$I$89,3,0)*0.475*44/12</f>
        <v>1.9008625491928617</v>
      </c>
      <c r="CN165" s="22">
        <f t="shared" si="172"/>
        <v>43.875745065157638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2.5579538487363607E-13</v>
      </c>
      <c r="CU165" s="17">
        <f>CT165*VLOOKUP('Données projet'!$B$13,Paramètres!$A$1:$I$89,3,0)*VLOOKUP('Données projet'!$B$13,Paramètres!$A$1:$I$89,5,0)</f>
        <v>2.7533815227798186E-13</v>
      </c>
      <c r="CV165" s="13">
        <f t="shared" si="173"/>
        <v>3.6763598146902537E-12</v>
      </c>
      <c r="CW165" s="20">
        <f t="shared" si="174"/>
        <v>6.88254062580301E-12</v>
      </c>
      <c r="CX165" s="59">
        <f t="shared" si="122"/>
        <v>293.33333333334019</v>
      </c>
      <c r="CY165" s="59">
        <f ca="1">AVERAGE(OFFSET($CX$3,0,0,'Données projet'!$E$13+1,1))-AVERAGE(OFFSET($H$3,0,0,'Données projet'!$E$13+1,1))</f>
        <v>502.65044103360322</v>
      </c>
      <c r="CZ165" s="59">
        <f t="shared" si="150"/>
        <v>321.65762891855167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71.308902821782112</v>
      </c>
      <c r="DG165" s="21">
        <f>EXP(-LN(2)/25)*DG164+(1-EXP(-LN(2)/25))/(LN(2)/25)*Calculateur!DB165*Calculateur!DD165*VLOOKUP('Données projet'!$B$13,Paramètres!$A$1:$I$89,3,0)*0.475*44/12</f>
        <v>11.532625156441974</v>
      </c>
      <c r="DH165" s="21">
        <f>EXP(-LN(2)/2)*DH164+(1-EXP(-LN(2)/2))/(LN(2)/2)*DB165*DE165*VLOOKUP('Données projet'!$B$13,Paramètres!$A$1:$I$89,3,0)*0.475*44/12</f>
        <v>1.2360610566573298E-4</v>
      </c>
      <c r="DI165" s="22">
        <f t="shared" si="175"/>
        <v>82.841651584329753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-25.899999999999977</v>
      </c>
      <c r="DP165" s="17">
        <f>DO165*VLOOKUP('Données projet'!$B$14,Paramètres!$A$1:$I$89,3,0)*VLOOKUP('Données projet'!$B$14,Paramètres!$A$1:$I$89,5,0)</f>
        <v>-13.171703999999989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63.94726564348116</v>
      </c>
      <c r="DU165" s="59">
        <f t="shared" si="152"/>
        <v>280.8165028422905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3.7362949833852293</v>
      </c>
      <c r="EB165" s="21">
        <f>EXP(-LN(2)/25)*EB164+(1-EXP(-LN(2)/25))/(LN(2)/25)*Calculateur!DW165*Calculateur!DY165*VLOOKUP('Données projet'!$B$14,Paramètres!$A$1:$I$89,3,0)*0.475*44/12</f>
        <v>0.1672398266554925</v>
      </c>
      <c r="EC165" s="21">
        <f>EXP(-LN(2)/2)*EC164+(1-EXP(-LN(2)/2))/(LN(2)/2)*DW165*DZ165*VLOOKUP('Données projet'!$B$14,Paramètres!$A$1:$I$89,3,0)*0.475*44/12</f>
        <v>1.3168666685745456E-21</v>
      </c>
      <c r="ED165" s="22">
        <f t="shared" si="178"/>
        <v>3.9035348100407217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-5.9685589803848416E-13</v>
      </c>
      <c r="O166" s="13">
        <f>N166*VLOOKUP('Données projet'!$B$9,Paramètres!$A$1:$I$89,3,0)*VLOOKUP('Données projet'!$B$9,Paramètres!$A$1:$I$89,5,0)</f>
        <v>-3.4140157367801295E-13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294.9631697747962</v>
      </c>
      <c r="T166" s="59">
        <f t="shared" si="142"/>
        <v>202.04924881627716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32.056652763690899</v>
      </c>
      <c r="AA166" s="21">
        <f>EXP(-LN(2)/25)*AA165+(1-EXP(-LN(2)/25))/(LN(2)/25)*Calculateur!V166*Calculateur!X166*VLOOKUP('Données projet'!$B$9,Paramètres!$A$1:$I$89,3,0)*0.475*44/12</f>
        <v>6.4045934241671372</v>
      </c>
      <c r="AB166" s="21">
        <f>EXP(-LN(2)/2)*AB165+(1-EXP(-LN(2)/2))/(LN(2)/2)*V166*Y166*VLOOKUP('Données projet'!$B$9,Paramètres!$A$1:$I$89,3,0)*0.475*44/12</f>
        <v>2.8907712784729985E-8</v>
      </c>
      <c r="AC166" s="22">
        <f t="shared" si="163"/>
        <v>38.461246216765751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349.71285006949597</v>
      </c>
      <c r="AO166" s="59">
        <f t="shared" si="144"/>
        <v>258.51550516456842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29.619577332573879</v>
      </c>
      <c r="AV166" s="21">
        <f>EXP(-LN(2)/25)*AV165+(1-EXP(-LN(2)/25))/(LN(2)/25)*Calculateur!AQ166*Calculateur!AS166*VLOOKUP('Données projet'!$B$10,Paramètres!$A$1:$I$89,3,0)*0.475*44/12</f>
        <v>5.1813572959328651</v>
      </c>
      <c r="AW166" s="21">
        <f>EXP(-LN(2)/2)*AW165+(1-EXP(-LN(2)/2))/(LN(2)/2)*AQ166*AT166*VLOOKUP('Données projet'!$B$10,Paramètres!$A$1:$I$89,3,0)*0.475*44/12</f>
        <v>2.273928551743735E-11</v>
      </c>
      <c r="AX166" s="21">
        <f t="shared" si="166"/>
        <v>34.800934628529482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5.4001247917767614E-13</v>
      </c>
      <c r="BE166" s="13">
        <f>BD166*VLOOKUP('Données projet'!$B$11,Paramètres!$A$1:$I$89,3,0)*VLOOKUP('Données projet'!$B$11,Paramètres!$A$1:$I$89,5,0)</f>
        <v>4.8860329115996133E-13</v>
      </c>
      <c r="BF166" s="13">
        <f t="shared" si="167"/>
        <v>6.1025862939685007E-12</v>
      </c>
      <c r="BG166" s="20">
        <f t="shared" si="168"/>
        <v>1.1479655194098737E-11</v>
      </c>
      <c r="BH166" s="59">
        <f t="shared" si="116"/>
        <v>293.3333333333448</v>
      </c>
      <c r="BI166" s="59">
        <f ca="1">AVERAGE(OFFSET($BH$3,0,0,'Données projet'!$E$11+1,1))-AVERAGE(OFFSET($H$3,0,0,'Données projet'!$E$11+1,1))</f>
        <v>490.06222615476065</v>
      </c>
      <c r="BJ166" s="59">
        <f t="shared" si="146"/>
        <v>310.43914804089906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108.02931932407965</v>
      </c>
      <c r="BQ166" s="21">
        <f>EXP(-LN(2)/25)*BQ165+(1-EXP(-LN(2)/25))/(LN(2)/25)*Calculateur!BL166*Calculateur!BN166*VLOOKUP('Données projet'!$B$11,Paramètres!$A$1:$I$89,3,0)*0.475*44/12</f>
        <v>18.84155146713406</v>
      </c>
      <c r="BR166" s="21">
        <f>EXP(-LN(2)/2)*BR165+(1-EXP(-LN(2)/2))/(LN(2)/2)*BL166*BO166*VLOOKUP('Données projet'!$B$11,Paramètres!$A$1:$I$89,3,0)*0.475*44/12</f>
        <v>3.4197981069858523</v>
      </c>
      <c r="BS166" s="22">
        <f t="shared" si="169"/>
        <v>130.29066889819958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384.22825999999969</v>
      </c>
      <c r="CA166" s="13">
        <f t="shared" si="170"/>
        <v>88.571739476126965</v>
      </c>
      <c r="CB166" s="20">
        <f t="shared" si="171"/>
        <v>823.45999908758722</v>
      </c>
      <c r="CC166" s="59">
        <f t="shared" si="119"/>
        <v>1116.7933324209205</v>
      </c>
      <c r="CD166" s="59">
        <f ca="1">AVERAGE(OFFSET($CC$3,0,0,'Données projet'!$E$12+1,1))-AVERAGE(OFFSET($H$3,0,0,'Données projet'!$E$12+1,1))</f>
        <v>510.71380643466227</v>
      </c>
      <c r="CE166" s="59">
        <f t="shared" si="148"/>
        <v>252.40654099948841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22.136472389721423</v>
      </c>
      <c r="CL166" s="21">
        <f>EXP(-LN(2)/25)*CL165+(1-EXP(-LN(2)/25))/(LN(2)/25)*Calculateur!CG166*Calculateur!CI166*VLOOKUP('Données projet'!$B$12,Paramètres!$A$1:$I$89,3,0)*0.475*44/12</f>
        <v>18.865270117633951</v>
      </c>
      <c r="CM166" s="21">
        <f>EXP(-LN(2)/2)*CM165+(1-EXP(-LN(2)/2))/(LN(2)/2)*CG166*CJ166*VLOOKUP('Données projet'!$B$12,Paramètres!$A$1:$I$89,3,0)*0.475*44/12</f>
        <v>1.3441127986378199</v>
      </c>
      <c r="CN166" s="22">
        <f t="shared" si="172"/>
        <v>42.345855305993197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2.5579538487363607E-13</v>
      </c>
      <c r="CU166" s="17">
        <f>CT166*VLOOKUP('Données projet'!$B$13,Paramètres!$A$1:$I$89,3,0)*VLOOKUP('Données projet'!$B$13,Paramètres!$A$1:$I$89,5,0)</f>
        <v>2.7533815227798186E-13</v>
      </c>
      <c r="CV166" s="13">
        <f t="shared" si="173"/>
        <v>3.6763598146902537E-12</v>
      </c>
      <c r="CW166" s="20">
        <f t="shared" si="174"/>
        <v>6.88254062580301E-12</v>
      </c>
      <c r="CX166" s="59">
        <f t="shared" si="122"/>
        <v>293.33333333334019</v>
      </c>
      <c r="CY166" s="59">
        <f ca="1">AVERAGE(OFFSET($CX$3,0,0,'Données projet'!$E$13+1,1))-AVERAGE(OFFSET($H$3,0,0,'Données projet'!$E$13+1,1))</f>
        <v>502.65044103360322</v>
      </c>
      <c r="CZ166" s="59">
        <f t="shared" si="150"/>
        <v>321.65762891855167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69.910578731583001</v>
      </c>
      <c r="DG166" s="21">
        <f>EXP(-LN(2)/25)*DG165+(1-EXP(-LN(2)/25))/(LN(2)/25)*Calculateur!DB166*Calculateur!DD166*VLOOKUP('Données projet'!$B$13,Paramètres!$A$1:$I$89,3,0)*0.475*44/12</f>
        <v>11.217264915064669</v>
      </c>
      <c r="DH166" s="21">
        <f>EXP(-LN(2)/2)*DH165+(1-EXP(-LN(2)/2))/(LN(2)/2)*DB166*DE166*VLOOKUP('Données projet'!$B$13,Paramètres!$A$1:$I$89,3,0)*0.475*44/12</f>
        <v>8.7402715512300723E-5</v>
      </c>
      <c r="DI166" s="22">
        <f t="shared" si="175"/>
        <v>81.127931049363184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-25.899999999999977</v>
      </c>
      <c r="DP166" s="17">
        <f>DO166*VLOOKUP('Données projet'!$B$14,Paramètres!$A$1:$I$89,3,0)*VLOOKUP('Données projet'!$B$14,Paramètres!$A$1:$I$89,5,0)</f>
        <v>-13.171703999999989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63.94726564348116</v>
      </c>
      <c r="DU166" s="59">
        <f t="shared" si="152"/>
        <v>280.8165028422905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3.6630285176759605</v>
      </c>
      <c r="EB166" s="21">
        <f>EXP(-LN(2)/25)*EB165+(1-EXP(-LN(2)/25))/(LN(2)/25)*Calculateur!DW166*Calculateur!DY166*VLOOKUP('Données projet'!$B$14,Paramètres!$A$1:$I$89,3,0)*0.475*44/12</f>
        <v>0.16266664480083781</v>
      </c>
      <c r="EC166" s="21">
        <f>EXP(-LN(2)/2)*EC165+(1-EXP(-LN(2)/2))/(LN(2)/2)*DW166*DZ166*VLOOKUP('Données projet'!$B$14,Paramètres!$A$1:$I$89,3,0)*0.475*44/12</f>
        <v>9.3116535126759897E-22</v>
      </c>
      <c r="ED166" s="22">
        <f t="shared" si="178"/>
        <v>3.8256951624767983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-5.9685589803848416E-13</v>
      </c>
      <c r="O167" s="13">
        <f>N167*VLOOKUP('Données projet'!$B$9,Paramètres!$A$1:$I$89,3,0)*VLOOKUP('Données projet'!$B$9,Paramètres!$A$1:$I$89,5,0)</f>
        <v>-3.4140157367801295E-13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294.9631697747962</v>
      </c>
      <c r="T167" s="59">
        <f t="shared" si="142"/>
        <v>202.04924881627716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31.428041355622444</v>
      </c>
      <c r="AA167" s="21">
        <f>EXP(-LN(2)/25)*AA166+(1-EXP(-LN(2)/25))/(LN(2)/25)*Calculateur!V167*Calculateur!X167*VLOOKUP('Données projet'!$B$9,Paramètres!$A$1:$I$89,3,0)*0.475*44/12</f>
        <v>6.2294594801803562</v>
      </c>
      <c r="AB167" s="21">
        <f>EXP(-LN(2)/2)*AB166+(1-EXP(-LN(2)/2))/(LN(2)/2)*V167*Y167*VLOOKUP('Données projet'!$B$9,Paramètres!$A$1:$I$89,3,0)*0.475*44/12</f>
        <v>2.0440839738675628E-8</v>
      </c>
      <c r="AC167" s="22">
        <f t="shared" si="163"/>
        <v>37.657500856243637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349.71285006949597</v>
      </c>
      <c r="AO167" s="59">
        <f t="shared" si="144"/>
        <v>258.51550516456842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29.038755487240394</v>
      </c>
      <c r="AV167" s="21">
        <f>EXP(-LN(2)/25)*AV166+(1-EXP(-LN(2)/25))/(LN(2)/25)*Calculateur!AQ167*Calculateur!AS167*VLOOKUP('Données projet'!$B$10,Paramètres!$A$1:$I$89,3,0)*0.475*44/12</f>
        <v>5.0396728081998425</v>
      </c>
      <c r="AW167" s="21">
        <f>EXP(-LN(2)/2)*AW166+(1-EXP(-LN(2)/2))/(LN(2)/2)*AQ167*AT167*VLOOKUP('Données projet'!$B$10,Paramètres!$A$1:$I$89,3,0)*0.475*44/12</f>
        <v>1.6079102988717001E-11</v>
      </c>
      <c r="AX167" s="21">
        <f t="shared" si="166"/>
        <v>34.078428295456312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5.4001247917767614E-13</v>
      </c>
      <c r="BE167" s="13">
        <f>BD167*VLOOKUP('Données projet'!$B$11,Paramètres!$A$1:$I$89,3,0)*VLOOKUP('Données projet'!$B$11,Paramètres!$A$1:$I$89,5,0)</f>
        <v>4.8860329115996133E-13</v>
      </c>
      <c r="BF167" s="13">
        <f t="shared" si="167"/>
        <v>6.1025862939685007E-12</v>
      </c>
      <c r="BG167" s="20">
        <f t="shared" si="168"/>
        <v>1.1479655194098737E-11</v>
      </c>
      <c r="BH167" s="59">
        <f t="shared" si="116"/>
        <v>293.3333333333448</v>
      </c>
      <c r="BI167" s="59">
        <f ca="1">AVERAGE(OFFSET($BH$3,0,0,'Données projet'!$E$11+1,1))-AVERAGE(OFFSET($H$3,0,0,'Données projet'!$E$11+1,1))</f>
        <v>490.06222615476065</v>
      </c>
      <c r="BJ167" s="59">
        <f t="shared" si="146"/>
        <v>310.43914804089906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105.91093026351301</v>
      </c>
      <c r="BQ167" s="21">
        <f>EXP(-LN(2)/25)*BQ166+(1-EXP(-LN(2)/25))/(LN(2)/25)*Calculateur!BL167*Calculateur!BN167*VLOOKUP('Données projet'!$B$11,Paramètres!$A$1:$I$89,3,0)*0.475*44/12</f>
        <v>18.32632825143115</v>
      </c>
      <c r="BR167" s="21">
        <f>EXP(-LN(2)/2)*BR166+(1-EXP(-LN(2)/2))/(LN(2)/2)*BL167*BO167*VLOOKUP('Données projet'!$B$11,Paramètres!$A$1:$I$89,3,0)*0.475*44/12</f>
        <v>2.4181624317386148</v>
      </c>
      <c r="BS167" s="22">
        <f t="shared" si="169"/>
        <v>126.65542094668277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391.65474399999971</v>
      </c>
      <c r="CA167" s="13">
        <f t="shared" si="170"/>
        <v>90.082722179516836</v>
      </c>
      <c r="CB167" s="20">
        <f t="shared" si="171"/>
        <v>839.02608692932472</v>
      </c>
      <c r="CC167" s="59">
        <f t="shared" si="119"/>
        <v>1132.359420262658</v>
      </c>
      <c r="CD167" s="59">
        <f ca="1">AVERAGE(OFFSET($CC$3,0,0,'Données projet'!$E$12+1,1))-AVERAGE(OFFSET($H$3,0,0,'Données projet'!$E$12+1,1))</f>
        <v>510.71380643466227</v>
      </c>
      <c r="CE167" s="59">
        <f t="shared" si="148"/>
        <v>252.40654099948841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21.702389668073941</v>
      </c>
      <c r="CL167" s="21">
        <f>EXP(-LN(2)/25)*CL166+(1-EXP(-LN(2)/25))/(LN(2)/25)*Calculateur!CG167*Calculateur!CI167*VLOOKUP('Données projet'!$B$12,Paramètres!$A$1:$I$89,3,0)*0.475*44/12</f>
        <v>18.349398314185812</v>
      </c>
      <c r="CM167" s="21">
        <f>EXP(-LN(2)/2)*CM166+(1-EXP(-LN(2)/2))/(LN(2)/2)*CG167*CJ167*VLOOKUP('Données projet'!$B$12,Paramètres!$A$1:$I$89,3,0)*0.475*44/12</f>
        <v>0.95043127459643095</v>
      </c>
      <c r="CN167" s="22">
        <f t="shared" si="172"/>
        <v>41.002219256856186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2.5579538487363607E-13</v>
      </c>
      <c r="CU167" s="17">
        <f>CT167*VLOOKUP('Données projet'!$B$13,Paramètres!$A$1:$I$89,3,0)*VLOOKUP('Données projet'!$B$13,Paramètres!$A$1:$I$89,5,0)</f>
        <v>2.7533815227798186E-13</v>
      </c>
      <c r="CV167" s="13">
        <f t="shared" si="173"/>
        <v>3.6763598146902537E-12</v>
      </c>
      <c r="CW167" s="20">
        <f t="shared" si="174"/>
        <v>6.88254062580301E-12</v>
      </c>
      <c r="CX167" s="59">
        <f t="shared" si="122"/>
        <v>293.33333333334019</v>
      </c>
      <c r="CY167" s="59">
        <f ca="1">AVERAGE(OFFSET($CX$3,0,0,'Données projet'!$E$13+1,1))-AVERAGE(OFFSET($H$3,0,0,'Données projet'!$E$13+1,1))</f>
        <v>502.65044103360322</v>
      </c>
      <c r="CZ167" s="59">
        <f t="shared" si="150"/>
        <v>321.65762891855167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68.539674923899213</v>
      </c>
      <c r="DG167" s="21">
        <f>EXP(-LN(2)/25)*DG166+(1-EXP(-LN(2)/25))/(LN(2)/25)*Calculateur!DB167*Calculateur!DD167*VLOOKUP('Données projet'!$B$13,Paramètres!$A$1:$I$89,3,0)*0.475*44/12</f>
        <v>10.910528216071901</v>
      </c>
      <c r="DH167" s="21">
        <f>EXP(-LN(2)/2)*DH166+(1-EXP(-LN(2)/2))/(LN(2)/2)*DB167*DE167*VLOOKUP('Données projet'!$B$13,Paramètres!$A$1:$I$89,3,0)*0.475*44/12</f>
        <v>6.1803052832866491E-5</v>
      </c>
      <c r="DI167" s="22">
        <f t="shared" si="175"/>
        <v>79.450264943023939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-25.899999999999977</v>
      </c>
      <c r="DP167" s="17">
        <f>DO167*VLOOKUP('Données projet'!$B$14,Paramètres!$A$1:$I$89,3,0)*VLOOKUP('Données projet'!$B$14,Paramètres!$A$1:$I$89,5,0)</f>
        <v>-13.171703999999989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63.94726564348116</v>
      </c>
      <c r="DU167" s="59">
        <f t="shared" si="152"/>
        <v>280.8165028422905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3.591198762671119</v>
      </c>
      <c r="EB167" s="21">
        <f>EXP(-LN(2)/25)*EB166+(1-EXP(-LN(2)/25))/(LN(2)/25)*Calculateur!DW167*Calculateur!DY167*VLOOKUP('Données projet'!$B$14,Paramètres!$A$1:$I$89,3,0)*0.475*44/12</f>
        <v>0.15821851684449184</v>
      </c>
      <c r="EC167" s="21">
        <f>EXP(-LN(2)/2)*EC166+(1-EXP(-LN(2)/2))/(LN(2)/2)*DW167*DZ167*VLOOKUP('Données projet'!$B$14,Paramètres!$A$1:$I$89,3,0)*0.475*44/12</f>
        <v>6.5843333428727278E-22</v>
      </c>
      <c r="ED167" s="22">
        <f t="shared" si="178"/>
        <v>3.7494172795156109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-5.9685589803848416E-13</v>
      </c>
      <c r="O168" s="13">
        <f>N168*VLOOKUP('Données projet'!$B$9,Paramètres!$A$1:$I$89,3,0)*VLOOKUP('Données projet'!$B$9,Paramètres!$A$1:$I$89,5,0)</f>
        <v>-3.4140157367801295E-13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294.9631697747962</v>
      </c>
      <c r="T168" s="59">
        <f t="shared" si="142"/>
        <v>202.04924881627716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30.811756633851111</v>
      </c>
      <c r="AA168" s="21">
        <f>EXP(-LN(2)/25)*AA167+(1-EXP(-LN(2)/25))/(LN(2)/25)*Calculateur!V168*Calculateur!X168*VLOOKUP('Données projet'!$B$9,Paramètres!$A$1:$I$89,3,0)*0.475*44/12</f>
        <v>6.0591145831017883</v>
      </c>
      <c r="AB168" s="21">
        <f>EXP(-LN(2)/2)*AB167+(1-EXP(-LN(2)/2))/(LN(2)/2)*V168*Y168*VLOOKUP('Données projet'!$B$9,Paramètres!$A$1:$I$89,3,0)*0.475*44/12</f>
        <v>1.4453856392364993E-8</v>
      </c>
      <c r="AC168" s="22">
        <f t="shared" si="163"/>
        <v>36.870871231406753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349.71285006949597</v>
      </c>
      <c r="AO168" s="59">
        <f t="shared" si="144"/>
        <v>258.51550516456842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28.469323204027553</v>
      </c>
      <c r="AV168" s="21">
        <f>EXP(-LN(2)/25)*AV167+(1-EXP(-LN(2)/25))/(LN(2)/25)*Calculateur!AQ168*Calculateur!AS168*VLOOKUP('Données projet'!$B$10,Paramètres!$A$1:$I$89,3,0)*0.475*44/12</f>
        <v>4.9018626902347435</v>
      </c>
      <c r="AW168" s="21">
        <f>EXP(-LN(2)/2)*AW167+(1-EXP(-LN(2)/2))/(LN(2)/2)*AQ168*AT168*VLOOKUP('Données projet'!$B$10,Paramètres!$A$1:$I$89,3,0)*0.475*44/12</f>
        <v>1.1369642758718675E-11</v>
      </c>
      <c r="AX168" s="21">
        <f t="shared" si="166"/>
        <v>33.371185894273665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5.4001247917767614E-13</v>
      </c>
      <c r="BE168" s="13">
        <f>BD168*VLOOKUP('Données projet'!$B$11,Paramètres!$A$1:$I$89,3,0)*VLOOKUP('Données projet'!$B$11,Paramètres!$A$1:$I$89,5,0)</f>
        <v>4.8860329115996133E-13</v>
      </c>
      <c r="BF168" s="13">
        <f t="shared" si="167"/>
        <v>6.1025862939685007E-12</v>
      </c>
      <c r="BG168" s="20">
        <f t="shared" si="168"/>
        <v>1.1479655194098737E-11</v>
      </c>
      <c r="BH168" s="59">
        <f t="shared" si="116"/>
        <v>293.3333333333448</v>
      </c>
      <c r="BI168" s="59">
        <f ca="1">AVERAGE(OFFSET($BH$3,0,0,'Données projet'!$E$11+1,1))-AVERAGE(OFFSET($H$3,0,0,'Données projet'!$E$11+1,1))</f>
        <v>490.06222615476065</v>
      </c>
      <c r="BJ168" s="59">
        <f t="shared" si="146"/>
        <v>310.43914804089906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103.83408152033434</v>
      </c>
      <c r="BQ168" s="21">
        <f>EXP(-LN(2)/25)*BQ167+(1-EXP(-LN(2)/25))/(LN(2)/25)*Calculateur!BL168*Calculateur!BN168*VLOOKUP('Données projet'!$B$11,Paramètres!$A$1:$I$89,3,0)*0.475*44/12</f>
        <v>17.825193841656048</v>
      </c>
      <c r="BR168" s="21">
        <f>EXP(-LN(2)/2)*BR167+(1-EXP(-LN(2)/2))/(LN(2)/2)*BL168*BO168*VLOOKUP('Données projet'!$B$11,Paramètres!$A$1:$I$89,3,0)*0.475*44/12</f>
        <v>1.7098990534929264</v>
      </c>
      <c r="BS168" s="22">
        <f t="shared" si="169"/>
        <v>123.36917441548331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399.08122799999967</v>
      </c>
      <c r="CA168" s="13">
        <f t="shared" si="170"/>
        <v>91.590373376485019</v>
      </c>
      <c r="CB168" s="20">
        <f t="shared" si="171"/>
        <v>854.58637239737743</v>
      </c>
      <c r="CC168" s="59">
        <f t="shared" si="119"/>
        <v>1147.9197057307108</v>
      </c>
      <c r="CD168" s="59">
        <f ca="1">AVERAGE(OFFSET($CC$3,0,0,'Données projet'!$E$12+1,1))-AVERAGE(OFFSET($H$3,0,0,'Données projet'!$E$12+1,1))</f>
        <v>510.71380643466227</v>
      </c>
      <c r="CE168" s="59">
        <f t="shared" si="148"/>
        <v>252.40654099948841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21.276819043833648</v>
      </c>
      <c r="CL168" s="21">
        <f>EXP(-LN(2)/25)*CL167+(1-EXP(-LN(2)/25))/(LN(2)/25)*Calculateur!CG168*Calculateur!CI168*VLOOKUP('Données projet'!$B$12,Paramètres!$A$1:$I$89,3,0)*0.475*44/12</f>
        <v>17.847633052331481</v>
      </c>
      <c r="CM168" s="21">
        <f>EXP(-LN(2)/2)*CM167+(1-EXP(-LN(2)/2))/(LN(2)/2)*CG168*CJ168*VLOOKUP('Données projet'!$B$12,Paramètres!$A$1:$I$89,3,0)*0.475*44/12</f>
        <v>0.67205639931891004</v>
      </c>
      <c r="CN168" s="22">
        <f t="shared" si="172"/>
        <v>39.796508495484041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2.5579538487363607E-13</v>
      </c>
      <c r="CU168" s="17">
        <f>CT168*VLOOKUP('Données projet'!$B$13,Paramètres!$A$1:$I$89,3,0)*VLOOKUP('Données projet'!$B$13,Paramètres!$A$1:$I$89,5,0)</f>
        <v>2.7533815227798186E-13</v>
      </c>
      <c r="CV168" s="13">
        <f t="shared" si="173"/>
        <v>3.6763598146902537E-12</v>
      </c>
      <c r="CW168" s="20">
        <f t="shared" si="174"/>
        <v>6.88254062580301E-12</v>
      </c>
      <c r="CX168" s="59">
        <f t="shared" si="122"/>
        <v>293.33333333334019</v>
      </c>
      <c r="CY168" s="59">
        <f ca="1">AVERAGE(OFFSET($CX$3,0,0,'Données projet'!$E$13+1,1))-AVERAGE(OFFSET($H$3,0,0,'Données projet'!$E$13+1,1))</f>
        <v>502.65044103360322</v>
      </c>
      <c r="CZ168" s="59">
        <f t="shared" si="150"/>
        <v>321.65762891855167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67.195653703715351</v>
      </c>
      <c r="DG168" s="21">
        <f>EXP(-LN(2)/25)*DG167+(1-EXP(-LN(2)/25))/(LN(2)/25)*Calculateur!DB168*Calculateur!DD168*VLOOKUP('Données projet'!$B$13,Paramètres!$A$1:$I$89,3,0)*0.475*44/12</f>
        <v>10.612179248243672</v>
      </c>
      <c r="DH168" s="21">
        <f>EXP(-LN(2)/2)*DH167+(1-EXP(-LN(2)/2))/(LN(2)/2)*DB168*DE168*VLOOKUP('Données projet'!$B$13,Paramètres!$A$1:$I$89,3,0)*0.475*44/12</f>
        <v>4.3701357756150361E-5</v>
      </c>
      <c r="DI168" s="22">
        <f t="shared" si="175"/>
        <v>77.807876653316782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-25.899999999999977</v>
      </c>
      <c r="DP168" s="17">
        <f>DO168*VLOOKUP('Données projet'!$B$14,Paramètres!$A$1:$I$89,3,0)*VLOOKUP('Données projet'!$B$14,Paramètres!$A$1:$I$89,5,0)</f>
        <v>-13.171703999999989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63.94726564348116</v>
      </c>
      <c r="DU168" s="59">
        <f t="shared" si="152"/>
        <v>280.8165028422905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3.5207775453500982</v>
      </c>
      <c r="EB168" s="21">
        <f>EXP(-LN(2)/25)*EB167+(1-EXP(-LN(2)/25))/(LN(2)/25)*Calculateur!DW168*Calculateur!DY168*VLOOKUP('Données projet'!$B$14,Paramètres!$A$1:$I$89,3,0)*0.475*44/12</f>
        <v>0.15389202318102901</v>
      </c>
      <c r="EC168" s="21">
        <f>EXP(-LN(2)/2)*EC167+(1-EXP(-LN(2)/2))/(LN(2)/2)*DW168*DZ168*VLOOKUP('Données projet'!$B$14,Paramètres!$A$1:$I$89,3,0)*0.475*44/12</f>
        <v>4.6558267563379948E-22</v>
      </c>
      <c r="ED168" s="22">
        <f t="shared" si="178"/>
        <v>3.6746695685311273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-5.9685589803848416E-13</v>
      </c>
      <c r="O169" s="13">
        <f>N169*VLOOKUP('Données projet'!$B$9,Paramètres!$A$1:$I$89,3,0)*VLOOKUP('Données projet'!$B$9,Paramètres!$A$1:$I$89,5,0)</f>
        <v>-3.4140157367801295E-13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294.9631697747962</v>
      </c>
      <c r="T169" s="59">
        <f t="shared" si="142"/>
        <v>202.04924881627716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30.207556879577151</v>
      </c>
      <c r="AA169" s="21">
        <f>EXP(-LN(2)/25)*AA168+(1-EXP(-LN(2)/25))/(LN(2)/25)*Calculateur!V169*Calculateur!X169*VLOOKUP('Données projet'!$B$9,Paramètres!$A$1:$I$89,3,0)*0.475*44/12</f>
        <v>5.8934277761918823</v>
      </c>
      <c r="AB169" s="21">
        <f>EXP(-LN(2)/2)*AB168+(1-EXP(-LN(2)/2))/(LN(2)/2)*V169*Y169*VLOOKUP('Données projet'!$B$9,Paramètres!$A$1:$I$89,3,0)*0.475*44/12</f>
        <v>1.0220419869337814E-8</v>
      </c>
      <c r="AC169" s="22">
        <f t="shared" si="163"/>
        <v>36.100984665989451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349.71285006949597</v>
      </c>
      <c r="AO169" s="59">
        <f t="shared" si="144"/>
        <v>258.51550516456842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27.911057140569117</v>
      </c>
      <c r="AV169" s="21">
        <f>EXP(-LN(2)/25)*AV168+(1-EXP(-LN(2)/25))/(LN(2)/25)*Calculateur!AQ169*Calculateur!AS169*VLOOKUP('Données projet'!$B$10,Paramètres!$A$1:$I$89,3,0)*0.475*44/12</f>
        <v>4.7678209971925192</v>
      </c>
      <c r="AW169" s="21">
        <f>EXP(-LN(2)/2)*AW168+(1-EXP(-LN(2)/2))/(LN(2)/2)*AQ169*AT169*VLOOKUP('Données projet'!$B$10,Paramètres!$A$1:$I$89,3,0)*0.475*44/12</f>
        <v>8.0395514943585007E-12</v>
      </c>
      <c r="AX169" s="21">
        <f t="shared" si="166"/>
        <v>32.678878137769672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5.4001247917767614E-13</v>
      </c>
      <c r="BE169" s="13">
        <f>BD169*VLOOKUP('Données projet'!$B$11,Paramètres!$A$1:$I$89,3,0)*VLOOKUP('Données projet'!$B$11,Paramètres!$A$1:$I$89,5,0)</f>
        <v>4.8860329115996133E-13</v>
      </c>
      <c r="BF169" s="13">
        <f t="shared" si="167"/>
        <v>6.1025862939685007E-12</v>
      </c>
      <c r="BG169" s="20">
        <f t="shared" si="168"/>
        <v>1.1479655194098737E-11</v>
      </c>
      <c r="BH169" s="59">
        <f t="shared" si="116"/>
        <v>293.3333333333448</v>
      </c>
      <c r="BI169" s="59">
        <f ca="1">AVERAGE(OFFSET($BH$3,0,0,'Données projet'!$E$11+1,1))-AVERAGE(OFFSET($H$3,0,0,'Données projet'!$E$11+1,1))</f>
        <v>490.06222615476065</v>
      </c>
      <c r="BJ169" s="59">
        <f t="shared" si="146"/>
        <v>310.43914804089906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101.79795851425673</v>
      </c>
      <c r="BQ169" s="21">
        <f>EXP(-LN(2)/25)*BQ168+(1-EXP(-LN(2)/25))/(LN(2)/25)*Calculateur!BL169*Calculateur!BN169*VLOOKUP('Données projet'!$B$11,Paramètres!$A$1:$I$89,3,0)*0.475*44/12</f>
        <v>17.337762978669758</v>
      </c>
      <c r="BR169" s="21">
        <f>EXP(-LN(2)/2)*BR168+(1-EXP(-LN(2)/2))/(LN(2)/2)*BL169*BO169*VLOOKUP('Données projet'!$B$11,Paramètres!$A$1:$I$89,3,0)*0.475*44/12</f>
        <v>1.2090812158693074</v>
      </c>
      <c r="BS169" s="22">
        <f t="shared" si="169"/>
        <v>120.3448027087958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406.50771199999974</v>
      </c>
      <c r="CA169" s="13">
        <f t="shared" si="170"/>
        <v>93.094762212339802</v>
      </c>
      <c r="CB169" s="20">
        <f t="shared" si="171"/>
        <v>870.14097591982454</v>
      </c>
      <c r="CC169" s="59">
        <f t="shared" si="119"/>
        <v>1163.4743092531578</v>
      </c>
      <c r="CD169" s="59">
        <f ca="1">AVERAGE(OFFSET($CC$3,0,0,'Données projet'!$E$12+1,1))-AVERAGE(OFFSET($H$3,0,0,'Données projet'!$E$12+1,1))</f>
        <v>510.71380643466227</v>
      </c>
      <c r="CE169" s="59">
        <f t="shared" si="148"/>
        <v>252.40654099948841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20.859593599962256</v>
      </c>
      <c r="CL169" s="21">
        <f>EXP(-LN(2)/25)*CL168+(1-EXP(-LN(2)/25))/(LN(2)/25)*Calculateur!CG169*Calculateur!CI169*VLOOKUP('Données projet'!$B$12,Paramètres!$A$1:$I$89,3,0)*0.475*44/12</f>
        <v>17.359588587949247</v>
      </c>
      <c r="CM169" s="21">
        <f>EXP(-LN(2)/2)*CM168+(1-EXP(-LN(2)/2))/(LN(2)/2)*CG169*CJ169*VLOOKUP('Données projet'!$B$12,Paramètres!$A$1:$I$89,3,0)*0.475*44/12</f>
        <v>0.47521563729821553</v>
      </c>
      <c r="CN169" s="22">
        <f t="shared" si="172"/>
        <v>38.694397825209712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2.5579538487363607E-13</v>
      </c>
      <c r="CU169" s="17">
        <f>CT169*VLOOKUP('Données projet'!$B$13,Paramètres!$A$1:$I$89,3,0)*VLOOKUP('Données projet'!$B$13,Paramètres!$A$1:$I$89,5,0)</f>
        <v>2.7533815227798186E-13</v>
      </c>
      <c r="CV169" s="13">
        <f t="shared" si="173"/>
        <v>3.6763598146902537E-12</v>
      </c>
      <c r="CW169" s="20">
        <f t="shared" si="174"/>
        <v>6.88254062580301E-12</v>
      </c>
      <c r="CX169" s="59">
        <f t="shared" si="122"/>
        <v>293.33333333334019</v>
      </c>
      <c r="CY169" s="59">
        <f ca="1">AVERAGE(OFFSET($CX$3,0,0,'Données projet'!$E$13+1,1))-AVERAGE(OFFSET($H$3,0,0,'Données projet'!$E$13+1,1))</f>
        <v>502.65044103360322</v>
      </c>
      <c r="CZ169" s="59">
        <f t="shared" si="150"/>
        <v>321.65762891855167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65.877987919887289</v>
      </c>
      <c r="DG169" s="21">
        <f>EXP(-LN(2)/25)*DG168+(1-EXP(-LN(2)/25))/(LN(2)/25)*Calculateur!DB169*Calculateur!DD169*VLOOKUP('Données projet'!$B$13,Paramètres!$A$1:$I$89,3,0)*0.475*44/12</f>
        <v>10.321988648630196</v>
      </c>
      <c r="DH169" s="21">
        <f>EXP(-LN(2)/2)*DH168+(1-EXP(-LN(2)/2))/(LN(2)/2)*DB169*DE169*VLOOKUP('Données projet'!$B$13,Paramètres!$A$1:$I$89,3,0)*0.475*44/12</f>
        <v>3.0901526416433245E-5</v>
      </c>
      <c r="DI169" s="22">
        <f t="shared" si="175"/>
        <v>76.2000074700439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-25.899999999999977</v>
      </c>
      <c r="DP169" s="17">
        <f>DO169*VLOOKUP('Données projet'!$B$14,Paramètres!$A$1:$I$89,3,0)*VLOOKUP('Données projet'!$B$14,Paramètres!$A$1:$I$89,5,0)</f>
        <v>-13.171703999999989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63.94726564348116</v>
      </c>
      <c r="DU169" s="59">
        <f t="shared" si="152"/>
        <v>280.8165028422905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3.451737245148041</v>
      </c>
      <c r="EB169" s="21">
        <f>EXP(-LN(2)/25)*EB168+(1-EXP(-LN(2)/25))/(LN(2)/25)*Calculateur!DW169*Calculateur!DY169*VLOOKUP('Données projet'!$B$14,Paramètres!$A$1:$I$89,3,0)*0.475*44/12</f>
        <v>0.14968383771431401</v>
      </c>
      <c r="EC169" s="21">
        <f>EXP(-LN(2)/2)*EC168+(1-EXP(-LN(2)/2))/(LN(2)/2)*DW169*DZ169*VLOOKUP('Données projet'!$B$14,Paramètres!$A$1:$I$89,3,0)*0.475*44/12</f>
        <v>3.2921666714363639E-22</v>
      </c>
      <c r="ED169" s="22">
        <f t="shared" si="178"/>
        <v>3.601421082862355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-5.9685589803848416E-13</v>
      </c>
      <c r="O170" s="13">
        <f>N170*VLOOKUP('Données projet'!$B$9,Paramètres!$A$1:$I$89,3,0)*VLOOKUP('Données projet'!$B$9,Paramètres!$A$1:$I$89,5,0)</f>
        <v>-3.4140157367801295E-13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294.9631697747962</v>
      </c>
      <c r="T170" s="59">
        <f t="shared" si="142"/>
        <v>202.04924881627716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29.615205113959043</v>
      </c>
      <c r="AA170" s="21">
        <f>EXP(-LN(2)/25)*AA169+(1-EXP(-LN(2)/25))/(LN(2)/25)*Calculateur!V170*Calculateur!X170*VLOOKUP('Données projet'!$B$9,Paramètres!$A$1:$I$89,3,0)*0.475*44/12</f>
        <v>5.7322716837300183</v>
      </c>
      <c r="AB170" s="21">
        <f>EXP(-LN(2)/2)*AB169+(1-EXP(-LN(2)/2))/(LN(2)/2)*V170*Y170*VLOOKUP('Données projet'!$B$9,Paramètres!$A$1:$I$89,3,0)*0.475*44/12</f>
        <v>7.2269281961824964E-9</v>
      </c>
      <c r="AC170" s="22">
        <f t="shared" si="163"/>
        <v>35.347476804915992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349.71285006949597</v>
      </c>
      <c r="AO170" s="59">
        <f t="shared" si="144"/>
        <v>258.51550516456842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27.363738334106426</v>
      </c>
      <c r="AV170" s="21">
        <f>EXP(-LN(2)/25)*AV169+(1-EXP(-LN(2)/25))/(LN(2)/25)*Calculateur!AQ170*Calculateur!AS170*VLOOKUP('Données projet'!$B$10,Paramètres!$A$1:$I$89,3,0)*0.475*44/12</f>
        <v>4.6374446812954808</v>
      </c>
      <c r="AW170" s="21">
        <f>EXP(-LN(2)/2)*AW169+(1-EXP(-LN(2)/2))/(LN(2)/2)*AQ170*AT170*VLOOKUP('Données projet'!$B$10,Paramètres!$A$1:$I$89,3,0)*0.475*44/12</f>
        <v>5.6848213793593375E-12</v>
      </c>
      <c r="AX170" s="21">
        <f t="shared" si="166"/>
        <v>32.001183015407591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5.4001247917767614E-13</v>
      </c>
      <c r="BE170" s="13">
        <f>BD170*VLOOKUP('Données projet'!$B$11,Paramètres!$A$1:$I$89,3,0)*VLOOKUP('Données projet'!$B$11,Paramètres!$A$1:$I$89,5,0)</f>
        <v>4.8860329115996133E-13</v>
      </c>
      <c r="BF170" s="13">
        <f t="shared" si="167"/>
        <v>6.1025862939685007E-12</v>
      </c>
      <c r="BG170" s="20">
        <f t="shared" si="168"/>
        <v>1.1479655194098737E-11</v>
      </c>
      <c r="BH170" s="59">
        <f t="shared" si="116"/>
        <v>293.3333333333448</v>
      </c>
      <c r="BI170" s="59">
        <f ca="1">AVERAGE(OFFSET($BH$3,0,0,'Données projet'!$E$11+1,1))-AVERAGE(OFFSET($H$3,0,0,'Données projet'!$E$11+1,1))</f>
        <v>490.06222615476065</v>
      </c>
      <c r="BJ170" s="59">
        <f t="shared" si="146"/>
        <v>310.43914804089906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99.801762638415909</v>
      </c>
      <c r="BQ170" s="21">
        <f>EXP(-LN(2)/25)*BQ169+(1-EXP(-LN(2)/25))/(LN(2)/25)*Calculateur!BL170*Calculateur!BN170*VLOOKUP('Données projet'!$B$11,Paramètres!$A$1:$I$89,3,0)*0.475*44/12</f>
        <v>16.863660938264704</v>
      </c>
      <c r="BR170" s="21">
        <f>EXP(-LN(2)/2)*BR169+(1-EXP(-LN(2)/2))/(LN(2)/2)*BL170*BO170*VLOOKUP('Données projet'!$B$11,Paramètres!$A$1:$I$89,3,0)*0.475*44/12</f>
        <v>0.85494952674646318</v>
      </c>
      <c r="BS170" s="22">
        <f t="shared" si="169"/>
        <v>117.52037310342708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413.9341959999997</v>
      </c>
      <c r="CA170" s="13">
        <f t="shared" si="170"/>
        <v>94.595955161317576</v>
      </c>
      <c r="CB170" s="20">
        <f t="shared" si="171"/>
        <v>885.69001327262743</v>
      </c>
      <c r="CC170" s="59">
        <f t="shared" si="119"/>
        <v>1179.0233466059608</v>
      </c>
      <c r="CD170" s="59">
        <f ca="1">AVERAGE(OFFSET($CC$3,0,0,'Données projet'!$E$12+1,1))-AVERAGE(OFFSET($H$3,0,0,'Données projet'!$E$12+1,1))</f>
        <v>510.71380643466227</v>
      </c>
      <c r="CE170" s="59">
        <f t="shared" si="148"/>
        <v>252.40654099948841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20.450549692562792</v>
      </c>
      <c r="CL170" s="21">
        <f>EXP(-LN(2)/25)*CL169+(1-EXP(-LN(2)/25))/(LN(2)/25)*Calculateur!CG170*Calculateur!CI170*VLOOKUP('Données projet'!$B$12,Paramètres!$A$1:$I$89,3,0)*0.475*44/12</f>
        <v>16.884889725110686</v>
      </c>
      <c r="CM170" s="21">
        <f>EXP(-LN(2)/2)*CM169+(1-EXP(-LN(2)/2))/(LN(2)/2)*CG170*CJ170*VLOOKUP('Données projet'!$B$12,Paramètres!$A$1:$I$89,3,0)*0.475*44/12</f>
        <v>0.33602819965945502</v>
      </c>
      <c r="CN170" s="22">
        <f t="shared" si="172"/>
        <v>37.671467617332929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2.5579538487363607E-13</v>
      </c>
      <c r="CU170" s="17">
        <f>CT170*VLOOKUP('Données projet'!$B$13,Paramètres!$A$1:$I$89,3,0)*VLOOKUP('Données projet'!$B$13,Paramètres!$A$1:$I$89,5,0)</f>
        <v>2.7533815227798186E-13</v>
      </c>
      <c r="CV170" s="13">
        <f t="shared" si="173"/>
        <v>3.6763598146902537E-12</v>
      </c>
      <c r="CW170" s="20">
        <f t="shared" si="174"/>
        <v>6.88254062580301E-12</v>
      </c>
      <c r="CX170" s="59">
        <f t="shared" si="122"/>
        <v>293.33333333334019</v>
      </c>
      <c r="CY170" s="59">
        <f ca="1">AVERAGE(OFFSET($CX$3,0,0,'Données projet'!$E$13+1,1))-AVERAGE(OFFSET($H$3,0,0,'Données projet'!$E$13+1,1))</f>
        <v>502.65044103360322</v>
      </c>
      <c r="CZ170" s="59">
        <f t="shared" si="150"/>
        <v>321.65762891855167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64.586160758383329</v>
      </c>
      <c r="DG170" s="21">
        <f>EXP(-LN(2)/25)*DG169+(1-EXP(-LN(2)/25))/(LN(2)/25)*Calculateur!DB170*Calculateur!DD170*VLOOKUP('Données projet'!$B$13,Paramètres!$A$1:$I$89,3,0)*0.475*44/12</f>
        <v>10.039733326223612</v>
      </c>
      <c r="DH170" s="21">
        <f>EXP(-LN(2)/2)*DH169+(1-EXP(-LN(2)/2))/(LN(2)/2)*DB170*DE170*VLOOKUP('Données projet'!$B$13,Paramètres!$A$1:$I$89,3,0)*0.475*44/12</f>
        <v>2.1850678878075181E-5</v>
      </c>
      <c r="DI170" s="22">
        <f t="shared" si="175"/>
        <v>74.625915935285818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-25.899999999999977</v>
      </c>
      <c r="DP170" s="17">
        <f>DO170*VLOOKUP('Données projet'!$B$14,Paramètres!$A$1:$I$89,3,0)*VLOOKUP('Données projet'!$B$14,Paramètres!$A$1:$I$89,5,0)</f>
        <v>-13.171703999999989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63.94726564348116</v>
      </c>
      <c r="DU170" s="59">
        <f t="shared" si="152"/>
        <v>280.8165028422905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3.3840507831225213</v>
      </c>
      <c r="EB170" s="21">
        <f>EXP(-LN(2)/25)*EB169+(1-EXP(-LN(2)/25))/(LN(2)/25)*Calculateur!DW170*Calculateur!DY170*VLOOKUP('Données projet'!$B$14,Paramètres!$A$1:$I$89,3,0)*0.475*44/12</f>
        <v>0.14559072530048517</v>
      </c>
      <c r="EC170" s="21">
        <f>EXP(-LN(2)/2)*EC169+(1-EXP(-LN(2)/2))/(LN(2)/2)*DW170*DZ170*VLOOKUP('Données projet'!$B$14,Paramètres!$A$1:$I$89,3,0)*0.475*44/12</f>
        <v>2.3279133781689974E-22</v>
      </c>
      <c r="ED170" s="22">
        <f t="shared" si="178"/>
        <v>3.5296415084230066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-5.9685589803848416E-13</v>
      </c>
      <c r="O171" s="13">
        <f>N171*VLOOKUP('Données projet'!$B$9,Paramètres!$A$1:$I$89,3,0)*VLOOKUP('Données projet'!$B$9,Paramètres!$A$1:$I$89,5,0)</f>
        <v>-3.4140157367801295E-13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294.9631697747962</v>
      </c>
      <c r="T171" s="59">
        <f t="shared" si="142"/>
        <v>202.04924881627716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29.034469005165803</v>
      </c>
      <c r="AA171" s="21">
        <f>EXP(-LN(2)/25)*AA170+(1-EXP(-LN(2)/25))/(LN(2)/25)*Calculateur!V171*Calculateur!X171*VLOOKUP('Données projet'!$B$9,Paramètres!$A$1:$I$89,3,0)*0.475*44/12</f>
        <v>5.5755224130913543</v>
      </c>
      <c r="AB171" s="21">
        <f>EXP(-LN(2)/2)*AB170+(1-EXP(-LN(2)/2))/(LN(2)/2)*V171*Y171*VLOOKUP('Données projet'!$B$9,Paramètres!$A$1:$I$89,3,0)*0.475*44/12</f>
        <v>5.110209934668907E-9</v>
      </c>
      <c r="AC171" s="22">
        <f t="shared" si="163"/>
        <v>34.609991423367369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349.71285006949597</v>
      </c>
      <c r="AO171" s="59">
        <f t="shared" si="144"/>
        <v>258.51550516456842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26.82715211560696</v>
      </c>
      <c r="AV171" s="21">
        <f>EXP(-LN(2)/25)*AV170+(1-EXP(-LN(2)/25))/(LN(2)/25)*Calculateur!AQ171*Calculateur!AS171*VLOOKUP('Données projet'!$B$10,Paramètres!$A$1:$I$89,3,0)*0.475*44/12</f>
        <v>4.5106335126128387</v>
      </c>
      <c r="AW171" s="21">
        <f>EXP(-LN(2)/2)*AW170+(1-EXP(-LN(2)/2))/(LN(2)/2)*AQ171*AT171*VLOOKUP('Données projet'!$B$10,Paramètres!$A$1:$I$89,3,0)*0.475*44/12</f>
        <v>4.0197757471792503E-12</v>
      </c>
      <c r="AX171" s="21">
        <f t="shared" si="166"/>
        <v>31.337785628223816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5.4001247917767614E-13</v>
      </c>
      <c r="BE171" s="13">
        <f>BD171*VLOOKUP('Données projet'!$B$11,Paramètres!$A$1:$I$89,3,0)*VLOOKUP('Données projet'!$B$11,Paramètres!$A$1:$I$89,5,0)</f>
        <v>4.8860329115996133E-13</v>
      </c>
      <c r="BF171" s="13">
        <f t="shared" si="167"/>
        <v>6.1025862939685007E-12</v>
      </c>
      <c r="BG171" s="20">
        <f t="shared" si="168"/>
        <v>1.1479655194098737E-11</v>
      </c>
      <c r="BH171" s="59">
        <f t="shared" si="116"/>
        <v>293.3333333333448</v>
      </c>
      <c r="BI171" s="59">
        <f ca="1">AVERAGE(OFFSET($BH$3,0,0,'Données projet'!$E$11+1,1))-AVERAGE(OFFSET($H$3,0,0,'Données projet'!$E$11+1,1))</f>
        <v>490.06222615476065</v>
      </c>
      <c r="BJ171" s="59">
        <f t="shared" si="146"/>
        <v>310.43914804089906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97.844710946141063</v>
      </c>
      <c r="BQ171" s="21">
        <f>EXP(-LN(2)/25)*BQ170+(1-EXP(-LN(2)/25))/(LN(2)/25)*Calculateur!BL171*Calculateur!BN171*VLOOKUP('Données projet'!$B$11,Paramètres!$A$1:$I$89,3,0)*0.475*44/12</f>
        <v>16.40252324308647</v>
      </c>
      <c r="BR171" s="21">
        <f>EXP(-LN(2)/2)*BR170+(1-EXP(-LN(2)/2))/(LN(2)/2)*BL171*BO171*VLOOKUP('Données projet'!$B$11,Paramètres!$A$1:$I$89,3,0)*0.475*44/12</f>
        <v>0.6045406079346537</v>
      </c>
      <c r="BS171" s="22">
        <f t="shared" si="169"/>
        <v>114.85177479716218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421.36067999999966</v>
      </c>
      <c r="CA171" s="13">
        <f t="shared" si="170"/>
        <v>96.094016175803517</v>
      </c>
      <c r="CB171" s="20">
        <f t="shared" si="171"/>
        <v>901.23359583952379</v>
      </c>
      <c r="CC171" s="59">
        <f t="shared" si="119"/>
        <v>1194.566929172857</v>
      </c>
      <c r="CD171" s="59">
        <f ca="1">AVERAGE(OFFSET($CC$3,0,0,'Données projet'!$E$12+1,1))-AVERAGE(OFFSET($H$3,0,0,'Données projet'!$E$12+1,1))</f>
        <v>510.71380643466227</v>
      </c>
      <c r="CE171" s="59">
        <f t="shared" si="148"/>
        <v>252.40654099948841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0.1075</v>
      </c>
      <c r="CI171" s="16">
        <f>IF(ISNA(VLOOKUP(A171,'Données projet'!$A$113:$I$133,6,0)),0%,VLOOKUP(A171,'Données projet'!$A$113:$I$133,6,0)*VLOOKUP('Données projet'!$B$12,Paramètres!$A$1:$I$89,7,0))</f>
        <v>0.1075</v>
      </c>
      <c r="CJ171" s="16">
        <f>IF(ISNA(VLOOKUP(A171,'Données projet'!$A$113:$I$133,7,0)),0%,VLOOKUP(A171,'Données projet'!$A$113:$I$133,7,0))</f>
        <v>0.25</v>
      </c>
      <c r="CK171" s="21">
        <f>EXP(-LN(2)/35)*CK170+(1-EXP(-LN(2)/35))/(LN(2)/35)*CG171*CH171*VLOOKUP('Données projet'!$B$12,Paramètres!$A$1:$I$89,3,0)*0.475*44/12</f>
        <v>28.252807336425349</v>
      </c>
      <c r="CL171" s="21">
        <f>EXP(-LN(2)/25)*CL170+(1-EXP(-LN(2)/25))/(LN(2)/25)*Calculateur!CG171*Calculateur!CI171*VLOOKUP('Données projet'!$B$12,Paramètres!$A$1:$I$89,3,0)*0.475*44/12</f>
        <v>24.59415253654435</v>
      </c>
      <c r="CM171" s="21">
        <f>EXP(-LN(2)/2)*CM170+(1-EXP(-LN(2)/2))/(LN(2)/2)*CG171*CJ171*VLOOKUP('Données projet'!$B$12,Paramètres!$A$1:$I$89,3,0)*0.475*44/12</f>
        <v>16.520302762153577</v>
      </c>
      <c r="CN171" s="22">
        <f t="shared" si="172"/>
        <v>69.367262635123268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2.5579538487363607E-13</v>
      </c>
      <c r="CU171" s="17">
        <f>CT171*VLOOKUP('Données projet'!$B$13,Paramètres!$A$1:$I$89,3,0)*VLOOKUP('Données projet'!$B$13,Paramètres!$A$1:$I$89,5,0)</f>
        <v>2.7533815227798186E-13</v>
      </c>
      <c r="CV171" s="13">
        <f t="shared" si="173"/>
        <v>3.6763598146902537E-12</v>
      </c>
      <c r="CW171" s="20">
        <f t="shared" si="174"/>
        <v>6.88254062580301E-12</v>
      </c>
      <c r="CX171" s="59">
        <f t="shared" si="122"/>
        <v>293.33333333334019</v>
      </c>
      <c r="CY171" s="59">
        <f ca="1">AVERAGE(OFFSET($CX$3,0,0,'Données projet'!$E$13+1,1))-AVERAGE(OFFSET($H$3,0,0,'Données projet'!$E$13+1,1))</f>
        <v>502.65044103360322</v>
      </c>
      <c r="CZ171" s="59">
        <f t="shared" si="150"/>
        <v>321.65762891855167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63.319665539579695</v>
      </c>
      <c r="DG171" s="21">
        <f>EXP(-LN(2)/25)*DG170+(1-EXP(-LN(2)/25))/(LN(2)/25)*Calculateur!DB171*Calculateur!DD171*VLOOKUP('Données projet'!$B$13,Paramètres!$A$1:$I$89,3,0)*0.475*44/12</f>
        <v>9.7651962904513976</v>
      </c>
      <c r="DH171" s="21">
        <f>EXP(-LN(2)/2)*DH170+(1-EXP(-LN(2)/2))/(LN(2)/2)*DB171*DE171*VLOOKUP('Données projet'!$B$13,Paramètres!$A$1:$I$89,3,0)*0.475*44/12</f>
        <v>1.5450763208216623E-5</v>
      </c>
      <c r="DI171" s="22">
        <f t="shared" si="175"/>
        <v>73.084877280794302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-25.899999999999977</v>
      </c>
      <c r="DP171" s="17">
        <f>DO171*VLOOKUP('Données projet'!$B$14,Paramètres!$A$1:$I$89,3,0)*VLOOKUP('Données projet'!$B$14,Paramètres!$A$1:$I$89,5,0)</f>
        <v>-13.171703999999989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63.94726564348116</v>
      </c>
      <c r="DU171" s="59">
        <f t="shared" si="152"/>
        <v>280.8165028422905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3.3176916113326564</v>
      </c>
      <c r="EB171" s="21">
        <f>EXP(-LN(2)/25)*EB170+(1-EXP(-LN(2)/25))/(LN(2)/25)*Calculateur!DW171*Calculateur!DY171*VLOOKUP('Données projet'!$B$14,Paramètres!$A$1:$I$89,3,0)*0.475*44/12</f>
        <v>0.14160953926085992</v>
      </c>
      <c r="EC171" s="21">
        <f>EXP(-LN(2)/2)*EC170+(1-EXP(-LN(2)/2))/(LN(2)/2)*DW171*DZ171*VLOOKUP('Données projet'!$B$14,Paramètres!$A$1:$I$89,3,0)*0.475*44/12</f>
        <v>1.6460833357181819E-22</v>
      </c>
      <c r="ED171" s="22">
        <f t="shared" si="178"/>
        <v>3.4593011505935163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-5.9685589803848416E-13</v>
      </c>
      <c r="O172" s="13">
        <f>N172*VLOOKUP('Données projet'!$B$9,Paramètres!$A$1:$I$89,3,0)*VLOOKUP('Données projet'!$B$9,Paramètres!$A$1:$I$89,5,0)</f>
        <v>-3.4140157367801295E-13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294.9631697747962</v>
      </c>
      <c r="T172" s="59">
        <f t="shared" si="142"/>
        <v>202.04924881627716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28.465120777251951</v>
      </c>
      <c r="AA172" s="21">
        <f>EXP(-LN(2)/25)*AA171+(1-EXP(-LN(2)/25))/(LN(2)/25)*Calculateur!V172*Calculateur!X172*VLOOKUP('Données projet'!$B$9,Paramètres!$A$1:$I$89,3,0)*0.475*44/12</f>
        <v>5.4230594595013901</v>
      </c>
      <c r="AB172" s="21">
        <f>EXP(-LN(2)/2)*AB171+(1-EXP(-LN(2)/2))/(LN(2)/2)*V172*Y172*VLOOKUP('Données projet'!$B$9,Paramètres!$A$1:$I$89,3,0)*0.475*44/12</f>
        <v>3.6134640980912482E-9</v>
      </c>
      <c r="AC172" s="22">
        <f t="shared" si="163"/>
        <v>33.888180240366808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349.71285006949597</v>
      </c>
      <c r="AO172" s="59">
        <f t="shared" si="144"/>
        <v>258.51550516456842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26.30108802556699</v>
      </c>
      <c r="AV172" s="21">
        <f>EXP(-LN(2)/25)*AV171+(1-EXP(-LN(2)/25))/(LN(2)/25)*Calculateur!AQ172*Calculateur!AS172*VLOOKUP('Données projet'!$B$10,Paramètres!$A$1:$I$89,3,0)*0.475*44/12</f>
        <v>4.3872900020065337</v>
      </c>
      <c r="AW172" s="21">
        <f>EXP(-LN(2)/2)*AW171+(1-EXP(-LN(2)/2))/(LN(2)/2)*AQ172*AT172*VLOOKUP('Données projet'!$B$10,Paramètres!$A$1:$I$89,3,0)*0.475*44/12</f>
        <v>2.8424106896796688E-12</v>
      </c>
      <c r="AX172" s="21">
        <f t="shared" si="166"/>
        <v>30.688378027576366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5.4001247917767614E-13</v>
      </c>
      <c r="BE172" s="13">
        <f>BD172*VLOOKUP('Données projet'!$B$11,Paramètres!$A$1:$I$89,3,0)*VLOOKUP('Données projet'!$B$11,Paramètres!$A$1:$I$89,5,0)</f>
        <v>4.8860329115996133E-13</v>
      </c>
      <c r="BF172" s="13">
        <f t="shared" si="167"/>
        <v>6.1025862939685007E-12</v>
      </c>
      <c r="BG172" s="20">
        <f t="shared" si="168"/>
        <v>1.1479655194098737E-11</v>
      </c>
      <c r="BH172" s="59">
        <f t="shared" si="116"/>
        <v>293.3333333333448</v>
      </c>
      <c r="BI172" s="59">
        <f ca="1">AVERAGE(OFFSET($BH$3,0,0,'Données projet'!$E$11+1,1))-AVERAGE(OFFSET($H$3,0,0,'Données projet'!$E$11+1,1))</f>
        <v>490.06222615476065</v>
      </c>
      <c r="BJ172" s="59">
        <f t="shared" si="146"/>
        <v>310.43914804089906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95.926035843868064</v>
      </c>
      <c r="BQ172" s="21">
        <f>EXP(-LN(2)/25)*BQ171+(1-EXP(-LN(2)/25))/(LN(2)/25)*Calculateur!BL172*Calculateur!BN172*VLOOKUP('Données projet'!$B$11,Paramètres!$A$1:$I$89,3,0)*0.475*44/12</f>
        <v>15.953995382433062</v>
      </c>
      <c r="BR172" s="21">
        <f>EXP(-LN(2)/2)*BR171+(1-EXP(-LN(2)/2))/(LN(2)/2)*BL172*BO172*VLOOKUP('Données projet'!$B$11,Paramètres!$A$1:$I$89,3,0)*0.475*44/12</f>
        <v>0.42747476337323159</v>
      </c>
      <c r="BS172" s="22">
        <f t="shared" si="169"/>
        <v>112.30750598967435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359.76777199999975</v>
      </c>
      <c r="CA172" s="13">
        <f t="shared" si="170"/>
        <v>83.570563558559556</v>
      </c>
      <c r="CB172" s="20">
        <f t="shared" si="171"/>
        <v>772.14760109782401</v>
      </c>
      <c r="CC172" s="59">
        <f t="shared" si="119"/>
        <v>1065.4809344311573</v>
      </c>
      <c r="CD172" s="59">
        <f ca="1">AVERAGE(OFFSET($CC$3,0,0,'Données projet'!$E$12+1,1))-AVERAGE(OFFSET($H$3,0,0,'Données projet'!$E$12+1,1))</f>
        <v>510.71380643466227</v>
      </c>
      <c r="CE172" s="59">
        <f t="shared" si="148"/>
        <v>252.40654099948841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27.698787017068955</v>
      </c>
      <c r="CL172" s="21">
        <f>EXP(-LN(2)/25)*CL171+(1-EXP(-LN(2)/25))/(LN(2)/25)*Calculateur!CG172*Calculateur!CI172*VLOOKUP('Données projet'!$B$12,Paramètres!$A$1:$I$89,3,0)*0.475*44/12</f>
        <v>23.921624142082273</v>
      </c>
      <c r="CM172" s="21">
        <f>EXP(-LN(2)/2)*CM171+(1-EXP(-LN(2)/2))/(LN(2)/2)*CG172*CJ172*VLOOKUP('Données projet'!$B$12,Paramètres!$A$1:$I$89,3,0)*0.475*44/12</f>
        <v>11.681618110373647</v>
      </c>
      <c r="CN172" s="22">
        <f t="shared" si="172"/>
        <v>63.30202926952488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2.5579538487363607E-13</v>
      </c>
      <c r="CU172" s="17">
        <f>CT172*VLOOKUP('Données projet'!$B$13,Paramètres!$A$1:$I$89,3,0)*VLOOKUP('Données projet'!$B$13,Paramètres!$A$1:$I$89,5,0)</f>
        <v>2.7533815227798186E-13</v>
      </c>
      <c r="CV172" s="13">
        <f t="shared" si="173"/>
        <v>3.6763598146902537E-12</v>
      </c>
      <c r="CW172" s="20">
        <f t="shared" si="174"/>
        <v>6.88254062580301E-12</v>
      </c>
      <c r="CX172" s="59">
        <f t="shared" si="122"/>
        <v>293.33333333334019</v>
      </c>
      <c r="CY172" s="59">
        <f ca="1">AVERAGE(OFFSET($CX$3,0,0,'Données projet'!$E$13+1,1))-AVERAGE(OFFSET($H$3,0,0,'Données projet'!$E$13+1,1))</f>
        <v>502.65044103360322</v>
      </c>
      <c r="CZ172" s="59">
        <f t="shared" si="150"/>
        <v>321.65762891855167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62.07800551953099</v>
      </c>
      <c r="DG172" s="21">
        <f>EXP(-LN(2)/25)*DG171+(1-EXP(-LN(2)/25))/(LN(2)/25)*Calculateur!DB172*Calculateur!DD172*VLOOKUP('Données projet'!$B$13,Paramètres!$A$1:$I$89,3,0)*0.475*44/12</f>
        <v>9.4981664843596505</v>
      </c>
      <c r="DH172" s="21">
        <f>EXP(-LN(2)/2)*DH171+(1-EXP(-LN(2)/2))/(LN(2)/2)*DB172*DE172*VLOOKUP('Données projet'!$B$13,Paramètres!$A$1:$I$89,3,0)*0.475*44/12</f>
        <v>1.092533943903759E-5</v>
      </c>
      <c r="DI172" s="22">
        <f t="shared" si="175"/>
        <v>71.576182929230072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-25.899999999999977</v>
      </c>
      <c r="DP172" s="17">
        <f>DO172*VLOOKUP('Données projet'!$B$14,Paramètres!$A$1:$I$89,3,0)*VLOOKUP('Données projet'!$B$14,Paramètres!$A$1:$I$89,5,0)</f>
        <v>-13.171703999999989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63.94726564348116</v>
      </c>
      <c r="DU172" s="59">
        <f t="shared" si="152"/>
        <v>280.8165028422905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3.2526337024264929</v>
      </c>
      <c r="EB172" s="21">
        <f>EXP(-LN(2)/25)*EB171+(1-EXP(-LN(2)/25))/(LN(2)/25)*Calculateur!DW172*Calculateur!DY172*VLOOKUP('Données projet'!$B$14,Paramètres!$A$1:$I$89,3,0)*0.475*44/12</f>
        <v>0.13773721896284968</v>
      </c>
      <c r="EC172" s="21">
        <f>EXP(-LN(2)/2)*EC171+(1-EXP(-LN(2)/2))/(LN(2)/2)*DW172*DZ172*VLOOKUP('Données projet'!$B$14,Paramètres!$A$1:$I$89,3,0)*0.475*44/12</f>
        <v>1.1639566890844987E-22</v>
      </c>
      <c r="ED172" s="22">
        <f t="shared" si="178"/>
        <v>3.3903709213893425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-5.9685589803848416E-13</v>
      </c>
      <c r="O173" s="13">
        <f>N173*VLOOKUP('Données projet'!$B$9,Paramètres!$A$1:$I$89,3,0)*VLOOKUP('Données projet'!$B$9,Paramètres!$A$1:$I$89,5,0)</f>
        <v>-3.4140157367801295E-13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294.9631697747962</v>
      </c>
      <c r="T173" s="59">
        <f t="shared" si="142"/>
        <v>202.04924881627716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27.906937120819357</v>
      </c>
      <c r="AA173" s="21">
        <f>EXP(-LN(2)/25)*AA172+(1-EXP(-LN(2)/25))/(LN(2)/25)*Calculateur!V173*Calculateur!X173*VLOOKUP('Données projet'!$B$9,Paramètres!$A$1:$I$89,3,0)*0.475*44/12</f>
        <v>5.2747656133950223</v>
      </c>
      <c r="AB173" s="21">
        <f>EXP(-LN(2)/2)*AB172+(1-EXP(-LN(2)/2))/(LN(2)/2)*V173*Y173*VLOOKUP('Données projet'!$B$9,Paramètres!$A$1:$I$89,3,0)*0.475*44/12</f>
        <v>2.5551049673344535E-9</v>
      </c>
      <c r="AC173" s="22">
        <f t="shared" si="163"/>
        <v>33.181702736769488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349.71285006949597</v>
      </c>
      <c r="AO173" s="59">
        <f t="shared" si="144"/>
        <v>258.51550516456842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25.785339731465292</v>
      </c>
      <c r="AV173" s="21">
        <f>EXP(-LN(2)/25)*AV172+(1-EXP(-LN(2)/25))/(LN(2)/25)*Calculateur!AQ173*Calculateur!AS173*VLOOKUP('Données projet'!$B$10,Paramètres!$A$1:$I$89,3,0)*0.475*44/12</f>
        <v>4.2673193261841114</v>
      </c>
      <c r="AW173" s="21">
        <f>EXP(-LN(2)/2)*AW172+(1-EXP(-LN(2)/2))/(LN(2)/2)*AQ173*AT173*VLOOKUP('Données projet'!$B$10,Paramètres!$A$1:$I$89,3,0)*0.475*44/12</f>
        <v>2.0098878735896252E-12</v>
      </c>
      <c r="AX173" s="21">
        <f t="shared" si="166"/>
        <v>30.052659057651415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5.4001247917767614E-13</v>
      </c>
      <c r="BE173" s="13">
        <f>BD173*VLOOKUP('Données projet'!$B$11,Paramètres!$A$1:$I$89,3,0)*VLOOKUP('Données projet'!$B$11,Paramètres!$A$1:$I$89,5,0)</f>
        <v>4.8860329115996133E-13</v>
      </c>
      <c r="BF173" s="13">
        <f t="shared" si="167"/>
        <v>6.1025862939685007E-12</v>
      </c>
      <c r="BG173" s="20">
        <f t="shared" si="168"/>
        <v>1.1479655194098737E-11</v>
      </c>
      <c r="BH173" s="59">
        <f t="shared" si="116"/>
        <v>293.3333333333448</v>
      </c>
      <c r="BI173" s="59">
        <f ca="1">AVERAGE(OFFSET($BH$3,0,0,'Données projet'!$E$11+1,1))-AVERAGE(OFFSET($H$3,0,0,'Données projet'!$E$11+1,1))</f>
        <v>490.06222615476065</v>
      </c>
      <c r="BJ173" s="59">
        <f t="shared" si="146"/>
        <v>310.43914804089906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94.04498479007438</v>
      </c>
      <c r="BQ173" s="21">
        <f>EXP(-LN(2)/25)*BQ172+(1-EXP(-LN(2)/25))/(LN(2)/25)*Calculateur!BL173*Calculateur!BN173*VLOOKUP('Données projet'!$B$11,Paramètres!$A$1:$I$89,3,0)*0.475*44/12</f>
        <v>15.517732539716276</v>
      </c>
      <c r="BR173" s="21">
        <f>EXP(-LN(2)/2)*BR172+(1-EXP(-LN(2)/2))/(LN(2)/2)*BL173*BO173*VLOOKUP('Données projet'!$B$11,Paramètres!$A$1:$I$89,3,0)*0.475*44/12</f>
        <v>0.30227030396732685</v>
      </c>
      <c r="BS173" s="22">
        <f t="shared" si="169"/>
        <v>109.86498763375799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367.20392799999973</v>
      </c>
      <c r="CA173" s="13">
        <f t="shared" si="170"/>
        <v>85.095025204163747</v>
      </c>
      <c r="CB173" s="20">
        <f t="shared" si="171"/>
        <v>787.754010163918</v>
      </c>
      <c r="CC173" s="59">
        <f t="shared" si="119"/>
        <v>1081.0873434972514</v>
      </c>
      <c r="CD173" s="59">
        <f ca="1">AVERAGE(OFFSET($CC$3,0,0,'Données projet'!$E$12+1,1))-AVERAGE(OFFSET($H$3,0,0,'Données projet'!$E$12+1,1))</f>
        <v>510.71380643466227</v>
      </c>
      <c r="CE173" s="59">
        <f t="shared" si="148"/>
        <v>252.40654099948841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27.155630698256111</v>
      </c>
      <c r="CL173" s="21">
        <f>EXP(-LN(2)/25)*CL172+(1-EXP(-LN(2)/25))/(LN(2)/25)*Calculateur!CG173*Calculateur!CI173*VLOOKUP('Données projet'!$B$12,Paramètres!$A$1:$I$89,3,0)*0.475*44/12</f>
        <v>23.267486071933494</v>
      </c>
      <c r="CM173" s="21">
        <f>EXP(-LN(2)/2)*CM172+(1-EXP(-LN(2)/2))/(LN(2)/2)*CG173*CJ173*VLOOKUP('Données projet'!$B$12,Paramètres!$A$1:$I$89,3,0)*0.475*44/12</f>
        <v>8.2601513810767901</v>
      </c>
      <c r="CN173" s="22">
        <f t="shared" si="172"/>
        <v>58.683268151266397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2.5579538487363607E-13</v>
      </c>
      <c r="CU173" s="17">
        <f>CT173*VLOOKUP('Données projet'!$B$13,Paramètres!$A$1:$I$89,3,0)*VLOOKUP('Données projet'!$B$13,Paramètres!$A$1:$I$89,5,0)</f>
        <v>2.7533815227798186E-13</v>
      </c>
      <c r="CV173" s="13">
        <f t="shared" si="173"/>
        <v>3.6763598146902537E-12</v>
      </c>
      <c r="CW173" s="20">
        <f t="shared" si="174"/>
        <v>6.88254062580301E-12</v>
      </c>
      <c r="CX173" s="59">
        <f t="shared" si="122"/>
        <v>293.33333333334019</v>
      </c>
      <c r="CY173" s="59">
        <f ca="1">AVERAGE(OFFSET($CX$3,0,0,'Données projet'!$E$13+1,1))-AVERAGE(OFFSET($H$3,0,0,'Données projet'!$E$13+1,1))</f>
        <v>502.65044103360322</v>
      </c>
      <c r="CZ173" s="59">
        <f t="shared" si="150"/>
        <v>321.65762891855167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60.860693695137613</v>
      </c>
      <c r="DG173" s="21">
        <f>EXP(-LN(2)/25)*DG172+(1-EXP(-LN(2)/25))/(LN(2)/25)*Calculateur!DB173*Calculateur!DD173*VLOOKUP('Données projet'!$B$13,Paramètres!$A$1:$I$89,3,0)*0.475*44/12</f>
        <v>9.2384386223579682</v>
      </c>
      <c r="DH173" s="21">
        <f>EXP(-LN(2)/2)*DH172+(1-EXP(-LN(2)/2))/(LN(2)/2)*DB173*DE173*VLOOKUP('Données projet'!$B$13,Paramètres!$A$1:$I$89,3,0)*0.475*44/12</f>
        <v>7.7253816041083113E-6</v>
      </c>
      <c r="DI173" s="22">
        <f t="shared" si="175"/>
        <v>70.099140042877195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-25.899999999999977</v>
      </c>
      <c r="DP173" s="17">
        <f>DO173*VLOOKUP('Données projet'!$B$14,Paramètres!$A$1:$I$89,3,0)*VLOOKUP('Données projet'!$B$14,Paramètres!$A$1:$I$89,5,0)</f>
        <v>-13.171703999999989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63.94726564348116</v>
      </c>
      <c r="DU173" s="59">
        <f t="shared" si="152"/>
        <v>280.8165028422905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3.1888515394325729</v>
      </c>
      <c r="EB173" s="21">
        <f>EXP(-LN(2)/25)*EB172+(1-EXP(-LN(2)/25))/(LN(2)/25)*Calculateur!DW173*Calculateur!DY173*VLOOKUP('Données projet'!$B$14,Paramètres!$A$1:$I$89,3,0)*0.475*44/12</f>
        <v>0.13397078746702501</v>
      </c>
      <c r="EC173" s="21">
        <f>EXP(-LN(2)/2)*EC172+(1-EXP(-LN(2)/2))/(LN(2)/2)*DW173*DZ173*VLOOKUP('Données projet'!$B$14,Paramètres!$A$1:$I$89,3,0)*0.475*44/12</f>
        <v>8.2304166785909097E-23</v>
      </c>
      <c r="ED173" s="22">
        <f t="shared" si="178"/>
        <v>3.322822326899598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-5.9685589803848416E-13</v>
      </c>
      <c r="O174" s="13">
        <f>N174*VLOOKUP('Données projet'!$B$9,Paramètres!$A$1:$I$89,3,0)*VLOOKUP('Données projet'!$B$9,Paramètres!$A$1:$I$89,5,0)</f>
        <v>-3.4140157367801295E-13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294.9631697747962</v>
      </c>
      <c r="T174" s="59">
        <f t="shared" si="142"/>
        <v>202.04924881627716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27.359699105430995</v>
      </c>
      <c r="AA174" s="21">
        <f>EXP(-LN(2)/25)*AA173+(1-EXP(-LN(2)/25))/(LN(2)/25)*Calculateur!V174*Calculateur!X174*VLOOKUP('Données projet'!$B$9,Paramètres!$A$1:$I$89,3,0)*0.475*44/12</f>
        <v>5.1305268703088673</v>
      </c>
      <c r="AB174" s="21">
        <f>EXP(-LN(2)/2)*AB173+(1-EXP(-LN(2)/2))/(LN(2)/2)*V174*Y174*VLOOKUP('Données projet'!$B$9,Paramètres!$A$1:$I$89,3,0)*0.475*44/12</f>
        <v>1.8067320490456241E-9</v>
      </c>
      <c r="AC174" s="22">
        <f t="shared" si="163"/>
        <v>32.490225977546594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349.71285006949597</v>
      </c>
      <c r="AO174" s="59">
        <f t="shared" si="144"/>
        <v>258.51550516456842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25.279704946835533</v>
      </c>
      <c r="AV174" s="21">
        <f>EXP(-LN(2)/25)*AV173+(1-EXP(-LN(2)/25))/(LN(2)/25)*Calculateur!AQ174*Calculateur!AS174*VLOOKUP('Données projet'!$B$10,Paramètres!$A$1:$I$89,3,0)*0.475*44/12</f>
        <v>4.1506292548010366</v>
      </c>
      <c r="AW174" s="21">
        <f>EXP(-LN(2)/2)*AW173+(1-EXP(-LN(2)/2))/(LN(2)/2)*AQ174*AT174*VLOOKUP('Données projet'!$B$10,Paramètres!$A$1:$I$89,3,0)*0.475*44/12</f>
        <v>1.4212053448398344E-12</v>
      </c>
      <c r="AX174" s="21">
        <f t="shared" si="166"/>
        <v>29.43033420163799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5.4001247917767614E-13</v>
      </c>
      <c r="BE174" s="13">
        <f>BD174*VLOOKUP('Données projet'!$B$11,Paramètres!$A$1:$I$89,3,0)*VLOOKUP('Données projet'!$B$11,Paramètres!$A$1:$I$89,5,0)</f>
        <v>4.8860329115996133E-13</v>
      </c>
      <c r="BF174" s="13">
        <f t="shared" si="167"/>
        <v>6.1025862939685007E-12</v>
      </c>
      <c r="BG174" s="20">
        <f t="shared" si="168"/>
        <v>1.1479655194098737E-11</v>
      </c>
      <c r="BH174" s="59">
        <f t="shared" si="116"/>
        <v>293.3333333333448</v>
      </c>
      <c r="BI174" s="59">
        <f ca="1">AVERAGE(OFFSET($BH$3,0,0,'Données projet'!$E$11+1,1))-AVERAGE(OFFSET($H$3,0,0,'Données projet'!$E$11+1,1))</f>
        <v>490.06222615476065</v>
      </c>
      <c r="BJ174" s="59">
        <f t="shared" si="146"/>
        <v>310.43914804089906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92.200820000117744</v>
      </c>
      <c r="BQ174" s="21">
        <f>EXP(-LN(2)/25)*BQ173+(1-EXP(-LN(2)/25))/(LN(2)/25)*Calculateur!BL174*Calculateur!BN174*VLOOKUP('Données projet'!$B$11,Paramètres!$A$1:$I$89,3,0)*0.475*44/12</f>
        <v>15.093399327375646</v>
      </c>
      <c r="BR174" s="21">
        <f>EXP(-LN(2)/2)*BR173+(1-EXP(-LN(2)/2))/(LN(2)/2)*BL174*BO174*VLOOKUP('Données projet'!$B$11,Paramètres!$A$1:$I$89,3,0)*0.475*44/12</f>
        <v>0.2137373816866158</v>
      </c>
      <c r="BS174" s="22">
        <f t="shared" si="169"/>
        <v>107.50795670918001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374.64008399999972</v>
      </c>
      <c r="CA174" s="13">
        <f t="shared" si="170"/>
        <v>86.615897380176207</v>
      </c>
      <c r="CB174" s="20">
        <f t="shared" si="171"/>
        <v>803.35416757047312</v>
      </c>
      <c r="CC174" s="59">
        <f t="shared" si="119"/>
        <v>1096.6875009038065</v>
      </c>
      <c r="CD174" s="59">
        <f ca="1">AVERAGE(OFFSET($CC$3,0,0,'Données projet'!$E$12+1,1))-AVERAGE(OFFSET($H$3,0,0,'Données projet'!$E$12+1,1))</f>
        <v>510.71380643466227</v>
      </c>
      <c r="CE174" s="59">
        <f t="shared" si="148"/>
        <v>252.40654099948841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26.623125343562545</v>
      </c>
      <c r="CL174" s="21">
        <f>EXP(-LN(2)/25)*CL173+(1-EXP(-LN(2)/25))/(LN(2)/25)*Calculateur!CG174*Calculateur!CI174*VLOOKUP('Données projet'!$B$12,Paramètres!$A$1:$I$89,3,0)*0.475*44/12</f>
        <v>22.631235441712558</v>
      </c>
      <c r="CM174" s="21">
        <f>EXP(-LN(2)/2)*CM173+(1-EXP(-LN(2)/2))/(LN(2)/2)*CG174*CJ174*VLOOKUP('Données projet'!$B$12,Paramètres!$A$1:$I$89,3,0)*0.475*44/12</f>
        <v>5.840809055186825</v>
      </c>
      <c r="CN174" s="22">
        <f t="shared" si="172"/>
        <v>55.095169840461928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2.5579538487363607E-13</v>
      </c>
      <c r="CU174" s="17">
        <f>CT174*VLOOKUP('Données projet'!$B$13,Paramètres!$A$1:$I$89,3,0)*VLOOKUP('Données projet'!$B$13,Paramètres!$A$1:$I$89,5,0)</f>
        <v>2.7533815227798186E-13</v>
      </c>
      <c r="CV174" s="13">
        <f t="shared" si="173"/>
        <v>3.6763598146902537E-12</v>
      </c>
      <c r="CW174" s="20">
        <f t="shared" si="174"/>
        <v>6.88254062580301E-12</v>
      </c>
      <c r="CX174" s="59">
        <f t="shared" si="122"/>
        <v>293.33333333334019</v>
      </c>
      <c r="CY174" s="59">
        <f ca="1">AVERAGE(OFFSET($CX$3,0,0,'Données projet'!$E$13+1,1))-AVERAGE(OFFSET($H$3,0,0,'Données projet'!$E$13+1,1))</f>
        <v>502.65044103360322</v>
      </c>
      <c r="CZ174" s="59">
        <f t="shared" si="150"/>
        <v>321.65762891855167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59.667252613133691</v>
      </c>
      <c r="DG174" s="21">
        <f>EXP(-LN(2)/25)*DG173+(1-EXP(-LN(2)/25))/(LN(2)/25)*Calculateur!DB174*Calculateur!DD174*VLOOKUP('Données projet'!$B$13,Paramètres!$A$1:$I$89,3,0)*0.475*44/12</f>
        <v>8.985813032401218</v>
      </c>
      <c r="DH174" s="21">
        <f>EXP(-LN(2)/2)*DH173+(1-EXP(-LN(2)/2))/(LN(2)/2)*DB174*DE174*VLOOKUP('Données projet'!$B$13,Paramètres!$A$1:$I$89,3,0)*0.475*44/12</f>
        <v>5.4626697195187952E-6</v>
      </c>
      <c r="DI174" s="22">
        <f t="shared" si="175"/>
        <v>68.653071108204628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-25.899999999999977</v>
      </c>
      <c r="DP174" s="17">
        <f>DO174*VLOOKUP('Données projet'!$B$14,Paramètres!$A$1:$I$89,3,0)*VLOOKUP('Données projet'!$B$14,Paramètres!$A$1:$I$89,5,0)</f>
        <v>-13.171703999999989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63.94726564348116</v>
      </c>
      <c r="DU174" s="59">
        <f t="shared" si="152"/>
        <v>280.8165028422905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3.1263201057516858</v>
      </c>
      <c r="EB174" s="21">
        <f>EXP(-LN(2)/25)*EB173+(1-EXP(-LN(2)/25))/(LN(2)/25)*Calculateur!DW174*Calculateur!DY174*VLOOKUP('Données projet'!$B$14,Paramètres!$A$1:$I$89,3,0)*0.475*44/12</f>
        <v>0.13030734923852169</v>
      </c>
      <c r="EC174" s="21">
        <f>EXP(-LN(2)/2)*EC173+(1-EXP(-LN(2)/2))/(LN(2)/2)*DW174*DZ174*VLOOKUP('Données projet'!$B$14,Paramètres!$A$1:$I$89,3,0)*0.475*44/12</f>
        <v>5.8197834454224936E-23</v>
      </c>
      <c r="ED174" s="22">
        <f t="shared" si="178"/>
        <v>3.2566274549902077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-5.9685589803848416E-13</v>
      </c>
      <c r="O175" s="13">
        <f>N175*VLOOKUP('Données projet'!$B$9,Paramètres!$A$1:$I$89,3,0)*VLOOKUP('Données projet'!$B$9,Paramètres!$A$1:$I$89,5,0)</f>
        <v>-3.4140157367801295E-13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294.9631697747962</v>
      </c>
      <c r="T175" s="59">
        <f t="shared" si="142"/>
        <v>202.04924881627716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26.823192093742168</v>
      </c>
      <c r="AA175" s="21">
        <f>EXP(-LN(2)/25)*AA174+(1-EXP(-LN(2)/25))/(LN(2)/25)*Calculateur!V175*Calculateur!X175*VLOOKUP('Données projet'!$B$9,Paramètres!$A$1:$I$89,3,0)*0.475*44/12</f>
        <v>4.9902323432375892</v>
      </c>
      <c r="AB175" s="21">
        <f>EXP(-LN(2)/2)*AB174+(1-EXP(-LN(2)/2))/(LN(2)/2)*V175*Y175*VLOOKUP('Données projet'!$B$9,Paramètres!$A$1:$I$89,3,0)*0.475*44/12</f>
        <v>1.2775524836672267E-9</v>
      </c>
      <c r="AC175" s="22">
        <f t="shared" si="163"/>
        <v>31.813424438257311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349.71285006949597</v>
      </c>
      <c r="AO175" s="59">
        <f t="shared" si="144"/>
        <v>258.51550516456842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24.783985351925597</v>
      </c>
      <c r="AV175" s="21">
        <f>EXP(-LN(2)/25)*AV174+(1-EXP(-LN(2)/25))/(LN(2)/25)*Calculateur!AQ175*Calculateur!AS175*VLOOKUP('Données projet'!$B$10,Paramètres!$A$1:$I$89,3,0)*0.475*44/12</f>
        <v>4.0371300795563965</v>
      </c>
      <c r="AW175" s="21">
        <f>EXP(-LN(2)/2)*AW174+(1-EXP(-LN(2)/2))/(LN(2)/2)*AQ175*AT175*VLOOKUP('Données projet'!$B$10,Paramètres!$A$1:$I$89,3,0)*0.475*44/12</f>
        <v>1.0049439367948126E-12</v>
      </c>
      <c r="AX175" s="21">
        <f t="shared" si="166"/>
        <v>28.821115431482998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5.4001247917767614E-13</v>
      </c>
      <c r="BE175" s="13">
        <f>BD175*VLOOKUP('Données projet'!$B$11,Paramètres!$A$1:$I$89,3,0)*VLOOKUP('Données projet'!$B$11,Paramètres!$A$1:$I$89,5,0)</f>
        <v>4.8860329115996133E-13</v>
      </c>
      <c r="BF175" s="13">
        <f t="shared" si="167"/>
        <v>6.1025862939685007E-12</v>
      </c>
      <c r="BG175" s="20">
        <f t="shared" si="168"/>
        <v>1.1479655194098737E-11</v>
      </c>
      <c r="BH175" s="59">
        <f t="shared" si="116"/>
        <v>293.3333333333448</v>
      </c>
      <c r="BI175" s="59">
        <f ca="1">AVERAGE(OFFSET($BH$3,0,0,'Données projet'!$E$11+1,1))-AVERAGE(OFFSET($H$3,0,0,'Données projet'!$E$11+1,1))</f>
        <v>490.06222615476065</v>
      </c>
      <c r="BJ175" s="59">
        <f t="shared" si="146"/>
        <v>310.43914804089906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90.392818156862702</v>
      </c>
      <c r="BQ175" s="21">
        <f>EXP(-LN(2)/25)*BQ174+(1-EXP(-LN(2)/25))/(LN(2)/25)*Calculateur!BL175*Calculateur!BN175*VLOOKUP('Données projet'!$B$11,Paramètres!$A$1:$I$89,3,0)*0.475*44/12</f>
        <v>14.680669529041186</v>
      </c>
      <c r="BR175" s="21">
        <f>EXP(-LN(2)/2)*BR174+(1-EXP(-LN(2)/2))/(LN(2)/2)*BL175*BO175*VLOOKUP('Données projet'!$B$11,Paramètres!$A$1:$I$89,3,0)*0.475*44/12</f>
        <v>0.15113515198366342</v>
      </c>
      <c r="BS175" s="22">
        <f t="shared" si="169"/>
        <v>105.22462283788755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382.0762399999997</v>
      </c>
      <c r="CA175" s="13">
        <f t="shared" si="170"/>
        <v>88.133259545087228</v>
      </c>
      <c r="CB175" s="20">
        <f t="shared" si="171"/>
        <v>818.94821170769308</v>
      </c>
      <c r="CC175" s="59">
        <f t="shared" si="119"/>
        <v>1112.2815450410264</v>
      </c>
      <c r="CD175" s="59">
        <f ca="1">AVERAGE(OFFSET($CC$3,0,0,'Données projet'!$E$12+1,1))-AVERAGE(OFFSET($H$3,0,0,'Données projet'!$E$12+1,1))</f>
        <v>510.71380643466227</v>
      </c>
      <c r="CE175" s="59">
        <f t="shared" si="148"/>
        <v>252.40654099948841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26.101062094078326</v>
      </c>
      <c r="CL175" s="21">
        <f>EXP(-LN(2)/25)*CL174+(1-EXP(-LN(2)/25))/(LN(2)/25)*Calculateur!CG175*Calculateur!CI175*VLOOKUP('Données projet'!$B$12,Paramètres!$A$1:$I$89,3,0)*0.475*44/12</f>
        <v>22.012383118433981</v>
      </c>
      <c r="CM175" s="21">
        <f>EXP(-LN(2)/2)*CM174+(1-EXP(-LN(2)/2))/(LN(2)/2)*CG175*CJ175*VLOOKUP('Données projet'!$B$12,Paramètres!$A$1:$I$89,3,0)*0.475*44/12</f>
        <v>4.130075690538396</v>
      </c>
      <c r="CN175" s="22">
        <f t="shared" si="172"/>
        <v>52.243520903050701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2.5579538487363607E-13</v>
      </c>
      <c r="CU175" s="17">
        <f>CT175*VLOOKUP('Données projet'!$B$13,Paramètres!$A$1:$I$89,3,0)*VLOOKUP('Données projet'!$B$13,Paramètres!$A$1:$I$89,5,0)</f>
        <v>2.7533815227798186E-13</v>
      </c>
      <c r="CV175" s="13">
        <f t="shared" si="173"/>
        <v>3.6763598146902537E-12</v>
      </c>
      <c r="CW175" s="20">
        <f t="shared" si="174"/>
        <v>6.88254062580301E-12</v>
      </c>
      <c r="CX175" s="59">
        <f t="shared" si="122"/>
        <v>293.33333333334019</v>
      </c>
      <c r="CY175" s="59">
        <f ca="1">AVERAGE(OFFSET($CX$3,0,0,'Données projet'!$E$13+1,1))-AVERAGE(OFFSET($H$3,0,0,'Données projet'!$E$13+1,1))</f>
        <v>502.65044103360322</v>
      </c>
      <c r="CZ175" s="59">
        <f t="shared" si="150"/>
        <v>321.65762891855167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58.497214182820677</v>
      </c>
      <c r="DG175" s="21">
        <f>EXP(-LN(2)/25)*DG174+(1-EXP(-LN(2)/25))/(LN(2)/25)*Calculateur!DB175*Calculateur!DD175*VLOOKUP('Données projet'!$B$13,Paramètres!$A$1:$I$89,3,0)*0.475*44/12</f>
        <v>8.7400955024868363</v>
      </c>
      <c r="DH175" s="21">
        <f>EXP(-LN(2)/2)*DH174+(1-EXP(-LN(2)/2))/(LN(2)/2)*DB175*DE175*VLOOKUP('Données projet'!$B$13,Paramètres!$A$1:$I$89,3,0)*0.475*44/12</f>
        <v>3.8626908020541557E-6</v>
      </c>
      <c r="DI175" s="22">
        <f t="shared" si="175"/>
        <v>67.237313547998312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-25.899999999999977</v>
      </c>
      <c r="DP175" s="17">
        <f>DO175*VLOOKUP('Données projet'!$B$14,Paramètres!$A$1:$I$89,3,0)*VLOOKUP('Données projet'!$B$14,Paramètres!$A$1:$I$89,5,0)</f>
        <v>-13.171703999999989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63.94726564348116</v>
      </c>
      <c r="DU175" s="59">
        <f t="shared" si="152"/>
        <v>280.8165028422905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3.0650148753448723</v>
      </c>
      <c r="EB175" s="21">
        <f>EXP(-LN(2)/25)*EB174+(1-EXP(-LN(2)/25))/(LN(2)/25)*Calculateur!DW175*Calculateur!DY175*VLOOKUP('Données projet'!$B$14,Paramètres!$A$1:$I$89,3,0)*0.475*44/12</f>
        <v>0.12674408792102865</v>
      </c>
      <c r="EC175" s="21">
        <f>EXP(-LN(2)/2)*EC174+(1-EXP(-LN(2)/2))/(LN(2)/2)*DW175*DZ175*VLOOKUP('Données projet'!$B$14,Paramètres!$A$1:$I$89,3,0)*0.475*44/12</f>
        <v>4.1152083392954549E-23</v>
      </c>
      <c r="ED175" s="22">
        <f t="shared" si="178"/>
        <v>3.1917589632659009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-5.9685589803848416E-13</v>
      </c>
      <c r="O176" s="13">
        <f>N176*VLOOKUP('Données projet'!$B$9,Paramètres!$A$1:$I$89,3,0)*VLOOKUP('Données projet'!$B$9,Paramètres!$A$1:$I$89,5,0)</f>
        <v>-3.4140157367801295E-13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294.9631697747962</v>
      </c>
      <c r="T176" s="59">
        <f t="shared" si="142"/>
        <v>202.04924881627716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26.297205657315594</v>
      </c>
      <c r="AA176" s="21">
        <f>EXP(-LN(2)/25)*AA175+(1-EXP(-LN(2)/25))/(LN(2)/25)*Calculateur!V176*Calculateur!X176*VLOOKUP('Données projet'!$B$9,Paramètres!$A$1:$I$89,3,0)*0.475*44/12</f>
        <v>4.8537741773868435</v>
      </c>
      <c r="AB176" s="21">
        <f>EXP(-LN(2)/2)*AB175+(1-EXP(-LN(2)/2))/(LN(2)/2)*V176*Y176*VLOOKUP('Données projet'!$B$9,Paramètres!$A$1:$I$89,3,0)*0.475*44/12</f>
        <v>9.0336602452281205E-10</v>
      </c>
      <c r="AC176" s="22">
        <f t="shared" si="163"/>
        <v>31.150979835605803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349.71285006949597</v>
      </c>
      <c r="AO176" s="59">
        <f t="shared" si="144"/>
        <v>258.51550516456842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24.297986515912747</v>
      </c>
      <c r="AV176" s="21">
        <f>EXP(-LN(2)/25)*AV175+(1-EXP(-LN(2)/25))/(LN(2)/25)*Calculateur!AQ176*Calculateur!AS176*VLOOKUP('Données projet'!$B$10,Paramètres!$A$1:$I$89,3,0)*0.475*44/12</f>
        <v>3.9267345452274829</v>
      </c>
      <c r="AW176" s="21">
        <f>EXP(-LN(2)/2)*AW175+(1-EXP(-LN(2)/2))/(LN(2)/2)*AQ176*AT176*VLOOKUP('Données projet'!$B$10,Paramètres!$A$1:$I$89,3,0)*0.475*44/12</f>
        <v>7.1060267241991719E-13</v>
      </c>
      <c r="AX176" s="21">
        <f t="shared" si="166"/>
        <v>28.22472106114094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5.4001247917767614E-13</v>
      </c>
      <c r="BE176" s="13">
        <f>BD176*VLOOKUP('Données projet'!$B$11,Paramètres!$A$1:$I$89,3,0)*VLOOKUP('Données projet'!$B$11,Paramètres!$A$1:$I$89,5,0)</f>
        <v>4.8860329115996133E-13</v>
      </c>
      <c r="BF176" s="13">
        <f t="shared" si="167"/>
        <v>6.1025862939685007E-12</v>
      </c>
      <c r="BG176" s="20">
        <f t="shared" si="168"/>
        <v>1.1479655194098737E-11</v>
      </c>
      <c r="BH176" s="59">
        <f t="shared" si="116"/>
        <v>293.3333333333448</v>
      </c>
      <c r="BI176" s="59">
        <f ca="1">AVERAGE(OFFSET($BH$3,0,0,'Données projet'!$E$11+1,1))-AVERAGE(OFFSET($H$3,0,0,'Données projet'!$E$11+1,1))</f>
        <v>490.06222615476065</v>
      </c>
      <c r="BJ176" s="59">
        <f t="shared" si="146"/>
        <v>310.43914804089906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88.620270126981652</v>
      </c>
      <c r="BQ176" s="21">
        <f>EXP(-LN(2)/25)*BQ175+(1-EXP(-LN(2)/25))/(LN(2)/25)*Calculateur!BL176*Calculateur!BN176*VLOOKUP('Données projet'!$B$11,Paramètres!$A$1:$I$89,3,0)*0.475*44/12</f>
        <v>14.279225848746698</v>
      </c>
      <c r="BR176" s="21">
        <f>EXP(-LN(2)/2)*BR175+(1-EXP(-LN(2)/2))/(LN(2)/2)*BL176*BO176*VLOOKUP('Données projet'!$B$11,Paramètres!$A$1:$I$89,3,0)*0.475*44/12</f>
        <v>0.1068686908433079</v>
      </c>
      <c r="BS176" s="22">
        <f t="shared" si="169"/>
        <v>103.00636466657166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389.51239599999968</v>
      </c>
      <c r="CA176" s="13">
        <f t="shared" si="170"/>
        <v>89.647187887544248</v>
      </c>
      <c r="CB176" s="20">
        <f t="shared" si="171"/>
        <v>834.53627527080562</v>
      </c>
      <c r="CC176" s="59">
        <f t="shared" si="119"/>
        <v>1127.8696086041389</v>
      </c>
      <c r="CD176" s="59">
        <f ca="1">AVERAGE(OFFSET($CC$3,0,0,'Données projet'!$E$12+1,1))-AVERAGE(OFFSET($H$3,0,0,'Données projet'!$E$12+1,1))</f>
        <v>510.71380643466227</v>
      </c>
      <c r="CE176" s="59">
        <f t="shared" si="148"/>
        <v>252.40654099948841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25.589236186489352</v>
      </c>
      <c r="CL176" s="21">
        <f>EXP(-LN(2)/25)*CL175+(1-EXP(-LN(2)/25))/(LN(2)/25)*Calculateur!CG176*Calculateur!CI176*VLOOKUP('Données projet'!$B$12,Paramètres!$A$1:$I$89,3,0)*0.475*44/12</f>
        <v>21.410453344479485</v>
      </c>
      <c r="CM176" s="21">
        <f>EXP(-LN(2)/2)*CM175+(1-EXP(-LN(2)/2))/(LN(2)/2)*CG176*CJ176*VLOOKUP('Données projet'!$B$12,Paramètres!$A$1:$I$89,3,0)*0.475*44/12</f>
        <v>2.920404527593413</v>
      </c>
      <c r="CN176" s="22">
        <f t="shared" si="172"/>
        <v>49.920094058562249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2.5579538487363607E-13</v>
      </c>
      <c r="CU176" s="17">
        <f>CT176*VLOOKUP('Données projet'!$B$13,Paramètres!$A$1:$I$89,3,0)*VLOOKUP('Données projet'!$B$13,Paramètres!$A$1:$I$89,5,0)</f>
        <v>2.7533815227798186E-13</v>
      </c>
      <c r="CV176" s="13">
        <f t="shared" si="173"/>
        <v>3.6763598146902537E-12</v>
      </c>
      <c r="CW176" s="20">
        <f t="shared" si="174"/>
        <v>6.88254062580301E-12</v>
      </c>
      <c r="CX176" s="59">
        <f t="shared" si="122"/>
        <v>293.33333333334019</v>
      </c>
      <c r="CY176" s="59">
        <f ca="1">AVERAGE(OFFSET($CX$3,0,0,'Données projet'!$E$13+1,1))-AVERAGE(OFFSET($H$3,0,0,'Données projet'!$E$13+1,1))</f>
        <v>502.65044103360322</v>
      </c>
      <c r="CZ176" s="59">
        <f t="shared" si="150"/>
        <v>321.65762891855167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57.350119492473127</v>
      </c>
      <c r="DG176" s="21">
        <f>EXP(-LN(2)/25)*DG175+(1-EXP(-LN(2)/25))/(LN(2)/25)*Calculateur!DB176*Calculateur!DD176*VLOOKUP('Données projet'!$B$13,Paramètres!$A$1:$I$89,3,0)*0.475*44/12</f>
        <v>8.5010971313496864</v>
      </c>
      <c r="DH176" s="21">
        <f>EXP(-LN(2)/2)*DH175+(1-EXP(-LN(2)/2))/(LN(2)/2)*DB176*DE176*VLOOKUP('Données projet'!$B$13,Paramètres!$A$1:$I$89,3,0)*0.475*44/12</f>
        <v>2.7313348597593976E-6</v>
      </c>
      <c r="DI176" s="22">
        <f t="shared" si="175"/>
        <v>65.851219355157667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-25.899999999999977</v>
      </c>
      <c r="DP176" s="17">
        <f>DO176*VLOOKUP('Données projet'!$B$14,Paramètres!$A$1:$I$89,3,0)*VLOOKUP('Données projet'!$B$14,Paramètres!$A$1:$I$89,5,0)</f>
        <v>-13.171703999999989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63.94726564348116</v>
      </c>
      <c r="DU176" s="59">
        <f t="shared" si="152"/>
        <v>280.8165028422905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3.004911803113838</v>
      </c>
      <c r="EB176" s="21">
        <f>EXP(-LN(2)/25)*EB175+(1-EXP(-LN(2)/25))/(LN(2)/25)*Calculateur!DW176*Calculateur!DY176*VLOOKUP('Données projet'!$B$14,Paramètres!$A$1:$I$89,3,0)*0.475*44/12</f>
        <v>0.12327826417164621</v>
      </c>
      <c r="EC176" s="21">
        <f>EXP(-LN(2)/2)*EC175+(1-EXP(-LN(2)/2))/(LN(2)/2)*DW176*DZ176*VLOOKUP('Données projet'!$B$14,Paramètres!$A$1:$I$89,3,0)*0.475*44/12</f>
        <v>2.9098917227112468E-23</v>
      </c>
      <c r="ED176" s="22">
        <f t="shared" si="178"/>
        <v>3.1281900672854843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-5.9685589803848416E-13</v>
      </c>
      <c r="O177" s="13">
        <f>N177*VLOOKUP('Données projet'!$B$9,Paramètres!$A$1:$I$89,3,0)*VLOOKUP('Données projet'!$B$9,Paramètres!$A$1:$I$89,5,0)</f>
        <v>-3.4140157367801295E-13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294.9631697747962</v>
      </c>
      <c r="T177" s="59">
        <f t="shared" si="142"/>
        <v>202.04924881627716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25.781533494087295</v>
      </c>
      <c r="AA177" s="21">
        <f>EXP(-LN(2)/25)*AA176+(1-EXP(-LN(2)/25))/(LN(2)/25)*Calculateur!V177*Calculateur!X177*VLOOKUP('Données projet'!$B$9,Paramètres!$A$1:$I$89,3,0)*0.475*44/12</f>
        <v>4.7210474672573097</v>
      </c>
      <c r="AB177" s="21">
        <f>EXP(-LN(2)/2)*AB176+(1-EXP(-LN(2)/2))/(LN(2)/2)*V177*Y177*VLOOKUP('Données projet'!$B$9,Paramètres!$A$1:$I$89,3,0)*0.475*44/12</f>
        <v>6.3877624183361337E-10</v>
      </c>
      <c r="AC177" s="22">
        <f t="shared" si="163"/>
        <v>30.502580961983384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349.71285006949597</v>
      </c>
      <c r="AO177" s="59">
        <f t="shared" si="144"/>
        <v>258.51550516456842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23.82151782064409</v>
      </c>
      <c r="AV177" s="21">
        <f>EXP(-LN(2)/25)*AV176+(1-EXP(-LN(2)/25))/(LN(2)/25)*Calculateur!AQ177*Calculateur!AS177*VLOOKUP('Données projet'!$B$10,Paramètres!$A$1:$I$89,3,0)*0.475*44/12</f>
        <v>3.8193577825902425</v>
      </c>
      <c r="AW177" s="21">
        <f>EXP(-LN(2)/2)*AW176+(1-EXP(-LN(2)/2))/(LN(2)/2)*AQ177*AT177*VLOOKUP('Données projet'!$B$10,Paramètres!$A$1:$I$89,3,0)*0.475*44/12</f>
        <v>5.0247196839740629E-13</v>
      </c>
      <c r="AX177" s="21">
        <f t="shared" si="166"/>
        <v>27.640875603234832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5.4001247917767614E-13</v>
      </c>
      <c r="BE177" s="13">
        <f>BD177*VLOOKUP('Données projet'!$B$11,Paramètres!$A$1:$I$89,3,0)*VLOOKUP('Données projet'!$B$11,Paramètres!$A$1:$I$89,5,0)</f>
        <v>4.8860329115996133E-13</v>
      </c>
      <c r="BF177" s="13">
        <f t="shared" si="167"/>
        <v>6.1025862939685007E-12</v>
      </c>
      <c r="BG177" s="20">
        <f t="shared" si="168"/>
        <v>1.1479655194098737E-11</v>
      </c>
      <c r="BH177" s="59">
        <f t="shared" si="116"/>
        <v>293.3333333333448</v>
      </c>
      <c r="BI177" s="59">
        <f ca="1">AVERAGE(OFFSET($BH$3,0,0,'Données projet'!$E$11+1,1))-AVERAGE(OFFSET($H$3,0,0,'Données projet'!$E$11+1,1))</f>
        <v>490.06222615476065</v>
      </c>
      <c r="BJ177" s="59">
        <f t="shared" si="146"/>
        <v>310.43914804089906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86.882480682819022</v>
      </c>
      <c r="BQ177" s="21">
        <f>EXP(-LN(2)/25)*BQ176+(1-EXP(-LN(2)/25))/(LN(2)/25)*Calculateur!BL177*Calculateur!BN177*VLOOKUP('Données projet'!$B$11,Paramètres!$A$1:$I$89,3,0)*0.475*44/12</f>
        <v>13.888759667000867</v>
      </c>
      <c r="BR177" s="21">
        <f>EXP(-LN(2)/2)*BR176+(1-EXP(-LN(2)/2))/(LN(2)/2)*BL177*BO177*VLOOKUP('Données projet'!$B$11,Paramètres!$A$1:$I$89,3,0)*0.475*44/12</f>
        <v>7.5567575991831712E-2</v>
      </c>
      <c r="BS177" s="22">
        <f t="shared" si="169"/>
        <v>100.84680792581172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396.94855199999972</v>
      </c>
      <c r="CA177" s="13">
        <f t="shared" si="170"/>
        <v>91.157755520722489</v>
      </c>
      <c r="CB177" s="20">
        <f t="shared" si="171"/>
        <v>850.11848559859118</v>
      </c>
      <c r="CC177" s="59">
        <f t="shared" si="119"/>
        <v>1143.4518189319244</v>
      </c>
      <c r="CD177" s="59">
        <f ca="1">AVERAGE(OFFSET($CC$3,0,0,'Données projet'!$E$12+1,1))-AVERAGE(OFFSET($H$3,0,0,'Données projet'!$E$12+1,1))</f>
        <v>510.71380643466227</v>
      </c>
      <c r="CE177" s="59">
        <f t="shared" si="148"/>
        <v>252.40654099948841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25.087446872765216</v>
      </c>
      <c r="CL177" s="21">
        <f>EXP(-LN(2)/25)*CL176+(1-EXP(-LN(2)/25))/(LN(2)/25)*Calculateur!CG177*Calculateur!CI177*VLOOKUP('Données projet'!$B$12,Paramètres!$A$1:$I$89,3,0)*0.475*44/12</f>
        <v>20.824983371847885</v>
      </c>
      <c r="CM177" s="21">
        <f>EXP(-LN(2)/2)*CM176+(1-EXP(-LN(2)/2))/(LN(2)/2)*CG177*CJ177*VLOOKUP('Données projet'!$B$12,Paramètres!$A$1:$I$89,3,0)*0.475*44/12</f>
        <v>2.0650378452691984</v>
      </c>
      <c r="CN177" s="22">
        <f t="shared" si="172"/>
        <v>47.977468089882301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2.5579538487363607E-13</v>
      </c>
      <c r="CU177" s="17">
        <f>CT177*VLOOKUP('Données projet'!$B$13,Paramètres!$A$1:$I$89,3,0)*VLOOKUP('Données projet'!$B$13,Paramètres!$A$1:$I$89,5,0)</f>
        <v>2.7533815227798186E-13</v>
      </c>
      <c r="CV177" s="13">
        <f t="shared" si="173"/>
        <v>3.6763598146902537E-12</v>
      </c>
      <c r="CW177" s="20">
        <f t="shared" si="174"/>
        <v>6.88254062580301E-12</v>
      </c>
      <c r="CX177" s="59">
        <f t="shared" si="122"/>
        <v>293.33333333334019</v>
      </c>
      <c r="CY177" s="59">
        <f ca="1">AVERAGE(OFFSET($CX$3,0,0,'Données projet'!$E$13+1,1))-AVERAGE(OFFSET($H$3,0,0,'Données projet'!$E$13+1,1))</f>
        <v>502.65044103360322</v>
      </c>
      <c r="CZ177" s="59">
        <f t="shared" si="150"/>
        <v>321.65762891855167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56.22551862934462</v>
      </c>
      <c r="DG177" s="21">
        <f>EXP(-LN(2)/25)*DG176+(1-EXP(-LN(2)/25))/(LN(2)/25)*Calculateur!DB177*Calculateur!DD177*VLOOKUP('Données projet'!$B$13,Paramètres!$A$1:$I$89,3,0)*0.475*44/12</f>
        <v>8.2686341832396604</v>
      </c>
      <c r="DH177" s="21">
        <f>EXP(-LN(2)/2)*DH176+(1-EXP(-LN(2)/2))/(LN(2)/2)*DB177*DE177*VLOOKUP('Données projet'!$B$13,Paramètres!$A$1:$I$89,3,0)*0.475*44/12</f>
        <v>1.9313454010270778E-6</v>
      </c>
      <c r="DI177" s="22">
        <f t="shared" si="175"/>
        <v>64.49415474392967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-25.899999999999977</v>
      </c>
      <c r="DP177" s="17">
        <f>DO177*VLOOKUP('Données projet'!$B$14,Paramètres!$A$1:$I$89,3,0)*VLOOKUP('Données projet'!$B$14,Paramètres!$A$1:$I$89,5,0)</f>
        <v>-13.171703999999989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63.94726564348116</v>
      </c>
      <c r="DU177" s="59">
        <f t="shared" si="152"/>
        <v>280.8165028422905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2.94598731547</v>
      </c>
      <c r="EB177" s="21">
        <f>EXP(-LN(2)/25)*EB176+(1-EXP(-LN(2)/25))/(LN(2)/25)*Calculateur!DW177*Calculateur!DY177*VLOOKUP('Données projet'!$B$14,Paramètres!$A$1:$I$89,3,0)*0.475*44/12</f>
        <v>0.11990721355495039</v>
      </c>
      <c r="EC177" s="21">
        <f>EXP(-LN(2)/2)*EC176+(1-EXP(-LN(2)/2))/(LN(2)/2)*DW177*DZ177*VLOOKUP('Données projet'!$B$14,Paramètres!$A$1:$I$89,3,0)*0.475*44/12</f>
        <v>2.0576041696477274E-23</v>
      </c>
      <c r="ED177" s="22">
        <f t="shared" si="178"/>
        <v>3.0658945290249506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-5.9685589803848416E-13</v>
      </c>
      <c r="O178" s="13">
        <f>N178*VLOOKUP('Données projet'!$B$9,Paramètres!$A$1:$I$89,3,0)*VLOOKUP('Données projet'!$B$9,Paramètres!$A$1:$I$89,5,0)</f>
        <v>-3.4140157367801295E-13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294.9631697747962</v>
      </c>
      <c r="T178" s="59">
        <f t="shared" si="142"/>
        <v>202.04924881627716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25.275973347450943</v>
      </c>
      <c r="AA178" s="21">
        <f>EXP(-LN(2)/25)*AA177+(1-EXP(-LN(2)/25))/(LN(2)/25)*Calculateur!V178*Calculateur!X178*VLOOKUP('Données projet'!$B$9,Paramètres!$A$1:$I$89,3,0)*0.475*44/12</f>
        <v>4.5919501759960628</v>
      </c>
      <c r="AB178" s="21">
        <f>EXP(-LN(2)/2)*AB177+(1-EXP(-LN(2)/2))/(LN(2)/2)*V178*Y178*VLOOKUP('Données projet'!$B$9,Paramètres!$A$1:$I$89,3,0)*0.475*44/12</f>
        <v>4.5168301226140602E-10</v>
      </c>
      <c r="AC178" s="22">
        <f t="shared" si="163"/>
        <v>29.867923523898686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349.71285006949597</v>
      </c>
      <c r="AO178" s="59">
        <f t="shared" si="144"/>
        <v>258.51550516456842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23.35439238587244</v>
      </c>
      <c r="AV178" s="21">
        <f>EXP(-LN(2)/25)*AV177+(1-EXP(-LN(2)/25))/(LN(2)/25)*Calculateur!AQ178*Calculateur!AS178*VLOOKUP('Données projet'!$B$10,Paramètres!$A$1:$I$89,3,0)*0.475*44/12</f>
        <v>3.7149172431740158</v>
      </c>
      <c r="AW178" s="21">
        <f>EXP(-LN(2)/2)*AW177+(1-EXP(-LN(2)/2))/(LN(2)/2)*AQ178*AT178*VLOOKUP('Données projet'!$B$10,Paramètres!$A$1:$I$89,3,0)*0.475*44/12</f>
        <v>3.553013362099586E-13</v>
      </c>
      <c r="AX178" s="21">
        <f t="shared" si="166"/>
        <v>27.069309629046813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5.4001247917767614E-13</v>
      </c>
      <c r="BE178" s="13">
        <f>BD178*VLOOKUP('Données projet'!$B$11,Paramètres!$A$1:$I$89,3,0)*VLOOKUP('Données projet'!$B$11,Paramètres!$A$1:$I$89,5,0)</f>
        <v>4.8860329115996133E-13</v>
      </c>
      <c r="BF178" s="13">
        <f t="shared" si="167"/>
        <v>6.1025862939685007E-12</v>
      </c>
      <c r="BG178" s="20">
        <f t="shared" si="168"/>
        <v>1.1479655194098737E-11</v>
      </c>
      <c r="BH178" s="59">
        <f t="shared" si="116"/>
        <v>293.3333333333448</v>
      </c>
      <c r="BI178" s="59">
        <f ca="1">AVERAGE(OFFSET($BH$3,0,0,'Données projet'!$E$11+1,1))-AVERAGE(OFFSET($H$3,0,0,'Données projet'!$E$11+1,1))</f>
        <v>490.06222615476065</v>
      </c>
      <c r="BJ178" s="59">
        <f t="shared" si="146"/>
        <v>310.43914804089906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85.178768229709519</v>
      </c>
      <c r="BQ178" s="21">
        <f>EXP(-LN(2)/25)*BQ177+(1-EXP(-LN(2)/25))/(LN(2)/25)*Calculateur!BL178*Calculateur!BN178*VLOOKUP('Données projet'!$B$11,Paramètres!$A$1:$I$89,3,0)*0.475*44/12</f>
        <v>13.508970803528602</v>
      </c>
      <c r="BR178" s="21">
        <f>EXP(-LN(2)/2)*BR177+(1-EXP(-LN(2)/2))/(LN(2)/2)*BL178*BO178*VLOOKUP('Données projet'!$B$11,Paramètres!$A$1:$I$89,3,0)*0.475*44/12</f>
        <v>5.3434345421653949E-2</v>
      </c>
      <c r="BS178" s="22">
        <f t="shared" si="169"/>
        <v>98.741173378659767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404.3847079999997</v>
      </c>
      <c r="CA178" s="13">
        <f t="shared" si="170"/>
        <v>92.665032661718087</v>
      </c>
      <c r="CB178" s="20">
        <f t="shared" si="171"/>
        <v>865.6949649858251</v>
      </c>
      <c r="CC178" s="59">
        <f t="shared" si="119"/>
        <v>1159.0282983191585</v>
      </c>
      <c r="CD178" s="59">
        <f ca="1">AVERAGE(OFFSET($CC$3,0,0,'Données projet'!$E$12+1,1))-AVERAGE(OFFSET($H$3,0,0,'Données projet'!$E$12+1,1))</f>
        <v>510.71380643466227</v>
      </c>
      <c r="CE178" s="59">
        <f t="shared" si="148"/>
        <v>252.40654099948841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24.595497341421954</v>
      </c>
      <c r="CL178" s="21">
        <f>EXP(-LN(2)/25)*CL177+(1-EXP(-LN(2)/25))/(LN(2)/25)*Calculateur!CG178*Calculateur!CI178*VLOOKUP('Données projet'!$B$12,Paramètres!$A$1:$I$89,3,0)*0.475*44/12</f>
        <v>20.255523106406425</v>
      </c>
      <c r="CM178" s="21">
        <f>EXP(-LN(2)/2)*CM177+(1-EXP(-LN(2)/2))/(LN(2)/2)*CG178*CJ178*VLOOKUP('Données projet'!$B$12,Paramètres!$A$1:$I$89,3,0)*0.475*44/12</f>
        <v>1.4602022637967067</v>
      </c>
      <c r="CN178" s="22">
        <f t="shared" si="172"/>
        <v>46.311222711625085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2.5579538487363607E-13</v>
      </c>
      <c r="CU178" s="17">
        <f>CT178*VLOOKUP('Données projet'!$B$13,Paramètres!$A$1:$I$89,3,0)*VLOOKUP('Données projet'!$B$13,Paramètres!$A$1:$I$89,5,0)</f>
        <v>2.7533815227798186E-13</v>
      </c>
      <c r="CV178" s="13">
        <f t="shared" si="173"/>
        <v>3.6763598146902537E-12</v>
      </c>
      <c r="CW178" s="20">
        <f t="shared" si="174"/>
        <v>6.88254062580301E-12</v>
      </c>
      <c r="CX178" s="59">
        <f t="shared" si="122"/>
        <v>293.33333333334019</v>
      </c>
      <c r="CY178" s="59">
        <f ca="1">AVERAGE(OFFSET($CX$3,0,0,'Données projet'!$E$13+1,1))-AVERAGE(OFFSET($H$3,0,0,'Données projet'!$E$13+1,1))</f>
        <v>502.65044103360322</v>
      </c>
      <c r="CZ178" s="59">
        <f t="shared" si="150"/>
        <v>321.65762891855167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55.12297050320327</v>
      </c>
      <c r="DG178" s="21">
        <f>EXP(-LN(2)/25)*DG177+(1-EXP(-LN(2)/25))/(LN(2)/25)*Calculateur!DB178*Calculateur!DD178*VLOOKUP('Données projet'!$B$13,Paramètres!$A$1:$I$89,3,0)*0.475*44/12</f>
        <v>8.0425279466703987</v>
      </c>
      <c r="DH178" s="21">
        <f>EXP(-LN(2)/2)*DH177+(1-EXP(-LN(2)/2))/(LN(2)/2)*DB178*DE178*VLOOKUP('Données projet'!$B$13,Paramètres!$A$1:$I$89,3,0)*0.475*44/12</f>
        <v>1.3656674298796988E-6</v>
      </c>
      <c r="DI178" s="22">
        <f t="shared" si="175"/>
        <v>63.165499815541096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-25.899999999999977</v>
      </c>
      <c r="DP178" s="17">
        <f>DO178*VLOOKUP('Données projet'!$B$14,Paramètres!$A$1:$I$89,3,0)*VLOOKUP('Données projet'!$B$14,Paramètres!$A$1:$I$89,5,0)</f>
        <v>-13.171703999999989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63.94726564348116</v>
      </c>
      <c r="DU178" s="59">
        <f t="shared" si="152"/>
        <v>280.8165028422905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2.888218301088469</v>
      </c>
      <c r="EB178" s="21">
        <f>EXP(-LN(2)/25)*EB177+(1-EXP(-LN(2)/25))/(LN(2)/25)*Calculateur!DW178*Calculateur!DY178*VLOOKUP('Données projet'!$B$14,Paramètres!$A$1:$I$89,3,0)*0.475*44/12</f>
        <v>0.11662834449464396</v>
      </c>
      <c r="EC178" s="21">
        <f>EXP(-LN(2)/2)*EC177+(1-EXP(-LN(2)/2))/(LN(2)/2)*DW178*DZ178*VLOOKUP('Données projet'!$B$14,Paramètres!$A$1:$I$89,3,0)*0.475*44/12</f>
        <v>1.4549458613556234E-23</v>
      </c>
      <c r="ED178" s="22">
        <f t="shared" si="178"/>
        <v>3.0048466455831129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-5.9685589803848416E-13</v>
      </c>
      <c r="O179" s="13">
        <f>N179*VLOOKUP('Données projet'!$B$9,Paramètres!$A$1:$I$89,3,0)*VLOOKUP('Données projet'!$B$9,Paramètres!$A$1:$I$89,5,0)</f>
        <v>-3.4140157367801295E-13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294.9631697747962</v>
      </c>
      <c r="T179" s="59">
        <f t="shared" si="142"/>
        <v>202.04924881627716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24.780326926928886</v>
      </c>
      <c r="AA179" s="21">
        <f>EXP(-LN(2)/25)*AA178+(1-EXP(-LN(2)/25))/(LN(2)/25)*Calculateur!V179*Calculateur!X179*VLOOKUP('Données projet'!$B$9,Paramètres!$A$1:$I$89,3,0)*0.475*44/12</f>
        <v>4.4663830569532861</v>
      </c>
      <c r="AB179" s="21">
        <f>EXP(-LN(2)/2)*AB178+(1-EXP(-LN(2)/2))/(LN(2)/2)*V179*Y179*VLOOKUP('Données projet'!$B$9,Paramètres!$A$1:$I$89,3,0)*0.475*44/12</f>
        <v>3.1938812091680669E-10</v>
      </c>
      <c r="AC179" s="22">
        <f t="shared" si="163"/>
        <v>29.246709984201562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349.71285006949597</v>
      </c>
      <c r="AO179" s="59">
        <f t="shared" si="144"/>
        <v>258.51550516456842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22.896426995958283</v>
      </c>
      <c r="AV179" s="21">
        <f>EXP(-LN(2)/25)*AV178+(1-EXP(-LN(2)/25))/(LN(2)/25)*Calculateur!AQ179*Calculateur!AS179*VLOOKUP('Données projet'!$B$10,Paramètres!$A$1:$I$89,3,0)*0.475*44/12</f>
        <v>3.6133326358004152</v>
      </c>
      <c r="AW179" s="21">
        <f>EXP(-LN(2)/2)*AW178+(1-EXP(-LN(2)/2))/(LN(2)/2)*AQ179*AT179*VLOOKUP('Données projet'!$B$10,Paramètres!$A$1:$I$89,3,0)*0.475*44/12</f>
        <v>2.5123598419870315E-13</v>
      </c>
      <c r="AX179" s="21">
        <f t="shared" si="166"/>
        <v>26.50975963175895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5.4001247917767614E-13</v>
      </c>
      <c r="BE179" s="13">
        <f>BD179*VLOOKUP('Données projet'!$B$11,Paramètres!$A$1:$I$89,3,0)*VLOOKUP('Données projet'!$B$11,Paramètres!$A$1:$I$89,5,0)</f>
        <v>4.8860329115996133E-13</v>
      </c>
      <c r="BF179" s="13">
        <f t="shared" si="167"/>
        <v>6.1025862939685007E-12</v>
      </c>
      <c r="BG179" s="20">
        <f t="shared" si="168"/>
        <v>1.1479655194098737E-11</v>
      </c>
      <c r="BH179" s="59">
        <f t="shared" si="116"/>
        <v>293.3333333333448</v>
      </c>
      <c r="BI179" s="59">
        <f ca="1">AVERAGE(OFFSET($BH$3,0,0,'Données projet'!$E$11+1,1))-AVERAGE(OFFSET($H$3,0,0,'Données projet'!$E$11+1,1))</f>
        <v>490.06222615476065</v>
      </c>
      <c r="BJ179" s="59">
        <f t="shared" si="146"/>
        <v>310.43914804089906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83.508464538643508</v>
      </c>
      <c r="BQ179" s="21">
        <f>EXP(-LN(2)/25)*BQ178+(1-EXP(-LN(2)/25))/(LN(2)/25)*Calculateur!BL179*Calculateur!BN179*VLOOKUP('Données projet'!$B$11,Paramètres!$A$1:$I$89,3,0)*0.475*44/12</f>
        <v>13.139567286500213</v>
      </c>
      <c r="BR179" s="21">
        <f>EXP(-LN(2)/2)*BR178+(1-EXP(-LN(2)/2))/(LN(2)/2)*BL179*BO179*VLOOKUP('Données projet'!$B$11,Paramètres!$A$1:$I$89,3,0)*0.475*44/12</f>
        <v>3.7783787995915856E-2</v>
      </c>
      <c r="BS179" s="22">
        <f t="shared" si="169"/>
        <v>96.685815613139638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411.82086399999974</v>
      </c>
      <c r="CA179" s="13">
        <f t="shared" si="170"/>
        <v>94.169086797374149</v>
      </c>
      <c r="CB179" s="20">
        <f t="shared" si="171"/>
        <v>881.26583097209289</v>
      </c>
      <c r="CC179" s="59">
        <f t="shared" si="119"/>
        <v>1174.5991643054263</v>
      </c>
      <c r="CD179" s="59">
        <f ca="1">AVERAGE(OFFSET($CC$3,0,0,'Données projet'!$E$12+1,1))-AVERAGE(OFFSET($H$3,0,0,'Données projet'!$E$12+1,1))</f>
        <v>510.71380643466227</v>
      </c>
      <c r="CE179" s="59">
        <f t="shared" si="148"/>
        <v>252.40654099948841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24.113194640328746</v>
      </c>
      <c r="CL179" s="21">
        <f>EXP(-LN(2)/25)*CL178+(1-EXP(-LN(2)/25))/(LN(2)/25)*Calculateur!CG179*Calculateur!CI179*VLOOKUP('Données projet'!$B$12,Paramètres!$A$1:$I$89,3,0)*0.475*44/12</f>
        <v>19.701634761870075</v>
      </c>
      <c r="CM179" s="21">
        <f>EXP(-LN(2)/2)*CM178+(1-EXP(-LN(2)/2))/(LN(2)/2)*CG179*CJ179*VLOOKUP('Données projet'!$B$12,Paramètres!$A$1:$I$89,3,0)*0.475*44/12</f>
        <v>1.0325189226345992</v>
      </c>
      <c r="CN179" s="22">
        <f t="shared" si="172"/>
        <v>44.847348324833426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2.5579538487363607E-13</v>
      </c>
      <c r="CU179" s="17">
        <f>CT179*VLOOKUP('Données projet'!$B$13,Paramètres!$A$1:$I$89,3,0)*VLOOKUP('Données projet'!$B$13,Paramètres!$A$1:$I$89,5,0)</f>
        <v>2.7533815227798186E-13</v>
      </c>
      <c r="CV179" s="13">
        <f t="shared" si="173"/>
        <v>3.6763598146902537E-12</v>
      </c>
      <c r="CW179" s="20">
        <f t="shared" si="174"/>
        <v>6.88254062580301E-12</v>
      </c>
      <c r="CX179" s="59">
        <f t="shared" si="122"/>
        <v>293.33333333334019</v>
      </c>
      <c r="CY179" s="59">
        <f ca="1">AVERAGE(OFFSET($CX$3,0,0,'Données projet'!$E$13+1,1))-AVERAGE(OFFSET($H$3,0,0,'Données projet'!$E$13+1,1))</f>
        <v>502.65044103360322</v>
      </c>
      <c r="CZ179" s="59">
        <f t="shared" si="150"/>
        <v>321.65762891855167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54.042042673327593</v>
      </c>
      <c r="DG179" s="21">
        <f>EXP(-LN(2)/25)*DG178+(1-EXP(-LN(2)/25))/(LN(2)/25)*Calculateur!DB179*Calculateur!DD179*VLOOKUP('Données projet'!$B$13,Paramètres!$A$1:$I$89,3,0)*0.475*44/12</f>
        <v>7.8226045970305336</v>
      </c>
      <c r="DH179" s="21">
        <f>EXP(-LN(2)/2)*DH178+(1-EXP(-LN(2)/2))/(LN(2)/2)*DB179*DE179*VLOOKUP('Données projet'!$B$13,Paramètres!$A$1:$I$89,3,0)*0.475*44/12</f>
        <v>9.6567270051353891E-7</v>
      </c>
      <c r="DI179" s="22">
        <f t="shared" si="175"/>
        <v>61.864648236030824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-25.899999999999977</v>
      </c>
      <c r="DP179" s="17">
        <f>DO179*VLOOKUP('Données projet'!$B$14,Paramètres!$A$1:$I$89,3,0)*VLOOKUP('Données projet'!$B$14,Paramètres!$A$1:$I$89,5,0)</f>
        <v>-13.171703999999989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63.94726564348116</v>
      </c>
      <c r="DU179" s="59">
        <f t="shared" si="152"/>
        <v>280.8165028422905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2.8315821018433405</v>
      </c>
      <c r="EB179" s="21">
        <f>EXP(-LN(2)/25)*EB178+(1-EXP(-LN(2)/25))/(LN(2)/25)*Calculateur!DW179*Calculateur!DY179*VLOOKUP('Données projet'!$B$14,Paramètres!$A$1:$I$89,3,0)*0.475*44/12</f>
        <v>0.11343913628121984</v>
      </c>
      <c r="EC179" s="21">
        <f>EXP(-LN(2)/2)*EC178+(1-EXP(-LN(2)/2))/(LN(2)/2)*DW179*DZ179*VLOOKUP('Données projet'!$B$14,Paramètres!$A$1:$I$89,3,0)*0.475*44/12</f>
        <v>1.0288020848238637E-23</v>
      </c>
      <c r="ED179" s="22">
        <f t="shared" si="178"/>
        <v>2.9450212381245602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-5.9685589803848416E-13</v>
      </c>
      <c r="O180" s="13">
        <f>N180*VLOOKUP('Données projet'!$B$9,Paramètres!$A$1:$I$89,3,0)*VLOOKUP('Données projet'!$B$9,Paramètres!$A$1:$I$89,5,0)</f>
        <v>-3.4140157367801295E-13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294.9631697747962</v>
      </c>
      <c r="T180" s="59">
        <f t="shared" si="142"/>
        <v>202.04924881627716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24.294399830398802</v>
      </c>
      <c r="AA180" s="21">
        <f>EXP(-LN(2)/25)*AA179+(1-EXP(-LN(2)/25))/(LN(2)/25)*Calculateur!V180*Calculateur!X180*VLOOKUP('Données projet'!$B$9,Paramètres!$A$1:$I$89,3,0)*0.475*44/12</f>
        <v>4.344249577384022</v>
      </c>
      <c r="AB180" s="21">
        <f>EXP(-LN(2)/2)*AB179+(1-EXP(-LN(2)/2))/(LN(2)/2)*V180*Y180*VLOOKUP('Données projet'!$B$9,Paramètres!$A$1:$I$89,3,0)*0.475*44/12</f>
        <v>2.2584150613070301E-10</v>
      </c>
      <c r="AC180" s="22">
        <f t="shared" si="163"/>
        <v>28.638649408008668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349.71285006949597</v>
      </c>
      <c r="AO180" s="59">
        <f t="shared" si="144"/>
        <v>258.51550516456842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22.447442028009036</v>
      </c>
      <c r="AV180" s="21">
        <f>EXP(-LN(2)/25)*AV179+(1-EXP(-LN(2)/25))/(LN(2)/25)*Calculateur!AQ180*Calculateur!AS180*VLOOKUP('Données projet'!$B$10,Paramètres!$A$1:$I$89,3,0)*0.475*44/12</f>
        <v>3.5145258648575477</v>
      </c>
      <c r="AW180" s="21">
        <f>EXP(-LN(2)/2)*AW179+(1-EXP(-LN(2)/2))/(LN(2)/2)*AQ180*AT180*VLOOKUP('Données projet'!$B$10,Paramètres!$A$1:$I$89,3,0)*0.475*44/12</f>
        <v>1.776506681049793E-13</v>
      </c>
      <c r="AX180" s="21">
        <f t="shared" si="166"/>
        <v>25.96196789286676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5.4001247917767614E-13</v>
      </c>
      <c r="BE180" s="13">
        <f>BD180*VLOOKUP('Données projet'!$B$11,Paramètres!$A$1:$I$89,3,0)*VLOOKUP('Données projet'!$B$11,Paramètres!$A$1:$I$89,5,0)</f>
        <v>4.8860329115996133E-13</v>
      </c>
      <c r="BF180" s="13">
        <f t="shared" si="167"/>
        <v>6.1025862939685007E-12</v>
      </c>
      <c r="BG180" s="20">
        <f t="shared" si="168"/>
        <v>1.1479655194098737E-11</v>
      </c>
      <c r="BH180" s="59">
        <f t="shared" si="116"/>
        <v>293.3333333333448</v>
      </c>
      <c r="BI180" s="59">
        <f ca="1">AVERAGE(OFFSET($BH$3,0,0,'Données projet'!$E$11+1,1))-AVERAGE(OFFSET($H$3,0,0,'Données projet'!$E$11+1,1))</f>
        <v>490.06222615476065</v>
      </c>
      <c r="BJ180" s="59">
        <f t="shared" si="146"/>
        <v>310.43914804089906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81.870914484174648</v>
      </c>
      <c r="BQ180" s="21">
        <f>EXP(-LN(2)/25)*BQ179+(1-EXP(-LN(2)/25))/(LN(2)/25)*Calculateur!BL180*Calculateur!BN180*VLOOKUP('Données projet'!$B$11,Paramètres!$A$1:$I$89,3,0)*0.475*44/12</f>
        <v>12.780265128071052</v>
      </c>
      <c r="BR180" s="21">
        <f>EXP(-LN(2)/2)*BR179+(1-EXP(-LN(2)/2))/(LN(2)/2)*BL180*BO180*VLOOKUP('Données projet'!$B$11,Paramètres!$A$1:$I$89,3,0)*0.475*44/12</f>
        <v>2.6717172710826975E-2</v>
      </c>
      <c r="BS180" s="22">
        <f t="shared" si="169"/>
        <v>94.67789678495653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419.25701999999967</v>
      </c>
      <c r="CA180" s="13">
        <f t="shared" si="170"/>
        <v>95.669982837789078</v>
      </c>
      <c r="CB180" s="20">
        <f t="shared" si="171"/>
        <v>896.83119660914872</v>
      </c>
      <c r="CC180" s="59">
        <f t="shared" si="119"/>
        <v>1190.164529942482</v>
      </c>
      <c r="CD180" s="59">
        <f ca="1">AVERAGE(OFFSET($CC$3,0,0,'Données projet'!$E$12+1,1))-AVERAGE(OFFSET($H$3,0,0,'Données projet'!$E$12+1,1))</f>
        <v>510.71380643466227</v>
      </c>
      <c r="CE180" s="59">
        <f t="shared" si="148"/>
        <v>252.40654099948841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23.640349601028376</v>
      </c>
      <c r="CL180" s="21">
        <f>EXP(-LN(2)/25)*CL179+(1-EXP(-LN(2)/25))/(LN(2)/25)*Calculateur!CG180*Calculateur!CI180*VLOOKUP('Données projet'!$B$12,Paramètres!$A$1:$I$89,3,0)*0.475*44/12</f>
        <v>19.162892523242796</v>
      </c>
      <c r="CM180" s="21">
        <f>EXP(-LN(2)/2)*CM179+(1-EXP(-LN(2)/2))/(LN(2)/2)*CG180*CJ180*VLOOKUP('Données projet'!$B$12,Paramètres!$A$1:$I$89,3,0)*0.475*44/12</f>
        <v>0.73010113189835335</v>
      </c>
      <c r="CN180" s="22">
        <f t="shared" si="172"/>
        <v>43.533343256169523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2.5579538487363607E-13</v>
      </c>
      <c r="CU180" s="17">
        <f>CT180*VLOOKUP('Données projet'!$B$13,Paramètres!$A$1:$I$89,3,0)*VLOOKUP('Données projet'!$B$13,Paramètres!$A$1:$I$89,5,0)</f>
        <v>2.7533815227798186E-13</v>
      </c>
      <c r="CV180" s="13">
        <f t="shared" si="173"/>
        <v>3.6763598146902537E-12</v>
      </c>
      <c r="CW180" s="20">
        <f t="shared" si="174"/>
        <v>6.88254062580301E-12</v>
      </c>
      <c r="CX180" s="59">
        <f t="shared" si="122"/>
        <v>293.33333333334019</v>
      </c>
      <c r="CY180" s="59">
        <f ca="1">AVERAGE(OFFSET($CX$3,0,0,'Données projet'!$E$13+1,1))-AVERAGE(OFFSET($H$3,0,0,'Données projet'!$E$13+1,1))</f>
        <v>502.65044103360322</v>
      </c>
      <c r="CZ180" s="59">
        <f t="shared" si="150"/>
        <v>321.65762891855167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52.982311178894903</v>
      </c>
      <c r="DG180" s="21">
        <f>EXP(-LN(2)/25)*DG179+(1-EXP(-LN(2)/25))/(LN(2)/25)*Calculateur!DB180*Calculateur!DD180*VLOOKUP('Données projet'!$B$13,Paramètres!$A$1:$I$89,3,0)*0.475*44/12</f>
        <v>7.6086950629518366</v>
      </c>
      <c r="DH180" s="21">
        <f>EXP(-LN(2)/2)*DH179+(1-EXP(-LN(2)/2))/(LN(2)/2)*DB180*DE180*VLOOKUP('Données projet'!$B$13,Paramètres!$A$1:$I$89,3,0)*0.475*44/12</f>
        <v>6.8283371493984939E-7</v>
      </c>
      <c r="DI180" s="22">
        <f t="shared" si="175"/>
        <v>60.591006924680457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-25.899999999999977</v>
      </c>
      <c r="DP180" s="17">
        <f>DO180*VLOOKUP('Données projet'!$B$14,Paramètres!$A$1:$I$89,3,0)*VLOOKUP('Données projet'!$B$14,Paramètres!$A$1:$I$89,5,0)</f>
        <v>-13.171703999999989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63.94726564348116</v>
      </c>
      <c r="DU180" s="59">
        <f t="shared" si="152"/>
        <v>280.8165028422905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2.7760565039207381</v>
      </c>
      <c r="EB180" s="21">
        <f>EXP(-LN(2)/25)*EB179+(1-EXP(-LN(2)/25))/(LN(2)/25)*Calculateur!DW180*Calculateur!DY180*VLOOKUP('Données projet'!$B$14,Paramètres!$A$1:$I$89,3,0)*0.475*44/12</f>
        <v>0.11033713713410497</v>
      </c>
      <c r="EC180" s="21">
        <f>EXP(-LN(2)/2)*EC179+(1-EXP(-LN(2)/2))/(LN(2)/2)*DW180*DZ180*VLOOKUP('Données projet'!$B$14,Paramètres!$A$1:$I$89,3,0)*0.475*44/12</f>
        <v>7.2747293067781169E-24</v>
      </c>
      <c r="ED180" s="22">
        <f t="shared" si="178"/>
        <v>2.886393641054843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-5.9685589803848416E-13</v>
      </c>
      <c r="O181" s="13">
        <f>N181*VLOOKUP('Données projet'!$B$9,Paramètres!$A$1:$I$89,3,0)*VLOOKUP('Données projet'!$B$9,Paramètres!$A$1:$I$89,5,0)</f>
        <v>-3.4140157367801295E-13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294.9631697747962</v>
      </c>
      <c r="T181" s="59">
        <f t="shared" si="142"/>
        <v>202.04924881627716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23.818001467845409</v>
      </c>
      <c r="AA181" s="21">
        <f>EXP(-LN(2)/25)*AA180+(1-EXP(-LN(2)/25))/(LN(2)/25)*Calculateur!V181*Calculateur!X181*VLOOKUP('Données projet'!$B$9,Paramètres!$A$1:$I$89,3,0)*0.475*44/12</f>
        <v>4.2254558442362997</v>
      </c>
      <c r="AB181" s="21">
        <f>EXP(-LN(2)/2)*AB180+(1-EXP(-LN(2)/2))/(LN(2)/2)*V181*Y181*VLOOKUP('Données projet'!$B$9,Paramètres!$A$1:$I$89,3,0)*0.475*44/12</f>
        <v>1.5969406045840334E-10</v>
      </c>
      <c r="AC181" s="22">
        <f t="shared" si="163"/>
        <v>28.043457312241404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349.71285006949597</v>
      </c>
      <c r="AO181" s="59">
        <f t="shared" si="144"/>
        <v>258.51550516456842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22.007261381427483</v>
      </c>
      <c r="AV181" s="21">
        <f>EXP(-LN(2)/25)*AV180+(1-EXP(-LN(2)/25))/(LN(2)/25)*Calculateur!AQ181*Calculateur!AS181*VLOOKUP('Données projet'!$B$10,Paramètres!$A$1:$I$89,3,0)*0.475*44/12</f>
        <v>3.4184209702621353</v>
      </c>
      <c r="AW181" s="21">
        <f>EXP(-LN(2)/2)*AW180+(1-EXP(-LN(2)/2))/(LN(2)/2)*AQ181*AT181*VLOOKUP('Données projet'!$B$10,Paramètres!$A$1:$I$89,3,0)*0.475*44/12</f>
        <v>1.2561799209935157E-13</v>
      </c>
      <c r="AX181" s="21">
        <f t="shared" si="166"/>
        <v>25.425682351689744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5.4001247917767614E-13</v>
      </c>
      <c r="BE181" s="13">
        <f>BD181*VLOOKUP('Données projet'!$B$11,Paramètres!$A$1:$I$89,3,0)*VLOOKUP('Données projet'!$B$11,Paramètres!$A$1:$I$89,5,0)</f>
        <v>4.8860329115996133E-13</v>
      </c>
      <c r="BF181" s="13">
        <f t="shared" si="167"/>
        <v>6.1025862939685007E-12</v>
      </c>
      <c r="BG181" s="20">
        <f t="shared" si="168"/>
        <v>1.1479655194098737E-11</v>
      </c>
      <c r="BH181" s="59">
        <f t="shared" si="116"/>
        <v>293.3333333333448</v>
      </c>
      <c r="BI181" s="59">
        <f ca="1">AVERAGE(OFFSET($BH$3,0,0,'Données projet'!$E$11+1,1))-AVERAGE(OFFSET($H$3,0,0,'Données projet'!$E$11+1,1))</f>
        <v>490.06222615476065</v>
      </c>
      <c r="BJ181" s="59">
        <f t="shared" si="146"/>
        <v>310.43914804089906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80.265475787467011</v>
      </c>
      <c r="BQ181" s="21">
        <f>EXP(-LN(2)/25)*BQ180+(1-EXP(-LN(2)/25))/(LN(2)/25)*Calculateur!BL181*Calculateur!BN181*VLOOKUP('Données projet'!$B$11,Paramètres!$A$1:$I$89,3,0)*0.475*44/12</f>
        <v>12.430788106059016</v>
      </c>
      <c r="BR181" s="21">
        <f>EXP(-LN(2)/2)*BR180+(1-EXP(-LN(2)/2))/(LN(2)/2)*BL181*BO181*VLOOKUP('Données projet'!$B$11,Paramètres!$A$1:$I$89,3,0)*0.475*44/12</f>
        <v>1.8891893997957928E-2</v>
      </c>
      <c r="BS181" s="22">
        <f t="shared" si="169"/>
        <v>92.715155787523983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426.69317599999971</v>
      </c>
      <c r="CA181" s="13">
        <f t="shared" si="170"/>
        <v>97.167783258626656</v>
      </c>
      <c r="CB181" s="20">
        <f t="shared" si="171"/>
        <v>912.39117070877421</v>
      </c>
      <c r="CC181" s="59">
        <f t="shared" si="119"/>
        <v>1205.7245040421076</v>
      </c>
      <c r="CD181" s="59">
        <f ca="1">AVERAGE(OFFSET($CC$3,0,0,'Données projet'!$E$12+1,1))-AVERAGE(OFFSET($H$3,0,0,'Données projet'!$E$12+1,1))</f>
        <v>510.71380643466227</v>
      </c>
      <c r="CE181" s="59">
        <f t="shared" si="148"/>
        <v>252.40654099948841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23.176776764541689</v>
      </c>
      <c r="CL181" s="21">
        <f>EXP(-LN(2)/25)*CL180+(1-EXP(-LN(2)/25))/(LN(2)/25)*Calculateur!CG181*Calculateur!CI181*VLOOKUP('Données projet'!$B$12,Paramètres!$A$1:$I$89,3,0)*0.475*44/12</f>
        <v>18.638882219462001</v>
      </c>
      <c r="CM181" s="21">
        <f>EXP(-LN(2)/2)*CM180+(1-EXP(-LN(2)/2))/(LN(2)/2)*CG181*CJ181*VLOOKUP('Données projet'!$B$12,Paramètres!$A$1:$I$89,3,0)*0.475*44/12</f>
        <v>0.51625946131729961</v>
      </c>
      <c r="CN181" s="22">
        <f t="shared" si="172"/>
        <v>42.331918445320987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2.5579538487363607E-13</v>
      </c>
      <c r="CU181" s="17">
        <f>CT181*VLOOKUP('Données projet'!$B$13,Paramètres!$A$1:$I$89,3,0)*VLOOKUP('Données projet'!$B$13,Paramètres!$A$1:$I$89,5,0)</f>
        <v>2.7533815227798186E-13</v>
      </c>
      <c r="CV181" s="13">
        <f t="shared" si="173"/>
        <v>3.6763598146902537E-12</v>
      </c>
      <c r="CW181" s="20">
        <f t="shared" si="174"/>
        <v>6.88254062580301E-12</v>
      </c>
      <c r="CX181" s="59">
        <f t="shared" si="122"/>
        <v>293.33333333334019</v>
      </c>
      <c r="CY181" s="59">
        <f ca="1">AVERAGE(OFFSET($CX$3,0,0,'Données projet'!$E$13+1,1))-AVERAGE(OFFSET($H$3,0,0,'Données projet'!$E$13+1,1))</f>
        <v>502.65044103360322</v>
      </c>
      <c r="CZ181" s="59">
        <f t="shared" si="150"/>
        <v>321.65762891855167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51.943360372695651</v>
      </c>
      <c r="DG181" s="21">
        <f>EXP(-LN(2)/25)*DG180+(1-EXP(-LN(2)/25))/(LN(2)/25)*Calculateur!DB181*Calculateur!DD181*VLOOKUP('Données projet'!$B$13,Paramètres!$A$1:$I$89,3,0)*0.475*44/12</f>
        <v>7.4006348963315354</v>
      </c>
      <c r="DH181" s="21">
        <f>EXP(-LN(2)/2)*DH180+(1-EXP(-LN(2)/2))/(LN(2)/2)*DB181*DE181*VLOOKUP('Données projet'!$B$13,Paramètres!$A$1:$I$89,3,0)*0.475*44/12</f>
        <v>4.8283635025676946E-7</v>
      </c>
      <c r="DI181" s="22">
        <f t="shared" si="175"/>
        <v>59.343995751863538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-25.899999999999977</v>
      </c>
      <c r="DP181" s="17">
        <f>DO181*VLOOKUP('Données projet'!$B$14,Paramètres!$A$1:$I$89,3,0)*VLOOKUP('Données projet'!$B$14,Paramètres!$A$1:$I$89,5,0)</f>
        <v>-13.171703999999989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63.94726564348116</v>
      </c>
      <c r="DU181" s="59">
        <f t="shared" si="152"/>
        <v>280.8165028422905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2.7216197291061275</v>
      </c>
      <c r="EB181" s="21">
        <f>EXP(-LN(2)/25)*EB180+(1-EXP(-LN(2)/25))/(LN(2)/25)*Calculateur!DW181*Calculateur!DY181*VLOOKUP('Données projet'!$B$14,Paramètres!$A$1:$I$89,3,0)*0.475*44/12</f>
        <v>0.107319962316795</v>
      </c>
      <c r="EC181" s="21">
        <f>EXP(-LN(2)/2)*EC180+(1-EXP(-LN(2)/2))/(LN(2)/2)*DW181*DZ181*VLOOKUP('Données projet'!$B$14,Paramètres!$A$1:$I$89,3,0)*0.475*44/12</f>
        <v>5.1440104241193186E-24</v>
      </c>
      <c r="ED181" s="22">
        <f t="shared" si="178"/>
        <v>2.8289396914229226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-5.9685589803848416E-13</v>
      </c>
      <c r="O182" s="13">
        <f>N182*VLOOKUP('Données projet'!$B$9,Paramètres!$A$1:$I$89,3,0)*VLOOKUP('Données projet'!$B$9,Paramètres!$A$1:$I$89,5,0)</f>
        <v>-3.4140157367801295E-13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294.9631697747962</v>
      </c>
      <c r="T182" s="59">
        <f t="shared" si="142"/>
        <v>202.04924881627716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23.350944986607381</v>
      </c>
      <c r="AA182" s="21">
        <f>EXP(-LN(2)/25)*AA181+(1-EXP(-LN(2)/25))/(LN(2)/25)*Calculateur!V182*Calculateur!X182*VLOOKUP('Données projet'!$B$9,Paramètres!$A$1:$I$89,3,0)*0.475*44/12</f>
        <v>4.1099105319685929</v>
      </c>
      <c r="AB182" s="21">
        <f>EXP(-LN(2)/2)*AB181+(1-EXP(-LN(2)/2))/(LN(2)/2)*V182*Y182*VLOOKUP('Données projet'!$B$9,Paramètres!$A$1:$I$89,3,0)*0.475*44/12</f>
        <v>1.1292075306535151E-10</v>
      </c>
      <c r="AC182" s="22">
        <f t="shared" si="163"/>
        <v>27.460855518688895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349.71285006949597</v>
      </c>
      <c r="AO182" s="59">
        <f t="shared" si="144"/>
        <v>258.51550516456842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21.57571240884171</v>
      </c>
      <c r="AV182" s="21">
        <f>EXP(-LN(2)/25)*AV181+(1-EXP(-LN(2)/25))/(LN(2)/25)*Calculateur!AQ182*Calculateur!AS182*VLOOKUP('Données projet'!$B$10,Paramètres!$A$1:$I$89,3,0)*0.475*44/12</f>
        <v>3.3249440690633714</v>
      </c>
      <c r="AW182" s="21">
        <f>EXP(-LN(2)/2)*AW181+(1-EXP(-LN(2)/2))/(LN(2)/2)*AQ182*AT182*VLOOKUP('Données projet'!$B$10,Paramètres!$A$1:$I$89,3,0)*0.475*44/12</f>
        <v>8.8825334052489649E-14</v>
      </c>
      <c r="AX182" s="21">
        <f t="shared" si="166"/>
        <v>24.900656477905169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5.4001247917767614E-13</v>
      </c>
      <c r="BE182" s="13">
        <f>BD182*VLOOKUP('Données projet'!$B$11,Paramètres!$A$1:$I$89,3,0)*VLOOKUP('Données projet'!$B$11,Paramètres!$A$1:$I$89,5,0)</f>
        <v>4.8860329115996133E-13</v>
      </c>
      <c r="BF182" s="13">
        <f t="shared" si="167"/>
        <v>6.1025862939685007E-12</v>
      </c>
      <c r="BG182" s="20">
        <f t="shared" si="168"/>
        <v>1.1479655194098737E-11</v>
      </c>
      <c r="BH182" s="59">
        <f t="shared" si="116"/>
        <v>293.3333333333448</v>
      </c>
      <c r="BI182" s="59">
        <f ca="1">AVERAGE(OFFSET($BH$3,0,0,'Données projet'!$E$11+1,1))-AVERAGE(OFFSET($H$3,0,0,'Données projet'!$E$11+1,1))</f>
        <v>490.06222615476065</v>
      </c>
      <c r="BJ182" s="59">
        <f t="shared" si="146"/>
        <v>310.43914804089906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78.691518764380902</v>
      </c>
      <c r="BQ182" s="21">
        <f>EXP(-LN(2)/25)*BQ181+(1-EXP(-LN(2)/25))/(LN(2)/25)*Calculateur!BL182*Calculateur!BN182*VLOOKUP('Données projet'!$B$11,Paramètres!$A$1:$I$89,3,0)*0.475*44/12</f>
        <v>12.090867551592096</v>
      </c>
      <c r="BR182" s="21">
        <f>EXP(-LN(2)/2)*BR181+(1-EXP(-LN(2)/2))/(LN(2)/2)*BL182*BO182*VLOOKUP('Données projet'!$B$11,Paramètres!$A$1:$I$89,3,0)*0.475*44/12</f>
        <v>1.3358586355413487E-2</v>
      </c>
      <c r="BS182" s="22">
        <f t="shared" si="169"/>
        <v>90.795744902328408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434.12933199999975</v>
      </c>
      <c r="CA182" s="13">
        <f t="shared" si="170"/>
        <v>98.662548233225337</v>
      </c>
      <c r="CB182" s="20">
        <f t="shared" si="171"/>
        <v>927.94585807286694</v>
      </c>
      <c r="CC182" s="59">
        <f t="shared" si="119"/>
        <v>1221.2791914062002</v>
      </c>
      <c r="CD182" s="59">
        <f ca="1">AVERAGE(OFFSET($CC$3,0,0,'Données projet'!$E$12+1,1))-AVERAGE(OFFSET($H$3,0,0,'Données projet'!$E$12+1,1))</f>
        <v>510.71380643466227</v>
      </c>
      <c r="CE182" s="59">
        <f t="shared" si="148"/>
        <v>252.40654099948841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22.722294308626996</v>
      </c>
      <c r="CL182" s="21">
        <f>EXP(-LN(2)/25)*CL181+(1-EXP(-LN(2)/25))/(LN(2)/25)*Calculateur!CG182*Calculateur!CI182*VLOOKUP('Données projet'!$B$12,Paramètres!$A$1:$I$89,3,0)*0.475*44/12</f>
        <v>18.129201004994595</v>
      </c>
      <c r="CM182" s="21">
        <f>EXP(-LN(2)/2)*CM181+(1-EXP(-LN(2)/2))/(LN(2)/2)*CG182*CJ182*VLOOKUP('Données projet'!$B$12,Paramètres!$A$1:$I$89,3,0)*0.475*44/12</f>
        <v>0.36505056594917668</v>
      </c>
      <c r="CN182" s="22">
        <f t="shared" si="172"/>
        <v>41.216545879570766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2.5579538487363607E-13</v>
      </c>
      <c r="CU182" s="17">
        <f>CT182*VLOOKUP('Données projet'!$B$13,Paramètres!$A$1:$I$89,3,0)*VLOOKUP('Données projet'!$B$13,Paramètres!$A$1:$I$89,5,0)</f>
        <v>2.7533815227798186E-13</v>
      </c>
      <c r="CV182" s="13">
        <f t="shared" si="173"/>
        <v>3.6763598146902537E-12</v>
      </c>
      <c r="CW182" s="20">
        <f t="shared" si="174"/>
        <v>6.88254062580301E-12</v>
      </c>
      <c r="CX182" s="59">
        <f t="shared" si="122"/>
        <v>293.33333333334019</v>
      </c>
      <c r="CY182" s="59">
        <f ca="1">AVERAGE(OFFSET($CX$3,0,0,'Données projet'!$E$13+1,1))-AVERAGE(OFFSET($H$3,0,0,'Données projet'!$E$13+1,1))</f>
        <v>502.65044103360322</v>
      </c>
      <c r="CZ182" s="59">
        <f t="shared" si="150"/>
        <v>321.65762891855167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50.924782758108549</v>
      </c>
      <c r="DG182" s="21">
        <f>EXP(-LN(2)/25)*DG181+(1-EXP(-LN(2)/25))/(LN(2)/25)*Calculateur!DB182*Calculateur!DD182*VLOOKUP('Données projet'!$B$13,Paramètres!$A$1:$I$89,3,0)*0.475*44/12</f>
        <v>7.1982641459088743</v>
      </c>
      <c r="DH182" s="21">
        <f>EXP(-LN(2)/2)*DH181+(1-EXP(-LN(2)/2))/(LN(2)/2)*DB182*DE182*VLOOKUP('Données projet'!$B$13,Paramètres!$A$1:$I$89,3,0)*0.475*44/12</f>
        <v>3.414168574699247E-7</v>
      </c>
      <c r="DI182" s="22">
        <f t="shared" si="175"/>
        <v>58.123047245434279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-25.899999999999977</v>
      </c>
      <c r="DP182" s="17">
        <f>DO182*VLOOKUP('Données projet'!$B$14,Paramètres!$A$1:$I$89,3,0)*VLOOKUP('Données projet'!$B$14,Paramètres!$A$1:$I$89,5,0)</f>
        <v>-13.171703999999989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63.94726564348116</v>
      </c>
      <c r="DU182" s="59">
        <f t="shared" si="152"/>
        <v>280.8165028422905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2.6682504262424773</v>
      </c>
      <c r="EB182" s="21">
        <f>EXP(-LN(2)/25)*EB181+(1-EXP(-LN(2)/25))/(LN(2)/25)*Calculateur!DW182*Calculateur!DY182*VLOOKUP('Données projet'!$B$14,Paramètres!$A$1:$I$89,3,0)*0.475*44/12</f>
        <v>0.10438529230353071</v>
      </c>
      <c r="EC182" s="21">
        <f>EXP(-LN(2)/2)*EC181+(1-EXP(-LN(2)/2))/(LN(2)/2)*DW182*DZ182*VLOOKUP('Données projet'!$B$14,Paramètres!$A$1:$I$89,3,0)*0.475*44/12</f>
        <v>3.6373646533890585E-24</v>
      </c>
      <c r="ED182" s="22">
        <f t="shared" si="178"/>
        <v>2.7726357185460082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-5.9685589803848416E-13</v>
      </c>
      <c r="O183" s="13">
        <f>N183*VLOOKUP('Données projet'!$B$9,Paramètres!$A$1:$I$89,3,0)*VLOOKUP('Données projet'!$B$9,Paramètres!$A$1:$I$89,5,0)</f>
        <v>-3.4140157367801295E-13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294.9631697747962</v>
      </c>
      <c r="T183" s="59">
        <f t="shared" si="142"/>
        <v>202.04924881627716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22.893047198090105</v>
      </c>
      <c r="AA183" s="21">
        <f>EXP(-LN(2)/25)*AA182+(1-EXP(-LN(2)/25))/(LN(2)/25)*Calculateur!V183*Calculateur!X183*VLOOKUP('Données projet'!$B$9,Paramètres!$A$1:$I$89,3,0)*0.475*44/12</f>
        <v>3.9975248123411102</v>
      </c>
      <c r="AB183" s="21">
        <f>EXP(-LN(2)/2)*AB182+(1-EXP(-LN(2)/2))/(LN(2)/2)*V183*Y183*VLOOKUP('Données projet'!$B$9,Paramètres!$A$1:$I$89,3,0)*0.475*44/12</f>
        <v>7.9847030229201672E-11</v>
      </c>
      <c r="AC183" s="22">
        <f t="shared" si="163"/>
        <v>26.890572010511061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349.71285006949597</v>
      </c>
      <c r="AO183" s="59">
        <f t="shared" si="144"/>
        <v>258.51550516456842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21.152625848389462</v>
      </c>
      <c r="AV183" s="21">
        <f>EXP(-LN(2)/25)*AV182+(1-EXP(-LN(2)/25))/(LN(2)/25)*Calculateur!AQ183*Calculateur!AS183*VLOOKUP('Données projet'!$B$10,Paramètres!$A$1:$I$89,3,0)*0.475*44/12</f>
        <v>3.2340232986436241</v>
      </c>
      <c r="AW183" s="21">
        <f>EXP(-LN(2)/2)*AW182+(1-EXP(-LN(2)/2))/(LN(2)/2)*AQ183*AT183*VLOOKUP('Données projet'!$B$10,Paramètres!$A$1:$I$89,3,0)*0.475*44/12</f>
        <v>6.2808996049675786E-14</v>
      </c>
      <c r="AX183" s="21">
        <f t="shared" si="166"/>
        <v>24.38664914703315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5.4001247917767614E-13</v>
      </c>
      <c r="BE183" s="13">
        <f>BD183*VLOOKUP('Données projet'!$B$11,Paramètres!$A$1:$I$89,3,0)*VLOOKUP('Données projet'!$B$11,Paramètres!$A$1:$I$89,5,0)</f>
        <v>4.8860329115996133E-13</v>
      </c>
      <c r="BF183" s="13">
        <f t="shared" si="167"/>
        <v>6.1025862939685007E-12</v>
      </c>
      <c r="BG183" s="20">
        <f t="shared" si="168"/>
        <v>1.1479655194098737E-11</v>
      </c>
      <c r="BH183" s="59">
        <f t="shared" si="116"/>
        <v>293.3333333333448</v>
      </c>
      <c r="BI183" s="59">
        <f ca="1">AVERAGE(OFFSET($BH$3,0,0,'Données projet'!$E$11+1,1))-AVERAGE(OFFSET($H$3,0,0,'Données projet'!$E$11+1,1))</f>
        <v>490.06222615476065</v>
      </c>
      <c r="BJ183" s="59">
        <f t="shared" si="146"/>
        <v>310.43914804089906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77.148426078498517</v>
      </c>
      <c r="BQ183" s="21">
        <f>EXP(-LN(2)/25)*BQ182+(1-EXP(-LN(2)/25))/(LN(2)/25)*Calculateur!BL183*Calculateur!BN183*VLOOKUP('Données projet'!$B$11,Paramètres!$A$1:$I$89,3,0)*0.475*44/12</f>
        <v>11.760242142562719</v>
      </c>
      <c r="BR183" s="21">
        <f>EXP(-LN(2)/2)*BR182+(1-EXP(-LN(2)/2))/(LN(2)/2)*BL183*BO183*VLOOKUP('Données projet'!$B$11,Paramètres!$A$1:$I$89,3,0)*0.475*44/12</f>
        <v>9.445946998978964E-3</v>
      </c>
      <c r="BS183" s="22">
        <f t="shared" si="169"/>
        <v>88.918114168060214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441.56548799999968</v>
      </c>
      <c r="CA183" s="13">
        <f t="shared" si="170"/>
        <v>100.15433575539794</v>
      </c>
      <c r="CB183" s="20">
        <f t="shared" si="171"/>
        <v>943.49535970731733</v>
      </c>
      <c r="CC183" s="59">
        <f t="shared" si="119"/>
        <v>1236.8286930406507</v>
      </c>
      <c r="CD183" s="59">
        <f ca="1">AVERAGE(OFFSET($CC$3,0,0,'Données projet'!$E$12+1,1))-AVERAGE(OFFSET($H$3,0,0,'Données projet'!$E$12+1,1))</f>
        <v>510.71380643466227</v>
      </c>
      <c r="CE183" s="59">
        <f t="shared" si="148"/>
        <v>252.40654099948841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0.1075</v>
      </c>
      <c r="CI183" s="16">
        <f>IF(ISNA(VLOOKUP(A183,'Données projet'!$A$113:$I$133,6,0)),0%,VLOOKUP(A183,'Données projet'!$A$113:$I$133,6,0)*VLOOKUP('Données projet'!$B$12,Paramètres!$A$1:$I$89,7,0))</f>
        <v>0.1075</v>
      </c>
      <c r="CJ183" s="16">
        <f>IF(ISNA(VLOOKUP(A183,'Données projet'!$A$113:$I$133,7,0)),0%,VLOOKUP(A183,'Données projet'!$A$113:$I$133,7,0))</f>
        <v>0.25</v>
      </c>
      <c r="CK183" s="21">
        <f>EXP(-LN(2)/35)*CK182+(1-EXP(-LN(2)/35))/(LN(2)/35)*CG183*CH183*VLOOKUP('Données projet'!$B$12,Paramètres!$A$1:$I$89,3,0)*0.475*44/12</f>
        <v>42.459069698311211</v>
      </c>
      <c r="CL183" s="21">
        <f>EXP(-LN(2)/25)*CL182+(1-EXP(-LN(2)/25))/(LN(2)/25)*Calculateur!CG183*Calculateur!CI183*VLOOKUP('Données projet'!$B$12,Paramètres!$A$1:$I$89,3,0)*0.475*44/12</f>
        <v>37.736337186801592</v>
      </c>
      <c r="CM183" s="21">
        <f>EXP(-LN(2)/2)*CM182+(1-EXP(-LN(2)/2))/(LN(2)/2)*CG183*CJ183*VLOOKUP('Données projet'!$B$12,Paramètres!$A$1:$I$89,3,0)*0.475*44/12</f>
        <v>40.318076558877088</v>
      </c>
      <c r="CN183" s="22">
        <f t="shared" si="172"/>
        <v>120.51348344398988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2.5579538487363607E-13</v>
      </c>
      <c r="CU183" s="17">
        <f>CT183*VLOOKUP('Données projet'!$B$13,Paramètres!$A$1:$I$89,3,0)*VLOOKUP('Données projet'!$B$13,Paramètres!$A$1:$I$89,5,0)</f>
        <v>2.7533815227798186E-13</v>
      </c>
      <c r="CV183" s="13">
        <f t="shared" si="173"/>
        <v>3.6763598146902537E-12</v>
      </c>
      <c r="CW183" s="20">
        <f t="shared" si="174"/>
        <v>6.88254062580301E-12</v>
      </c>
      <c r="CX183" s="59">
        <f t="shared" si="122"/>
        <v>293.33333333334019</v>
      </c>
      <c r="CY183" s="59">
        <f ca="1">AVERAGE(OFFSET($CX$3,0,0,'Données projet'!$E$13+1,1))-AVERAGE(OFFSET($H$3,0,0,'Données projet'!$E$13+1,1))</f>
        <v>502.65044103360322</v>
      </c>
      <c r="CZ183" s="59">
        <f t="shared" si="150"/>
        <v>321.65762891855167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49.926178829272502</v>
      </c>
      <c r="DG183" s="21">
        <f>EXP(-LN(2)/25)*DG182+(1-EXP(-LN(2)/25))/(LN(2)/25)*Calculateur!DB183*Calculateur!DD183*VLOOKUP('Données projet'!$B$13,Paramètres!$A$1:$I$89,3,0)*0.475*44/12</f>
        <v>7.0014272342987365</v>
      </c>
      <c r="DH183" s="21">
        <f>EXP(-LN(2)/2)*DH182+(1-EXP(-LN(2)/2))/(LN(2)/2)*DB183*DE183*VLOOKUP('Données projet'!$B$13,Paramètres!$A$1:$I$89,3,0)*0.475*44/12</f>
        <v>2.4141817512838473E-7</v>
      </c>
      <c r="DI183" s="22">
        <f t="shared" si="175"/>
        <v>56.927606304989418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-25.899999999999977</v>
      </c>
      <c r="DP183" s="17">
        <f>DO183*VLOOKUP('Données projet'!$B$14,Paramètres!$A$1:$I$89,3,0)*VLOOKUP('Données projet'!$B$14,Paramètres!$A$1:$I$89,5,0)</f>
        <v>-13.171703999999989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63.94726564348116</v>
      </c>
      <c r="DU183" s="59">
        <f t="shared" si="152"/>
        <v>280.8165028422905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2.6159276628559227</v>
      </c>
      <c r="EB183" s="21">
        <f>EXP(-LN(2)/25)*EB182+(1-EXP(-LN(2)/25))/(LN(2)/25)*Calculateur!DW183*Calculateur!DY183*VLOOKUP('Données projet'!$B$14,Paramètres!$A$1:$I$89,3,0)*0.475*44/12</f>
        <v>0.10153087099610671</v>
      </c>
      <c r="EC183" s="21">
        <f>EXP(-LN(2)/2)*EC182+(1-EXP(-LN(2)/2))/(LN(2)/2)*DW183*DZ183*VLOOKUP('Données projet'!$B$14,Paramètres!$A$1:$I$89,3,0)*0.475*44/12</f>
        <v>2.5720052120596593E-24</v>
      </c>
      <c r="ED183" s="22">
        <f t="shared" si="178"/>
        <v>2.7174585338520294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-5.9685589803848416E-13</v>
      </c>
      <c r="O184" s="13">
        <f>N184*VLOOKUP('Données projet'!$B$9,Paramètres!$A$1:$I$89,3,0)*VLOOKUP('Données projet'!$B$9,Paramètres!$A$1:$I$89,5,0)</f>
        <v>-3.4140157367801295E-13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294.9631697747962</v>
      </c>
      <c r="T184" s="59">
        <f t="shared" si="142"/>
        <v>202.04924881627716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22.444128505915579</v>
      </c>
      <c r="AA184" s="21">
        <f>EXP(-LN(2)/25)*AA183+(1-EXP(-LN(2)/25))/(LN(2)/25)*Calculateur!V184*Calculateur!X184*VLOOKUP('Données projet'!$B$9,Paramètres!$A$1:$I$89,3,0)*0.475*44/12</f>
        <v>3.888212286126949</v>
      </c>
      <c r="AB184" s="21">
        <f>EXP(-LN(2)/2)*AB183+(1-EXP(-LN(2)/2))/(LN(2)/2)*V184*Y184*VLOOKUP('Données projet'!$B$9,Paramètres!$A$1:$I$89,3,0)*0.475*44/12</f>
        <v>5.6460376532675753E-11</v>
      </c>
      <c r="AC184" s="22">
        <f t="shared" si="163"/>
        <v>26.332340792098989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349.71285006949597</v>
      </c>
      <c r="AO184" s="59">
        <f t="shared" si="144"/>
        <v>258.51550516456842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20.737835757330362</v>
      </c>
      <c r="AV184" s="21">
        <f>EXP(-LN(2)/25)*AV183+(1-EXP(-LN(2)/25))/(LN(2)/25)*Calculateur!AQ184*Calculateur!AS184*VLOOKUP('Données projet'!$B$10,Paramètres!$A$1:$I$89,3,0)*0.475*44/12</f>
        <v>3.1455887614723204</v>
      </c>
      <c r="AW184" s="21">
        <f>EXP(-LN(2)/2)*AW183+(1-EXP(-LN(2)/2))/(LN(2)/2)*AQ184*AT184*VLOOKUP('Données projet'!$B$10,Paramètres!$A$1:$I$89,3,0)*0.475*44/12</f>
        <v>4.4412667026244825E-14</v>
      </c>
      <c r="AX184" s="21">
        <f t="shared" si="166"/>
        <v>23.88342451880273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5.4001247917767614E-13</v>
      </c>
      <c r="BE184" s="13">
        <f>BD184*VLOOKUP('Données projet'!$B$11,Paramètres!$A$1:$I$89,3,0)*VLOOKUP('Données projet'!$B$11,Paramètres!$A$1:$I$89,5,0)</f>
        <v>4.8860329115996133E-13</v>
      </c>
      <c r="BF184" s="13">
        <f t="shared" si="167"/>
        <v>6.1025862939685007E-12</v>
      </c>
      <c r="BG184" s="20">
        <f t="shared" si="168"/>
        <v>1.1479655194098737E-11</v>
      </c>
      <c r="BH184" s="59">
        <f t="shared" si="116"/>
        <v>293.3333333333448</v>
      </c>
      <c r="BI184" s="59">
        <f ca="1">AVERAGE(OFFSET($BH$3,0,0,'Données projet'!$E$11+1,1))-AVERAGE(OFFSET($H$3,0,0,'Données projet'!$E$11+1,1))</f>
        <v>490.06222615476065</v>
      </c>
      <c r="BJ184" s="59">
        <f t="shared" si="146"/>
        <v>310.43914804089906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75.635592498992679</v>
      </c>
      <c r="BQ184" s="21">
        <f>EXP(-LN(2)/25)*BQ183+(1-EXP(-LN(2)/25))/(LN(2)/25)*Calculateur!BL184*Calculateur!BN184*VLOOKUP('Données projet'!$B$11,Paramètres!$A$1:$I$89,3,0)*0.475*44/12</f>
        <v>11.438657702730085</v>
      </c>
      <c r="BR184" s="21">
        <f>EXP(-LN(2)/2)*BR183+(1-EXP(-LN(2)/2))/(LN(2)/2)*BL184*BO184*VLOOKUP('Données projet'!$B$11,Paramètres!$A$1:$I$89,3,0)*0.475*44/12</f>
        <v>6.6792931777067436E-3</v>
      </c>
      <c r="BS184" s="22">
        <f t="shared" si="169"/>
        <v>87.080929494900474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276.37498199999965</v>
      </c>
      <c r="CA184" s="13">
        <f t="shared" si="170"/>
        <v>66.200358347294468</v>
      </c>
      <c r="CB184" s="20">
        <f t="shared" si="171"/>
        <v>596.65205110487057</v>
      </c>
      <c r="CC184" s="59">
        <f t="shared" si="119"/>
        <v>889.98538443820394</v>
      </c>
      <c r="CD184" s="59">
        <f ca="1">AVERAGE(OFFSET($CC$3,0,0,'Données projet'!$E$12+1,1))-AVERAGE(OFFSET($H$3,0,0,'Données projet'!$E$12+1,1))</f>
        <v>510.71380643466227</v>
      </c>
      <c r="CE184" s="59">
        <f t="shared" si="148"/>
        <v>252.40654099948841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41.626473239002678</v>
      </c>
      <c r="CL184" s="21">
        <f>EXP(-LN(2)/25)*CL183+(1-EXP(-LN(2)/25))/(LN(2)/25)*Calculateur!CG184*Calculateur!CI184*VLOOKUP('Données projet'!$B$12,Paramètres!$A$1:$I$89,3,0)*0.475*44/12</f>
        <v>36.70443506196078</v>
      </c>
      <c r="CM184" s="21">
        <f>EXP(-LN(2)/2)*CM183+(1-EXP(-LN(2)/2))/(LN(2)/2)*CG184*CJ184*VLOOKUP('Données projet'!$B$12,Paramètres!$A$1:$I$89,3,0)*0.475*44/12</f>
        <v>28.509185339180373</v>
      </c>
      <c r="CN184" s="22">
        <f t="shared" si="172"/>
        <v>106.84009364014383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2.5579538487363607E-13</v>
      </c>
      <c r="CU184" s="17">
        <f>CT184*VLOOKUP('Données projet'!$B$13,Paramètres!$A$1:$I$89,3,0)*VLOOKUP('Données projet'!$B$13,Paramètres!$A$1:$I$89,5,0)</f>
        <v>2.7533815227798186E-13</v>
      </c>
      <c r="CV184" s="13">
        <f t="shared" si="173"/>
        <v>3.6763598146902537E-12</v>
      </c>
      <c r="CW184" s="20">
        <f t="shared" si="174"/>
        <v>6.88254062580301E-12</v>
      </c>
      <c r="CX184" s="59">
        <f t="shared" si="122"/>
        <v>293.33333333334019</v>
      </c>
      <c r="CY184" s="59">
        <f ca="1">AVERAGE(OFFSET($CX$3,0,0,'Données projet'!$E$13+1,1))-AVERAGE(OFFSET($H$3,0,0,'Données projet'!$E$13+1,1))</f>
        <v>502.65044103360322</v>
      </c>
      <c r="CZ184" s="59">
        <f t="shared" si="150"/>
        <v>321.65762891855167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48.947156914392671</v>
      </c>
      <c r="DG184" s="21">
        <f>EXP(-LN(2)/25)*DG183+(1-EXP(-LN(2)/25))/(LN(2)/25)*Calculateur!DB184*Calculateur!DD184*VLOOKUP('Données projet'!$B$13,Paramètres!$A$1:$I$89,3,0)*0.475*44/12</f>
        <v>6.8099728383877816</v>
      </c>
      <c r="DH184" s="21">
        <f>EXP(-LN(2)/2)*DH183+(1-EXP(-LN(2)/2))/(LN(2)/2)*DB184*DE184*VLOOKUP('Données projet'!$B$13,Paramètres!$A$1:$I$89,3,0)*0.475*44/12</f>
        <v>1.7070842873496235E-7</v>
      </c>
      <c r="DI184" s="22">
        <f t="shared" si="175"/>
        <v>55.757129923488883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-25.899999999999977</v>
      </c>
      <c r="DP184" s="17">
        <f>DO184*VLOOKUP('Données projet'!$B$14,Paramètres!$A$1:$I$89,3,0)*VLOOKUP('Données projet'!$B$14,Paramètres!$A$1:$I$89,5,0)</f>
        <v>-13.171703999999989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63.94726564348116</v>
      </c>
      <c r="DU184" s="59">
        <f t="shared" si="152"/>
        <v>280.8165028422905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2.564630916945644</v>
      </c>
      <c r="EB184" s="21">
        <f>EXP(-LN(2)/25)*EB183+(1-EXP(-LN(2)/25))/(LN(2)/25)*Calculateur!DW184*Calculateur!DY184*VLOOKUP('Données projet'!$B$14,Paramètres!$A$1:$I$89,3,0)*0.475*44/12</f>
        <v>9.8754503989441716E-2</v>
      </c>
      <c r="EC184" s="21">
        <f>EXP(-LN(2)/2)*EC183+(1-EXP(-LN(2)/2))/(LN(2)/2)*DW184*DZ184*VLOOKUP('Données projet'!$B$14,Paramètres!$A$1:$I$89,3,0)*0.475*44/12</f>
        <v>1.8186823266945292E-24</v>
      </c>
      <c r="ED184" s="22">
        <f t="shared" si="178"/>
        <v>2.6633854209350858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-5.9685589803848416E-13</v>
      </c>
      <c r="O185" s="13">
        <f>N185*VLOOKUP('Données projet'!$B$9,Paramètres!$A$1:$I$89,3,0)*VLOOKUP('Données projet'!$B$9,Paramètres!$A$1:$I$89,5,0)</f>
        <v>-3.4140157367801295E-13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294.9631697747962</v>
      </c>
      <c r="T185" s="59">
        <f t="shared" si="142"/>
        <v>202.04924881627716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22.00401283548123</v>
      </c>
      <c r="AA185" s="21">
        <f>EXP(-LN(2)/25)*AA184+(1-EXP(-LN(2)/25))/(LN(2)/25)*Calculateur!V185*Calculateur!X185*VLOOKUP('Données projet'!$B$9,Paramètres!$A$1:$I$89,3,0)*0.475*44/12</f>
        <v>3.78188891669061</v>
      </c>
      <c r="AB185" s="21">
        <f>EXP(-LN(2)/2)*AB184+(1-EXP(-LN(2)/2))/(LN(2)/2)*V185*Y185*VLOOKUP('Données projet'!$B$9,Paramètres!$A$1:$I$89,3,0)*0.475*44/12</f>
        <v>3.9923515114600836E-11</v>
      </c>
      <c r="AC185" s="22">
        <f t="shared" si="163"/>
        <v>25.78590175221176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349.71285006949597</v>
      </c>
      <c r="AO185" s="59">
        <f t="shared" si="144"/>
        <v>258.51550516456842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20.331179446959958</v>
      </c>
      <c r="AV185" s="21">
        <f>EXP(-LN(2)/25)*AV184+(1-EXP(-LN(2)/25))/(LN(2)/25)*Calculateur!AQ185*Calculateur!AS185*VLOOKUP('Données projet'!$B$10,Paramètres!$A$1:$I$89,3,0)*0.475*44/12</f>
        <v>3.0595724713705361</v>
      </c>
      <c r="AW185" s="21">
        <f>EXP(-LN(2)/2)*AW184+(1-EXP(-LN(2)/2))/(LN(2)/2)*AQ185*AT185*VLOOKUP('Données projet'!$B$10,Paramètres!$A$1:$I$89,3,0)*0.475*44/12</f>
        <v>3.1404498024837893E-14</v>
      </c>
      <c r="AX185" s="21">
        <f t="shared" si="166"/>
        <v>23.390751918330526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5.4001247917767614E-13</v>
      </c>
      <c r="BE185" s="13">
        <f>BD185*VLOOKUP('Données projet'!$B$11,Paramètres!$A$1:$I$89,3,0)*VLOOKUP('Données projet'!$B$11,Paramètres!$A$1:$I$89,5,0)</f>
        <v>4.8860329115996133E-13</v>
      </c>
      <c r="BF185" s="13">
        <f t="shared" si="167"/>
        <v>6.1025862939685007E-12</v>
      </c>
      <c r="BG185" s="20">
        <f t="shared" si="168"/>
        <v>1.1479655194098737E-11</v>
      </c>
      <c r="BH185" s="59">
        <f t="shared" si="116"/>
        <v>293.3333333333448</v>
      </c>
      <c r="BI185" s="59">
        <f ca="1">AVERAGE(OFFSET($BH$3,0,0,'Données projet'!$E$11+1,1))-AVERAGE(OFFSET($H$3,0,0,'Données projet'!$E$11+1,1))</f>
        <v>490.06222615476065</v>
      </c>
      <c r="BJ185" s="59">
        <f t="shared" si="146"/>
        <v>310.43914804089906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74.152424663243593</v>
      </c>
      <c r="BQ185" s="21">
        <f>EXP(-LN(2)/25)*BQ184+(1-EXP(-LN(2)/25))/(LN(2)/25)*Calculateur!BL185*Calculateur!BN185*VLOOKUP('Données projet'!$B$11,Paramètres!$A$1:$I$89,3,0)*0.475*44/12</f>
        <v>11.125867006316065</v>
      </c>
      <c r="BR185" s="21">
        <f>EXP(-LN(2)/2)*BR184+(1-EXP(-LN(2)/2))/(LN(2)/2)*BL185*BO185*VLOOKUP('Données projet'!$B$11,Paramètres!$A$1:$I$89,3,0)*0.475*44/12</f>
        <v>4.722973499489482E-3</v>
      </c>
      <c r="BS185" s="22">
        <f t="shared" si="169"/>
        <v>85.283014643059147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281.01512399999973</v>
      </c>
      <c r="CA185" s="13">
        <f t="shared" si="170"/>
        <v>67.181488559705002</v>
      </c>
      <c r="CB185" s="20">
        <f t="shared" si="171"/>
        <v>606.44243354148568</v>
      </c>
      <c r="CC185" s="59">
        <f t="shared" si="119"/>
        <v>899.77576687481906</v>
      </c>
      <c r="CD185" s="59">
        <f ca="1">AVERAGE(OFFSET($CC$3,0,0,'Données projet'!$E$12+1,1))-AVERAGE(OFFSET($H$3,0,0,'Données projet'!$E$12+1,1))</f>
        <v>510.71380643466227</v>
      </c>
      <c r="CE185" s="59">
        <f t="shared" si="148"/>
        <v>252.40654099948841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40.81020348842749</v>
      </c>
      <c r="CL185" s="21">
        <f>EXP(-LN(2)/25)*CL184+(1-EXP(-LN(2)/25))/(LN(2)/25)*Calculateur!CG185*Calculateur!CI185*VLOOKUP('Données projet'!$B$12,Paramètres!$A$1:$I$89,3,0)*0.475*44/12</f>
        <v>35.700750354989111</v>
      </c>
      <c r="CM185" s="21">
        <f>EXP(-LN(2)/2)*CM184+(1-EXP(-LN(2)/2))/(LN(2)/2)*CG185*CJ185*VLOOKUP('Données projet'!$B$12,Paramètres!$A$1:$I$89,3,0)*0.475*44/12</f>
        <v>20.159038279438548</v>
      </c>
      <c r="CN185" s="22">
        <f t="shared" si="172"/>
        <v>96.669992122855149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2.5579538487363607E-13</v>
      </c>
      <c r="CU185" s="17">
        <f>CT185*VLOOKUP('Données projet'!$B$13,Paramètres!$A$1:$I$89,3,0)*VLOOKUP('Données projet'!$B$13,Paramètres!$A$1:$I$89,5,0)</f>
        <v>2.7533815227798186E-13</v>
      </c>
      <c r="CV185" s="13">
        <f t="shared" si="173"/>
        <v>3.6763598146902537E-12</v>
      </c>
      <c r="CW185" s="20">
        <f t="shared" si="174"/>
        <v>6.88254062580301E-12</v>
      </c>
      <c r="CX185" s="59">
        <f t="shared" si="122"/>
        <v>293.33333333334019</v>
      </c>
      <c r="CY185" s="59">
        <f ca="1">AVERAGE(OFFSET($CX$3,0,0,'Données projet'!$E$13+1,1))-AVERAGE(OFFSET($H$3,0,0,'Données projet'!$E$13+1,1))</f>
        <v>502.65044103360322</v>
      </c>
      <c r="CZ185" s="59">
        <f t="shared" si="150"/>
        <v>321.65762891855167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47.98733302211923</v>
      </c>
      <c r="DG185" s="21">
        <f>EXP(-LN(2)/25)*DG184+(1-EXP(-LN(2)/25))/(LN(2)/25)*Calculateur!DB185*Calculateur!DD185*VLOOKUP('Données projet'!$B$13,Paramètres!$A$1:$I$89,3,0)*0.475*44/12</f>
        <v>6.6237537730011606</v>
      </c>
      <c r="DH185" s="21">
        <f>EXP(-LN(2)/2)*DH184+(1-EXP(-LN(2)/2))/(LN(2)/2)*DB185*DE185*VLOOKUP('Données projet'!$B$13,Paramètres!$A$1:$I$89,3,0)*0.475*44/12</f>
        <v>1.2070908756419236E-7</v>
      </c>
      <c r="DI185" s="22">
        <f t="shared" si="175"/>
        <v>54.611086915829482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-25.899999999999977</v>
      </c>
      <c r="DP185" s="17">
        <f>DO185*VLOOKUP('Données projet'!$B$14,Paramètres!$A$1:$I$89,3,0)*VLOOKUP('Données projet'!$B$14,Paramètres!$A$1:$I$89,5,0)</f>
        <v>-13.171703999999989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63.94726564348116</v>
      </c>
      <c r="DU185" s="59">
        <f t="shared" si="152"/>
        <v>280.8165028422905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2.5143400689347404</v>
      </c>
      <c r="EB185" s="21">
        <f>EXP(-LN(2)/25)*EB184+(1-EXP(-LN(2)/25))/(LN(2)/25)*Calculateur!DW185*Calculateur!DY185*VLOOKUP('Données projet'!$B$14,Paramètres!$A$1:$I$89,3,0)*0.475*44/12</f>
        <v>9.6054056884576772E-2</v>
      </c>
      <c r="EC185" s="21">
        <f>EXP(-LN(2)/2)*EC184+(1-EXP(-LN(2)/2))/(LN(2)/2)*DW185*DZ185*VLOOKUP('Données projet'!$B$14,Paramètres!$A$1:$I$89,3,0)*0.475*44/12</f>
        <v>1.2860026060298296E-24</v>
      </c>
      <c r="ED185" s="22">
        <f t="shared" si="178"/>
        <v>2.6103941258193171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-5.9685589803848416E-13</v>
      </c>
      <c r="O186" s="13">
        <f>N186*VLOOKUP('Données projet'!$B$9,Paramètres!$A$1:$I$89,3,0)*VLOOKUP('Données projet'!$B$9,Paramètres!$A$1:$I$89,5,0)</f>
        <v>-3.4140157367801295E-13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294.9631697747962</v>
      </c>
      <c r="T186" s="59">
        <f t="shared" si="142"/>
        <v>202.04924881627716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21.572527564900046</v>
      </c>
      <c r="AA186" s="21">
        <f>EXP(-LN(2)/25)*AA185+(1-EXP(-LN(2)/25))/(LN(2)/25)*Calculateur!V186*Calculateur!X186*VLOOKUP('Données projet'!$B$9,Paramètres!$A$1:$I$89,3,0)*0.475*44/12</f>
        <v>3.6784729653828108</v>
      </c>
      <c r="AB186" s="21">
        <f>EXP(-LN(2)/2)*AB185+(1-EXP(-LN(2)/2))/(LN(2)/2)*V186*Y186*VLOOKUP('Données projet'!$B$9,Paramètres!$A$1:$I$89,3,0)*0.475*44/12</f>
        <v>2.8230188266337876E-11</v>
      </c>
      <c r="AC186" s="22">
        <f t="shared" si="163"/>
        <v>25.251000530311085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349.71285006949597</v>
      </c>
      <c r="AO186" s="59">
        <f t="shared" si="144"/>
        <v>258.51550516456842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19.932497418800057</v>
      </c>
      <c r="AV186" s="21">
        <f>EXP(-LN(2)/25)*AV185+(1-EXP(-LN(2)/25))/(LN(2)/25)*Calculateur!AQ186*Calculateur!AS186*VLOOKUP('Données projet'!$B$10,Paramètres!$A$1:$I$89,3,0)*0.475*44/12</f>
        <v>2.9759083012449854</v>
      </c>
      <c r="AW186" s="21">
        <f>EXP(-LN(2)/2)*AW185+(1-EXP(-LN(2)/2))/(LN(2)/2)*AQ186*AT186*VLOOKUP('Données projet'!$B$10,Paramètres!$A$1:$I$89,3,0)*0.475*44/12</f>
        <v>2.2206333513122412E-14</v>
      </c>
      <c r="AX186" s="21">
        <f t="shared" si="166"/>
        <v>22.908405720045064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5.4001247917767614E-13</v>
      </c>
      <c r="BE186" s="13">
        <f>BD186*VLOOKUP('Données projet'!$B$11,Paramètres!$A$1:$I$89,3,0)*VLOOKUP('Données projet'!$B$11,Paramètres!$A$1:$I$89,5,0)</f>
        <v>4.8860329115996133E-13</v>
      </c>
      <c r="BF186" s="13">
        <f t="shared" si="167"/>
        <v>6.1025862939685007E-12</v>
      </c>
      <c r="BG186" s="20">
        <f t="shared" si="168"/>
        <v>1.1479655194098737E-11</v>
      </c>
      <c r="BH186" s="59">
        <f t="shared" si="116"/>
        <v>293.3333333333448</v>
      </c>
      <c r="BI186" s="59">
        <f ca="1">AVERAGE(OFFSET($BH$3,0,0,'Données projet'!$E$11+1,1))-AVERAGE(OFFSET($H$3,0,0,'Données projet'!$E$11+1,1))</f>
        <v>490.06222615476065</v>
      </c>
      <c r="BJ186" s="59">
        <f t="shared" si="146"/>
        <v>310.43914804089906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72.69834084411049</v>
      </c>
      <c r="BQ186" s="21">
        <f>EXP(-LN(2)/25)*BQ185+(1-EXP(-LN(2)/25))/(LN(2)/25)*Calculateur!BL186*Calculateur!BN186*VLOOKUP('Données projet'!$B$11,Paramètres!$A$1:$I$89,3,0)*0.475*44/12</f>
        <v>10.821629587944436</v>
      </c>
      <c r="BR186" s="21">
        <f>EXP(-LN(2)/2)*BR185+(1-EXP(-LN(2)/2))/(LN(2)/2)*BL186*BO186*VLOOKUP('Données projet'!$B$11,Paramètres!$A$1:$I$89,3,0)*0.475*44/12</f>
        <v>3.3396465888533718E-3</v>
      </c>
      <c r="BS186" s="22">
        <f t="shared" si="169"/>
        <v>83.523310078643775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285.6552659999997</v>
      </c>
      <c r="CA186" s="13">
        <f t="shared" si="170"/>
        <v>68.160734755272316</v>
      </c>
      <c r="CB186" s="20">
        <f t="shared" si="171"/>
        <v>616.22953464876537</v>
      </c>
      <c r="CC186" s="59">
        <f t="shared" si="119"/>
        <v>909.56286798209862</v>
      </c>
      <c r="CD186" s="59">
        <f ca="1">AVERAGE(OFFSET($CC$3,0,0,'Données projet'!$E$12+1,1))-AVERAGE(OFFSET($H$3,0,0,'Données projet'!$E$12+1,1))</f>
        <v>510.71380643466227</v>
      </c>
      <c r="CE186" s="59">
        <f t="shared" si="148"/>
        <v>252.40654099948841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40.009940289785696</v>
      </c>
      <c r="CL186" s="21">
        <f>EXP(-LN(2)/25)*CL185+(1-EXP(-LN(2)/25))/(LN(2)/25)*Calculateur!CG186*Calculateur!CI186*VLOOKUP('Données projet'!$B$12,Paramètres!$A$1:$I$89,3,0)*0.475*44/12</f>
        <v>34.724511459111071</v>
      </c>
      <c r="CM186" s="21">
        <f>EXP(-LN(2)/2)*CM185+(1-EXP(-LN(2)/2))/(LN(2)/2)*CG186*CJ186*VLOOKUP('Données projet'!$B$12,Paramètres!$A$1:$I$89,3,0)*0.475*44/12</f>
        <v>14.25459266959019</v>
      </c>
      <c r="CN186" s="22">
        <f t="shared" si="172"/>
        <v>88.989044418486955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2.5579538487363607E-13</v>
      </c>
      <c r="CU186" s="17">
        <f>CT186*VLOOKUP('Données projet'!$B$13,Paramètres!$A$1:$I$89,3,0)*VLOOKUP('Données projet'!$B$13,Paramètres!$A$1:$I$89,5,0)</f>
        <v>2.7533815227798186E-13</v>
      </c>
      <c r="CV186" s="13">
        <f t="shared" si="173"/>
        <v>3.6763598146902537E-12</v>
      </c>
      <c r="CW186" s="20">
        <f t="shared" si="174"/>
        <v>6.88254062580301E-12</v>
      </c>
      <c r="CX186" s="59">
        <f t="shared" si="122"/>
        <v>293.33333333334019</v>
      </c>
      <c r="CY186" s="59">
        <f ca="1">AVERAGE(OFFSET($CX$3,0,0,'Données projet'!$E$13+1,1))-AVERAGE(OFFSET($H$3,0,0,'Données projet'!$E$13+1,1))</f>
        <v>502.65044103360322</v>
      </c>
      <c r="CZ186" s="59">
        <f t="shared" si="150"/>
        <v>321.65762891855167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47.046330690938504</v>
      </c>
      <c r="DG186" s="21">
        <f>EXP(-LN(2)/25)*DG185+(1-EXP(-LN(2)/25))/(LN(2)/25)*Calculateur!DB186*Calculateur!DD186*VLOOKUP('Données projet'!$B$13,Paramètres!$A$1:$I$89,3,0)*0.475*44/12</f>
        <v>6.4426268777503717</v>
      </c>
      <c r="DH186" s="21">
        <f>EXP(-LN(2)/2)*DH185+(1-EXP(-LN(2)/2))/(LN(2)/2)*DB186*DE186*VLOOKUP('Données projet'!$B$13,Paramètres!$A$1:$I$89,3,0)*0.475*44/12</f>
        <v>8.5354214367481174E-8</v>
      </c>
      <c r="DI186" s="22">
        <f t="shared" si="175"/>
        <v>53.488957654043091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-25.899999999999977</v>
      </c>
      <c r="DP186" s="17">
        <f>DO186*VLOOKUP('Données projet'!$B$14,Paramètres!$A$1:$I$89,3,0)*VLOOKUP('Données projet'!$B$14,Paramètres!$A$1:$I$89,5,0)</f>
        <v>-13.171703999999989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63.94726564348116</v>
      </c>
      <c r="DU186" s="59">
        <f t="shared" si="152"/>
        <v>280.8165028422905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2.4650353937789422</v>
      </c>
      <c r="EB186" s="21">
        <f>EXP(-LN(2)/25)*EB185+(1-EXP(-LN(2)/25))/(LN(2)/25)*Calculateur!DW186*Calculateur!DY186*VLOOKUP('Données projet'!$B$14,Paramètres!$A$1:$I$89,3,0)*0.475*44/12</f>
        <v>9.3427453647804706E-2</v>
      </c>
      <c r="EC186" s="21">
        <f>EXP(-LN(2)/2)*EC185+(1-EXP(-LN(2)/2))/(LN(2)/2)*DW186*DZ186*VLOOKUP('Données projet'!$B$14,Paramètres!$A$1:$I$89,3,0)*0.475*44/12</f>
        <v>9.0934116334726462E-25</v>
      </c>
      <c r="ED186" s="22">
        <f t="shared" si="178"/>
        <v>2.558462847426747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-5.9685589803848416E-13</v>
      </c>
      <c r="O187" s="13">
        <f>N187*VLOOKUP('Données projet'!$B$9,Paramètres!$A$1:$I$89,3,0)*VLOOKUP('Données projet'!$B$9,Paramètres!$A$1:$I$89,5,0)</f>
        <v>-3.4140157367801295E-13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294.9631697747962</v>
      </c>
      <c r="T187" s="59">
        <f t="shared" si="142"/>
        <v>202.04924881627716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21.14950345729493</v>
      </c>
      <c r="AA187" s="21">
        <f>EXP(-LN(2)/25)*AA186+(1-EXP(-LN(2)/25))/(LN(2)/25)*Calculateur!V187*Calculateur!X187*VLOOKUP('Données projet'!$B$9,Paramètres!$A$1:$I$89,3,0)*0.475*44/12</f>
        <v>3.5778849287019319</v>
      </c>
      <c r="AB187" s="21">
        <f>EXP(-LN(2)/2)*AB186+(1-EXP(-LN(2)/2))/(LN(2)/2)*V187*Y187*VLOOKUP('Données projet'!$B$9,Paramètres!$A$1:$I$89,3,0)*0.475*44/12</f>
        <v>1.9961757557300418E-11</v>
      </c>
      <c r="AC187" s="22">
        <f t="shared" si="163"/>
        <v>24.727388386016823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349.71285006949597</v>
      </c>
      <c r="AO187" s="59">
        <f t="shared" si="144"/>
        <v>258.51550516456842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19.541633302040349</v>
      </c>
      <c r="AV187" s="21">
        <f>EXP(-LN(2)/25)*AV186+(1-EXP(-LN(2)/25))/(LN(2)/25)*Calculateur!AQ187*Calculateur!AS187*VLOOKUP('Données projet'!$B$10,Paramètres!$A$1:$I$89,3,0)*0.475*44/12</f>
        <v>2.8945319322512253</v>
      </c>
      <c r="AW187" s="21">
        <f>EXP(-LN(2)/2)*AW186+(1-EXP(-LN(2)/2))/(LN(2)/2)*AQ187*AT187*VLOOKUP('Données projet'!$B$10,Paramètres!$A$1:$I$89,3,0)*0.475*44/12</f>
        <v>1.5702249012418947E-14</v>
      </c>
      <c r="AX187" s="21">
        <f t="shared" si="166"/>
        <v>22.43616523429159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5.4001247917767614E-13</v>
      </c>
      <c r="BE187" s="13">
        <f>BD187*VLOOKUP('Données projet'!$B$11,Paramètres!$A$1:$I$89,3,0)*VLOOKUP('Données projet'!$B$11,Paramètres!$A$1:$I$89,5,0)</f>
        <v>4.8860329115996133E-13</v>
      </c>
      <c r="BF187" s="13">
        <f t="shared" si="167"/>
        <v>6.1025862939685007E-12</v>
      </c>
      <c r="BG187" s="20">
        <f t="shared" si="168"/>
        <v>1.1479655194098737E-11</v>
      </c>
      <c r="BH187" s="59">
        <f t="shared" si="116"/>
        <v>293.3333333333448</v>
      </c>
      <c r="BI187" s="59">
        <f ca="1">AVERAGE(OFFSET($BH$3,0,0,'Données projet'!$E$11+1,1))-AVERAGE(OFFSET($H$3,0,0,'Données projet'!$E$11+1,1))</f>
        <v>490.06222615476065</v>
      </c>
      <c r="BJ187" s="59">
        <f t="shared" si="146"/>
        <v>310.43914804089906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71.272770721767031</v>
      </c>
      <c r="BQ187" s="21">
        <f>EXP(-LN(2)/25)*BQ186+(1-EXP(-LN(2)/25))/(LN(2)/25)*Calculateur!BL187*Calculateur!BN187*VLOOKUP('Données projet'!$B$11,Paramètres!$A$1:$I$89,3,0)*0.475*44/12</f>
        <v>10.525711557777328</v>
      </c>
      <c r="BR187" s="21">
        <f>EXP(-LN(2)/2)*BR186+(1-EXP(-LN(2)/2))/(LN(2)/2)*BL187*BO187*VLOOKUP('Données projet'!$B$11,Paramètres!$A$1:$I$89,3,0)*0.475*44/12</f>
        <v>2.361486749744741E-3</v>
      </c>
      <c r="BS187" s="22">
        <f t="shared" si="169"/>
        <v>81.800843766294108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290.29540799999972</v>
      </c>
      <c r="CA187" s="13">
        <f t="shared" si="170"/>
        <v>69.138131070702386</v>
      </c>
      <c r="CB187" s="20">
        <f t="shared" si="171"/>
        <v>626.01341388147284</v>
      </c>
      <c r="CC187" s="59">
        <f t="shared" si="119"/>
        <v>919.3467472148061</v>
      </c>
      <c r="CD187" s="59">
        <f ca="1">AVERAGE(OFFSET($CC$3,0,0,'Données projet'!$E$12+1,1))-AVERAGE(OFFSET($H$3,0,0,'Données projet'!$E$12+1,1))</f>
        <v>510.71380643466227</v>
      </c>
      <c r="CE187" s="59">
        <f t="shared" si="148"/>
        <v>252.40654099948841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0.1075</v>
      </c>
      <c r="CI187" s="16">
        <f>IF(ISNA(VLOOKUP(A187,'Données projet'!$A$113:$I$133,6,0)),0%,VLOOKUP(A187,'Données projet'!$A$113:$I$133,6,0)*VLOOKUP('Données projet'!$B$12,Paramètres!$A$1:$I$89,7,0))</f>
        <v>0.1075</v>
      </c>
      <c r="CJ187" s="16">
        <f>IF(ISNA(VLOOKUP(A187,'Données projet'!$A$113:$I$133,7,0)),0%,VLOOKUP(A187,'Données projet'!$A$113:$I$133,7,0))</f>
        <v>0.25</v>
      </c>
      <c r="CK187" s="21">
        <f>EXP(-LN(2)/35)*CK186+(1-EXP(-LN(2)/35))/(LN(2)/35)*CG187*CH187*VLOOKUP('Données projet'!$B$12,Paramètres!$A$1:$I$89,3,0)*0.475*44/12</f>
        <v>50.85731570120268</v>
      </c>
      <c r="CL187" s="21">
        <f>EXP(-LN(2)/25)*CL186+(1-EXP(-LN(2)/25))/(LN(2)/25)*Calculateur!CG187*Calculateur!CI187*VLOOKUP('Données projet'!$B$12,Paramètres!$A$1:$I$89,3,0)*0.475*44/12</f>
        <v>45.36111440075252</v>
      </c>
      <c r="CM187" s="21">
        <f>EXP(-LN(2)/2)*CM186+(1-EXP(-LN(2)/2))/(LN(2)/2)*CG187*CJ187*VLOOKUP('Données projet'!$B$12,Paramètres!$A$1:$I$89,3,0)*0.475*44/12</f>
        <v>33.16777370441946</v>
      </c>
      <c r="CN187" s="22">
        <f t="shared" si="172"/>
        <v>129.38620380637465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2.5579538487363607E-13</v>
      </c>
      <c r="CU187" s="17">
        <f>CT187*VLOOKUP('Données projet'!$B$13,Paramètres!$A$1:$I$89,3,0)*VLOOKUP('Données projet'!$B$13,Paramètres!$A$1:$I$89,5,0)</f>
        <v>2.7533815227798186E-13</v>
      </c>
      <c r="CV187" s="13">
        <f t="shared" si="173"/>
        <v>3.6763598146902537E-12</v>
      </c>
      <c r="CW187" s="20">
        <f t="shared" si="174"/>
        <v>6.88254062580301E-12</v>
      </c>
      <c r="CX187" s="59">
        <f t="shared" si="122"/>
        <v>293.33333333334019</v>
      </c>
      <c r="CY187" s="59">
        <f ca="1">AVERAGE(OFFSET($CX$3,0,0,'Données projet'!$E$13+1,1))-AVERAGE(OFFSET($H$3,0,0,'Données projet'!$E$13+1,1))</f>
        <v>502.65044103360322</v>
      </c>
      <c r="CZ187" s="59">
        <f t="shared" si="150"/>
        <v>321.65762891855167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46.12378084151748</v>
      </c>
      <c r="DG187" s="21">
        <f>EXP(-LN(2)/25)*DG186+(1-EXP(-LN(2)/25))/(LN(2)/25)*Calculateur!DB187*Calculateur!DD187*VLOOKUP('Données projet'!$B$13,Paramètres!$A$1:$I$89,3,0)*0.475*44/12</f>
        <v>6.2664529069752648</v>
      </c>
      <c r="DH187" s="21">
        <f>EXP(-LN(2)/2)*DH186+(1-EXP(-LN(2)/2))/(LN(2)/2)*DB187*DE187*VLOOKUP('Données projet'!$B$13,Paramètres!$A$1:$I$89,3,0)*0.475*44/12</f>
        <v>6.0354543782096182E-8</v>
      </c>
      <c r="DI187" s="22">
        <f t="shared" si="175"/>
        <v>52.390233808847292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-25.899999999999977</v>
      </c>
      <c r="DP187" s="17">
        <f>DO187*VLOOKUP('Données projet'!$B$14,Paramètres!$A$1:$I$89,3,0)*VLOOKUP('Données projet'!$B$14,Paramètres!$A$1:$I$89,5,0)</f>
        <v>-13.171703999999989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63.94726564348116</v>
      </c>
      <c r="DU187" s="59">
        <f t="shared" si="152"/>
        <v>280.8165028422905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2.4166975532300667</v>
      </c>
      <c r="EB187" s="21">
        <f>EXP(-LN(2)/25)*EB186+(1-EXP(-LN(2)/25))/(LN(2)/25)*Calculateur!DW187*Calculateur!DY187*VLOOKUP('Données projet'!$B$14,Paramètres!$A$1:$I$89,3,0)*0.475*44/12</f>
        <v>9.0872675014669224E-2</v>
      </c>
      <c r="EC187" s="21">
        <f>EXP(-LN(2)/2)*EC186+(1-EXP(-LN(2)/2))/(LN(2)/2)*DW187*DZ187*VLOOKUP('Données projet'!$B$14,Paramètres!$A$1:$I$89,3,0)*0.475*44/12</f>
        <v>6.4300130301491482E-25</v>
      </c>
      <c r="ED187" s="22">
        <f t="shared" si="178"/>
        <v>2.5075702282447359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-5.9685589803848416E-13</v>
      </c>
      <c r="O188" s="13">
        <f>N188*VLOOKUP('Données projet'!$B$9,Paramètres!$A$1:$I$89,3,0)*VLOOKUP('Données projet'!$B$9,Paramètres!$A$1:$I$89,5,0)</f>
        <v>-3.4140157367801295E-13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294.9631697747962</v>
      </c>
      <c r="T188" s="59">
        <f t="shared" si="142"/>
        <v>202.04924881627716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20.734774594420724</v>
      </c>
      <c r="AA188" s="21">
        <f>EXP(-LN(2)/25)*AA187+(1-EXP(-LN(2)/25))/(LN(2)/25)*Calculateur!V188*Calculateur!X188*VLOOKUP('Données projet'!$B$9,Paramètres!$A$1:$I$89,3,0)*0.475*44/12</f>
        <v>3.4800474771737866</v>
      </c>
      <c r="AB188" s="21">
        <f>EXP(-LN(2)/2)*AB187+(1-EXP(-LN(2)/2))/(LN(2)/2)*V188*Y188*VLOOKUP('Données projet'!$B$9,Paramètres!$A$1:$I$89,3,0)*0.475*44/12</f>
        <v>1.4115094133168938E-11</v>
      </c>
      <c r="AC188" s="22">
        <f t="shared" si="163"/>
        <v>24.214822071608626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349.71285006949597</v>
      </c>
      <c r="AO188" s="59">
        <f t="shared" si="144"/>
        <v>258.51550516456842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19.158433792206726</v>
      </c>
      <c r="AV188" s="21">
        <f>EXP(-LN(2)/25)*AV187+(1-EXP(-LN(2)/25))/(LN(2)/25)*Calculateur!AQ188*Calculateur!AS188*VLOOKUP('Données projet'!$B$10,Paramètres!$A$1:$I$89,3,0)*0.475*44/12</f>
        <v>2.8153808043469968</v>
      </c>
      <c r="AW188" s="21">
        <f>EXP(-LN(2)/2)*AW187+(1-EXP(-LN(2)/2))/(LN(2)/2)*AQ188*AT188*VLOOKUP('Données projet'!$B$10,Paramètres!$A$1:$I$89,3,0)*0.475*44/12</f>
        <v>1.1103166756561206E-14</v>
      </c>
      <c r="AX188" s="21">
        <f t="shared" si="166"/>
        <v>21.973814596553733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5.4001247917767614E-13</v>
      </c>
      <c r="BE188" s="13">
        <f>BD188*VLOOKUP('Données projet'!$B$11,Paramètres!$A$1:$I$89,3,0)*VLOOKUP('Données projet'!$B$11,Paramètres!$A$1:$I$89,5,0)</f>
        <v>4.8860329115996133E-13</v>
      </c>
      <c r="BF188" s="13">
        <f t="shared" si="167"/>
        <v>6.1025862939685007E-12</v>
      </c>
      <c r="BG188" s="20">
        <f t="shared" si="168"/>
        <v>1.1479655194098737E-11</v>
      </c>
      <c r="BH188" s="59">
        <f t="shared" si="116"/>
        <v>293.3333333333448</v>
      </c>
      <c r="BI188" s="59">
        <f ca="1">AVERAGE(OFFSET($BH$3,0,0,'Données projet'!$E$11+1,1))-AVERAGE(OFFSET($H$3,0,0,'Données projet'!$E$11+1,1))</f>
        <v>490.06222615476065</v>
      </c>
      <c r="BJ188" s="59">
        <f t="shared" si="146"/>
        <v>310.43914804089906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69.875155160010806</v>
      </c>
      <c r="BQ188" s="21">
        <f>EXP(-LN(2)/25)*BQ187+(1-EXP(-LN(2)/25))/(LN(2)/25)*Calculateur!BL188*Calculateur!BN188*VLOOKUP('Données projet'!$B$11,Paramètres!$A$1:$I$89,3,0)*0.475*44/12</f>
        <v>10.237885421706792</v>
      </c>
      <c r="BR188" s="21">
        <f>EXP(-LN(2)/2)*BR187+(1-EXP(-LN(2)/2))/(LN(2)/2)*BL188*BO188*VLOOKUP('Données projet'!$B$11,Paramètres!$A$1:$I$89,3,0)*0.475*44/12</f>
        <v>1.6698232944266859E-3</v>
      </c>
      <c r="BS188" s="22">
        <f t="shared" si="169"/>
        <v>80.114710405012019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195.39616199999969</v>
      </c>
      <c r="CA188" s="13">
        <f t="shared" si="170"/>
        <v>48.731016217868188</v>
      </c>
      <c r="CB188" s="20">
        <f t="shared" si="171"/>
        <v>425.18816872945314</v>
      </c>
      <c r="CC188" s="59">
        <f t="shared" si="119"/>
        <v>718.52150206278645</v>
      </c>
      <c r="CD188" s="59">
        <f ca="1">AVERAGE(OFFSET($CC$3,0,0,'Données projet'!$E$12+1,1))-AVERAGE(OFFSET($H$3,0,0,'Données projet'!$E$12+1,1))</f>
        <v>510.71380643466227</v>
      </c>
      <c r="CE188" s="59">
        <f t="shared" si="148"/>
        <v>252.40654099948841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49.860034760201714</v>
      </c>
      <c r="CL188" s="21">
        <f>EXP(-LN(2)/25)*CL187+(1-EXP(-LN(2)/25))/(LN(2)/25)*Calculateur!CG188*Calculateur!CI188*VLOOKUP('Données projet'!$B$12,Paramètres!$A$1:$I$89,3,0)*0.475*44/12</f>
        <v>44.120712342026607</v>
      </c>
      <c r="CM188" s="21">
        <f>EXP(-LN(2)/2)*CM187+(1-EXP(-LN(2)/2))/(LN(2)/2)*CG188*CJ188*VLOOKUP('Données projet'!$B$12,Paramètres!$A$1:$I$89,3,0)*0.475*44/12</f>
        <v>23.453157703255858</v>
      </c>
      <c r="CN188" s="22">
        <f t="shared" si="172"/>
        <v>117.43390480548418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2.5579538487363607E-13</v>
      </c>
      <c r="CU188" s="17">
        <f>CT188*VLOOKUP('Données projet'!$B$13,Paramètres!$A$1:$I$89,3,0)*VLOOKUP('Données projet'!$B$13,Paramètres!$A$1:$I$89,5,0)</f>
        <v>2.7533815227798186E-13</v>
      </c>
      <c r="CV188" s="13">
        <f t="shared" si="173"/>
        <v>3.6763598146902537E-12</v>
      </c>
      <c r="CW188" s="20">
        <f t="shared" si="174"/>
        <v>6.88254062580301E-12</v>
      </c>
      <c r="CX188" s="59">
        <f t="shared" si="122"/>
        <v>293.33333333334019</v>
      </c>
      <c r="CY188" s="59">
        <f ca="1">AVERAGE(OFFSET($CX$3,0,0,'Données projet'!$E$13+1,1))-AVERAGE(OFFSET($H$3,0,0,'Données projet'!$E$13+1,1))</f>
        <v>502.65044103360322</v>
      </c>
      <c r="CZ188" s="59">
        <f t="shared" si="150"/>
        <v>321.65762891855167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45.219321631943757</v>
      </c>
      <c r="DG188" s="21">
        <f>EXP(-LN(2)/25)*DG187+(1-EXP(-LN(2)/25))/(LN(2)/25)*Calculateur!DB188*Calculateur!DD188*VLOOKUP('Données projet'!$B$13,Paramètres!$A$1:$I$89,3,0)*0.475*44/12</f>
        <v>6.0950964226955904</v>
      </c>
      <c r="DH188" s="21">
        <f>EXP(-LN(2)/2)*DH187+(1-EXP(-LN(2)/2))/(LN(2)/2)*DB188*DE188*VLOOKUP('Données projet'!$B$13,Paramètres!$A$1:$I$89,3,0)*0.475*44/12</f>
        <v>4.2677107183740587E-8</v>
      </c>
      <c r="DI188" s="22">
        <f t="shared" si="175"/>
        <v>51.314418097316455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-25.899999999999977</v>
      </c>
      <c r="DP188" s="17">
        <f>DO188*VLOOKUP('Données projet'!$B$14,Paramètres!$A$1:$I$89,3,0)*VLOOKUP('Données projet'!$B$14,Paramètres!$A$1:$I$89,5,0)</f>
        <v>-13.171703999999989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63.94726564348116</v>
      </c>
      <c r="DU188" s="59">
        <f t="shared" si="152"/>
        <v>280.8165028422905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2.3693075882511834</v>
      </c>
      <c r="EB188" s="21">
        <f>EXP(-LN(2)/25)*EB187+(1-EXP(-LN(2)/25))/(LN(2)/25)*Calculateur!DW188*Calculateur!DY188*VLOOKUP('Données projet'!$B$14,Paramètres!$A$1:$I$89,3,0)*0.475*44/12</f>
        <v>8.838775693760681E-2</v>
      </c>
      <c r="EC188" s="21">
        <f>EXP(-LN(2)/2)*EC187+(1-EXP(-LN(2)/2))/(LN(2)/2)*DW188*DZ188*VLOOKUP('Données projet'!$B$14,Paramètres!$A$1:$I$89,3,0)*0.475*44/12</f>
        <v>4.5467058167363231E-25</v>
      </c>
      <c r="ED188" s="22">
        <f t="shared" si="178"/>
        <v>2.4576953451887902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-5.9685589803848416E-13</v>
      </c>
      <c r="O189" s="13">
        <f>N189*VLOOKUP('Données projet'!$B$9,Paramètres!$A$1:$I$89,3,0)*VLOOKUP('Données projet'!$B$9,Paramètres!$A$1:$I$89,5,0)</f>
        <v>-3.4140157367801295E-13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294.9631697747962</v>
      </c>
      <c r="T189" s="59">
        <f t="shared" si="142"/>
        <v>202.04924881627716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20.328178311587852</v>
      </c>
      <c r="AA189" s="21">
        <f>EXP(-LN(2)/25)*AA188+(1-EXP(-LN(2)/25))/(LN(2)/25)*Calculateur!V189*Calculateur!X189*VLOOKUP('Données projet'!$B$9,Paramètres!$A$1:$I$89,3,0)*0.475*44/12</f>
        <v>3.3848853959027263</v>
      </c>
      <c r="AB189" s="21">
        <f>EXP(-LN(2)/2)*AB188+(1-EXP(-LN(2)/2))/(LN(2)/2)*V189*Y189*VLOOKUP('Données projet'!$B$9,Paramètres!$A$1:$I$89,3,0)*0.475*44/12</f>
        <v>9.980878778650209E-12</v>
      </c>
      <c r="AC189" s="22">
        <f t="shared" si="163"/>
        <v>23.713063707500556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349.71285006949597</v>
      </c>
      <c r="AO189" s="59">
        <f t="shared" si="144"/>
        <v>258.51550516456842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18.78274859103232</v>
      </c>
      <c r="AV189" s="21">
        <f>EXP(-LN(2)/25)*AV188+(1-EXP(-LN(2)/25))/(LN(2)/25)*Calculateur!AQ189*Calculateur!AS189*VLOOKUP('Données projet'!$B$10,Paramètres!$A$1:$I$89,3,0)*0.475*44/12</f>
        <v>2.7383940681976862</v>
      </c>
      <c r="AW189" s="21">
        <f>EXP(-LN(2)/2)*AW188+(1-EXP(-LN(2)/2))/(LN(2)/2)*AQ189*AT189*VLOOKUP('Données projet'!$B$10,Paramètres!$A$1:$I$89,3,0)*0.475*44/12</f>
        <v>7.8511245062094733E-15</v>
      </c>
      <c r="AX189" s="21">
        <f t="shared" si="166"/>
        <v>21.521142659230012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5.4001247917767614E-13</v>
      </c>
      <c r="BE189" s="13">
        <f>BD189*VLOOKUP('Données projet'!$B$11,Paramètres!$A$1:$I$89,3,0)*VLOOKUP('Données projet'!$B$11,Paramètres!$A$1:$I$89,5,0)</f>
        <v>4.8860329115996133E-13</v>
      </c>
      <c r="BF189" s="13">
        <f t="shared" si="167"/>
        <v>6.1025862939685007E-12</v>
      </c>
      <c r="BG189" s="20">
        <f t="shared" si="168"/>
        <v>1.1479655194098737E-11</v>
      </c>
      <c r="BH189" s="59">
        <f t="shared" si="116"/>
        <v>293.3333333333448</v>
      </c>
      <c r="BI189" s="59">
        <f ca="1">AVERAGE(OFFSET($BH$3,0,0,'Données projet'!$E$11+1,1))-AVERAGE(OFFSET($H$3,0,0,'Données projet'!$E$11+1,1))</f>
        <v>490.06222615476065</v>
      </c>
      <c r="BJ189" s="59">
        <f t="shared" si="146"/>
        <v>310.43914804089906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68.504945986959299</v>
      </c>
      <c r="BQ189" s="21">
        <f>EXP(-LN(2)/25)*BQ188+(1-EXP(-LN(2)/25))/(LN(2)/25)*Calculateur!BL189*Calculateur!BN189*VLOOKUP('Données projet'!$B$11,Paramètres!$A$1:$I$89,3,0)*0.475*44/12</f>
        <v>9.9579299064632245</v>
      </c>
      <c r="BR189" s="21">
        <f>EXP(-LN(2)/2)*BR188+(1-EXP(-LN(2)/2))/(LN(2)/2)*BL189*BO189*VLOOKUP('Données projet'!$B$11,Paramètres!$A$1:$I$89,3,0)*0.475*44/12</f>
        <v>1.1807433748723705E-3</v>
      </c>
      <c r="BS189" s="22">
        <f t="shared" si="169"/>
        <v>78.464056636797395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198.37755599999971</v>
      </c>
      <c r="CA189" s="13">
        <f t="shared" si="170"/>
        <v>49.387434785250633</v>
      </c>
      <c r="CB189" s="20">
        <f t="shared" si="171"/>
        <v>431.52402561764438</v>
      </c>
      <c r="CC189" s="59">
        <f t="shared" si="119"/>
        <v>724.85735895097764</v>
      </c>
      <c r="CD189" s="59">
        <f ca="1">AVERAGE(OFFSET($CC$3,0,0,'Données projet'!$E$12+1,1))-AVERAGE(OFFSET($H$3,0,0,'Données projet'!$E$12+1,1))</f>
        <v>510.71380643466227</v>
      </c>
      <c r="CE189" s="59">
        <f t="shared" si="148"/>
        <v>252.40654099948841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48.882309890172465</v>
      </c>
      <c r="CL189" s="21">
        <f>EXP(-LN(2)/25)*CL188+(1-EXP(-LN(2)/25))/(LN(2)/25)*Calculateur!CG189*Calculateur!CI189*VLOOKUP('Données projet'!$B$12,Paramètres!$A$1:$I$89,3,0)*0.475*44/12</f>
        <v>42.914229142826464</v>
      </c>
      <c r="CM189" s="21">
        <f>EXP(-LN(2)/2)*CM188+(1-EXP(-LN(2)/2))/(LN(2)/2)*CG189*CJ189*VLOOKUP('Données projet'!$B$12,Paramètres!$A$1:$I$89,3,0)*0.475*44/12</f>
        <v>16.583886852209734</v>
      </c>
      <c r="CN189" s="22">
        <f t="shared" si="172"/>
        <v>108.38042588520867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2.5579538487363607E-13</v>
      </c>
      <c r="CU189" s="17">
        <f>CT189*VLOOKUP('Données projet'!$B$13,Paramètres!$A$1:$I$89,3,0)*VLOOKUP('Données projet'!$B$13,Paramètres!$A$1:$I$89,5,0)</f>
        <v>2.7533815227798186E-13</v>
      </c>
      <c r="CV189" s="13">
        <f t="shared" si="173"/>
        <v>3.6763598146902537E-12</v>
      </c>
      <c r="CW189" s="20">
        <f t="shared" si="174"/>
        <v>6.88254062580301E-12</v>
      </c>
      <c r="CX189" s="59">
        <f t="shared" si="122"/>
        <v>293.33333333334019</v>
      </c>
      <c r="CY189" s="59">
        <f ca="1">AVERAGE(OFFSET($CX$3,0,0,'Données projet'!$E$13+1,1))-AVERAGE(OFFSET($H$3,0,0,'Données projet'!$E$13+1,1))</f>
        <v>502.65044103360322</v>
      </c>
      <c r="CZ189" s="59">
        <f t="shared" si="150"/>
        <v>321.65762891855167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44.332598315804134</v>
      </c>
      <c r="DG189" s="21">
        <f>EXP(-LN(2)/25)*DG188+(1-EXP(-LN(2)/25))/(LN(2)/25)*Calculateur!DB189*Calculateur!DD189*VLOOKUP('Données projet'!$B$13,Paramètres!$A$1:$I$89,3,0)*0.475*44/12</f>
        <v>5.9284256904897887</v>
      </c>
      <c r="DH189" s="21">
        <f>EXP(-LN(2)/2)*DH188+(1-EXP(-LN(2)/2))/(LN(2)/2)*DB189*DE189*VLOOKUP('Données projet'!$B$13,Paramètres!$A$1:$I$89,3,0)*0.475*44/12</f>
        <v>3.0177271891048091E-8</v>
      </c>
      <c r="DI189" s="22">
        <f t="shared" si="175"/>
        <v>50.261024036471191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-25.899999999999977</v>
      </c>
      <c r="DP189" s="17">
        <f>DO189*VLOOKUP('Données projet'!$B$14,Paramètres!$A$1:$I$89,3,0)*VLOOKUP('Données projet'!$B$14,Paramètres!$A$1:$I$89,5,0)</f>
        <v>-13.171703999999989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63.94726564348116</v>
      </c>
      <c r="DU189" s="59">
        <f t="shared" si="152"/>
        <v>280.8165028422905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2.3228469115805113</v>
      </c>
      <c r="EB189" s="21">
        <f>EXP(-LN(2)/25)*EB188+(1-EXP(-LN(2)/25))/(LN(2)/25)*Calculateur!DW189*Calculateur!DY189*VLOOKUP('Données projet'!$B$14,Paramètres!$A$1:$I$89,3,0)*0.475*44/12</f>
        <v>8.5970789076037821E-2</v>
      </c>
      <c r="EC189" s="21">
        <f>EXP(-LN(2)/2)*EC188+(1-EXP(-LN(2)/2))/(LN(2)/2)*DW189*DZ189*VLOOKUP('Données projet'!$B$14,Paramètres!$A$1:$I$89,3,0)*0.475*44/12</f>
        <v>3.2150065150745741E-25</v>
      </c>
      <c r="ED189" s="22">
        <f t="shared" si="178"/>
        <v>2.4088177006565492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-5.9685589803848416E-13</v>
      </c>
      <c r="O190" s="13">
        <f>N190*VLOOKUP('Données projet'!$B$9,Paramètres!$A$1:$I$89,3,0)*VLOOKUP('Données projet'!$B$9,Paramètres!$A$1:$I$89,5,0)</f>
        <v>-3.4140157367801295E-13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294.9631697747962</v>
      </c>
      <c r="T190" s="59">
        <f t="shared" si="142"/>
        <v>202.04924881627716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19.929555133862088</v>
      </c>
      <c r="AA190" s="21">
        <f>EXP(-LN(2)/25)*AA189+(1-EXP(-LN(2)/25))/(LN(2)/25)*Calculateur!V190*Calculateur!X190*VLOOKUP('Données projet'!$B$9,Paramètres!$A$1:$I$89,3,0)*0.475*44/12</f>
        <v>3.2923255267483795</v>
      </c>
      <c r="AB190" s="21">
        <f>EXP(-LN(2)/2)*AB189+(1-EXP(-LN(2)/2))/(LN(2)/2)*V190*Y190*VLOOKUP('Données projet'!$B$9,Paramètres!$A$1:$I$89,3,0)*0.475*44/12</f>
        <v>7.0575470665844691E-12</v>
      </c>
      <c r="AC190" s="22">
        <f t="shared" si="163"/>
        <v>23.221880660617526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349.71285006949597</v>
      </c>
      <c r="AO190" s="59">
        <f t="shared" si="144"/>
        <v>258.51550516456842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18.414430347507597</v>
      </c>
      <c r="AV190" s="21">
        <f>EXP(-LN(2)/25)*AV189+(1-EXP(-LN(2)/25))/(LN(2)/25)*Calculateur!AQ190*Calculateur!AS190*VLOOKUP('Données projet'!$B$10,Paramètres!$A$1:$I$89,3,0)*0.475*44/12</f>
        <v>2.6635125383969349</v>
      </c>
      <c r="AW190" s="21">
        <f>EXP(-LN(2)/2)*AW189+(1-EXP(-LN(2)/2))/(LN(2)/2)*AQ190*AT190*VLOOKUP('Données projet'!$B$10,Paramètres!$A$1:$I$89,3,0)*0.475*44/12</f>
        <v>5.5515833782806031E-15</v>
      </c>
      <c r="AX190" s="21">
        <f t="shared" si="166"/>
        <v>21.077942885904541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5.4001247917767614E-13</v>
      </c>
      <c r="BE190" s="13">
        <f>BD190*VLOOKUP('Données projet'!$B$11,Paramètres!$A$1:$I$89,3,0)*VLOOKUP('Données projet'!$B$11,Paramètres!$A$1:$I$89,5,0)</f>
        <v>4.8860329115996133E-13</v>
      </c>
      <c r="BF190" s="13">
        <f t="shared" si="167"/>
        <v>6.1025862939685007E-12</v>
      </c>
      <c r="BG190" s="20">
        <f t="shared" si="168"/>
        <v>1.1479655194098737E-11</v>
      </c>
      <c r="BH190" s="59">
        <f t="shared" si="116"/>
        <v>293.3333333333448</v>
      </c>
      <c r="BI190" s="59">
        <f ca="1">AVERAGE(OFFSET($BH$3,0,0,'Données projet'!$E$11+1,1))-AVERAGE(OFFSET($H$3,0,0,'Données projet'!$E$11+1,1))</f>
        <v>490.06222615476065</v>
      </c>
      <c r="BJ190" s="59">
        <f t="shared" si="146"/>
        <v>310.43914804089906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67.161605780046258</v>
      </c>
      <c r="BQ190" s="21">
        <f>EXP(-LN(2)/25)*BQ189+(1-EXP(-LN(2)/25))/(LN(2)/25)*Calculateur!BL190*Calculateur!BN190*VLOOKUP('Données projet'!$B$11,Paramètres!$A$1:$I$89,3,0)*0.475*44/12</f>
        <v>9.6856297895062138</v>
      </c>
      <c r="BR190" s="21">
        <f>EXP(-LN(2)/2)*BR189+(1-EXP(-LN(2)/2))/(LN(2)/2)*BL190*BO190*VLOOKUP('Données projet'!$B$11,Paramètres!$A$1:$I$89,3,0)*0.475*44/12</f>
        <v>8.3491164721334295E-4</v>
      </c>
      <c r="BS190" s="22">
        <f t="shared" si="169"/>
        <v>76.848070481199684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201.35894999999971</v>
      </c>
      <c r="CA190" s="13">
        <f t="shared" si="170"/>
        <v>50.042705996748062</v>
      </c>
      <c r="CB190" s="20">
        <f t="shared" si="171"/>
        <v>437.85788419433567</v>
      </c>
      <c r="CC190" s="59">
        <f t="shared" si="119"/>
        <v>731.19121752766898</v>
      </c>
      <c r="CD190" s="59">
        <f ca="1">AVERAGE(OFFSET($CC$3,0,0,'Données projet'!$E$12+1,1))-AVERAGE(OFFSET($H$3,0,0,'Données projet'!$E$12+1,1))</f>
        <v>510.71380643466227</v>
      </c>
      <c r="CE190" s="59">
        <f t="shared" si="148"/>
        <v>252.40654099948841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47.923757608491201</v>
      </c>
      <c r="CL190" s="21">
        <f>EXP(-LN(2)/25)*CL189+(1-EXP(-LN(2)/25))/(LN(2)/25)*Calculateur!CG190*Calculateur!CI190*VLOOKUP('Données projet'!$B$12,Paramètres!$A$1:$I$89,3,0)*0.475*44/12</f>
        <v>41.740737290154648</v>
      </c>
      <c r="CM190" s="21">
        <f>EXP(-LN(2)/2)*CM189+(1-EXP(-LN(2)/2))/(LN(2)/2)*CG190*CJ190*VLOOKUP('Données projet'!$B$12,Paramètres!$A$1:$I$89,3,0)*0.475*44/12</f>
        <v>11.726578851627931</v>
      </c>
      <c r="CN190" s="22">
        <f t="shared" si="172"/>
        <v>101.39107375027378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2.5579538487363607E-13</v>
      </c>
      <c r="CU190" s="17">
        <f>CT190*VLOOKUP('Données projet'!$B$13,Paramètres!$A$1:$I$89,3,0)*VLOOKUP('Données projet'!$B$13,Paramètres!$A$1:$I$89,5,0)</f>
        <v>2.7533815227798186E-13</v>
      </c>
      <c r="CV190" s="13">
        <f t="shared" si="173"/>
        <v>3.6763598146902537E-12</v>
      </c>
      <c r="CW190" s="20">
        <f t="shared" si="174"/>
        <v>6.88254062580301E-12</v>
      </c>
      <c r="CX190" s="59">
        <f t="shared" si="122"/>
        <v>293.33333333334019</v>
      </c>
      <c r="CY190" s="59">
        <f ca="1">AVERAGE(OFFSET($CX$3,0,0,'Données projet'!$E$13+1,1))-AVERAGE(OFFSET($H$3,0,0,'Données projet'!$E$13+1,1))</f>
        <v>502.65044103360322</v>
      </c>
      <c r="CZ190" s="59">
        <f t="shared" si="150"/>
        <v>321.65762891855167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43.463263103046188</v>
      </c>
      <c r="DG190" s="21">
        <f>EXP(-LN(2)/25)*DG189+(1-EXP(-LN(2)/25))/(LN(2)/25)*Calculateur!DB190*Calculateur!DD190*VLOOKUP('Données projet'!$B$13,Paramètres!$A$1:$I$89,3,0)*0.475*44/12</f>
        <v>5.7663125782209876</v>
      </c>
      <c r="DH190" s="21">
        <f>EXP(-LN(2)/2)*DH189+(1-EXP(-LN(2)/2))/(LN(2)/2)*DB190*DE190*VLOOKUP('Données projet'!$B$13,Paramètres!$A$1:$I$89,3,0)*0.475*44/12</f>
        <v>2.1338553591870294E-8</v>
      </c>
      <c r="DI190" s="22">
        <f t="shared" si="175"/>
        <v>49.229575702605729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-25.899999999999977</v>
      </c>
      <c r="DP190" s="17">
        <f>DO190*VLOOKUP('Données projet'!$B$14,Paramètres!$A$1:$I$89,3,0)*VLOOKUP('Données projet'!$B$14,Paramètres!$A$1:$I$89,5,0)</f>
        <v>-13.171703999999989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63.94726564348116</v>
      </c>
      <c r="DU190" s="59">
        <f t="shared" si="152"/>
        <v>280.8165028422905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2.2772973004411363</v>
      </c>
      <c r="EB190" s="21">
        <f>EXP(-LN(2)/25)*EB189+(1-EXP(-LN(2)/25))/(LN(2)/25)*Calculateur!DW190*Calculateur!DY190*VLOOKUP('Données projet'!$B$14,Paramètres!$A$1:$I$89,3,0)*0.475*44/12</f>
        <v>8.3619913327746265E-2</v>
      </c>
      <c r="EC190" s="21">
        <f>EXP(-LN(2)/2)*EC189+(1-EXP(-LN(2)/2))/(LN(2)/2)*DW190*DZ190*VLOOKUP('Données projet'!$B$14,Paramètres!$A$1:$I$89,3,0)*0.475*44/12</f>
        <v>2.2733529083681615E-25</v>
      </c>
      <c r="ED190" s="22">
        <f t="shared" si="178"/>
        <v>2.3609172137688827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-5.9685589803848416E-13</v>
      </c>
      <c r="O191" s="13">
        <f>N191*VLOOKUP('Données projet'!$B$9,Paramètres!$A$1:$I$89,3,0)*VLOOKUP('Données projet'!$B$9,Paramètres!$A$1:$I$89,5,0)</f>
        <v>-3.4140157367801295E-13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294.9631697747962</v>
      </c>
      <c r="T191" s="59">
        <f t="shared" si="142"/>
        <v>202.04924881627716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19.538748713515396</v>
      </c>
      <c r="AA191" s="21">
        <f>EXP(-LN(2)/25)*AA190+(1-EXP(-LN(2)/25))/(LN(2)/25)*Calculateur!V191*Calculateur!X191*VLOOKUP('Données projet'!$B$9,Paramètres!$A$1:$I$89,3,0)*0.475*44/12</f>
        <v>3.2022967120835704</v>
      </c>
      <c r="AB191" s="21">
        <f>EXP(-LN(2)/2)*AB190+(1-EXP(-LN(2)/2))/(LN(2)/2)*V191*Y191*VLOOKUP('Données projet'!$B$9,Paramètres!$A$1:$I$89,3,0)*0.475*44/12</f>
        <v>4.9904393893251045E-12</v>
      </c>
      <c r="AC191" s="22">
        <f t="shared" si="163"/>
        <v>22.741045425603957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349.71285006949597</v>
      </c>
      <c r="AO191" s="59">
        <f t="shared" si="144"/>
        <v>258.51550516456842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18.053334600086448</v>
      </c>
      <c r="AV191" s="21">
        <f>EXP(-LN(2)/25)*AV190+(1-EXP(-LN(2)/25))/(LN(2)/25)*Calculateur!AQ191*Calculateur!AS191*VLOOKUP('Données projet'!$B$10,Paramètres!$A$1:$I$89,3,0)*0.475*44/12</f>
        <v>2.5906786479664339</v>
      </c>
      <c r="AW191" s="21">
        <f>EXP(-LN(2)/2)*AW190+(1-EXP(-LN(2)/2))/(LN(2)/2)*AQ191*AT191*VLOOKUP('Données projet'!$B$10,Paramètres!$A$1:$I$89,3,0)*0.475*44/12</f>
        <v>3.9255622531047366E-15</v>
      </c>
      <c r="AX191" s="21">
        <f t="shared" si="166"/>
        <v>20.644013248052886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5.4001247917767614E-13</v>
      </c>
      <c r="BE191" s="13">
        <f>BD191*VLOOKUP('Données projet'!$B$11,Paramètres!$A$1:$I$89,3,0)*VLOOKUP('Données projet'!$B$11,Paramètres!$A$1:$I$89,5,0)</f>
        <v>4.8860329115996133E-13</v>
      </c>
      <c r="BF191" s="13">
        <f t="shared" si="167"/>
        <v>6.1025862939685007E-12</v>
      </c>
      <c r="BG191" s="20">
        <f t="shared" si="168"/>
        <v>1.1479655194098737E-11</v>
      </c>
      <c r="BH191" s="59">
        <f t="shared" si="116"/>
        <v>293.3333333333448</v>
      </c>
      <c r="BI191" s="59">
        <f ca="1">AVERAGE(OFFSET($BH$3,0,0,'Données projet'!$E$11+1,1))-AVERAGE(OFFSET($H$3,0,0,'Données projet'!$E$11+1,1))</f>
        <v>490.06222615476065</v>
      </c>
      <c r="BJ191" s="59">
        <f t="shared" si="146"/>
        <v>310.43914804089906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65.844607655234171</v>
      </c>
      <c r="BQ191" s="21">
        <f>EXP(-LN(2)/25)*BQ190+(1-EXP(-LN(2)/25))/(LN(2)/25)*Calculateur!BL191*Calculateur!BN191*VLOOKUP('Données projet'!$B$11,Paramètres!$A$1:$I$89,3,0)*0.475*44/12</f>
        <v>9.4207757335670319</v>
      </c>
      <c r="BR191" s="21">
        <f>EXP(-LN(2)/2)*BR190+(1-EXP(-LN(2)/2))/(LN(2)/2)*BL191*BO191*VLOOKUP('Données projet'!$B$11,Paramètres!$A$1:$I$89,3,0)*0.475*44/12</f>
        <v>5.9037168743618525E-4</v>
      </c>
      <c r="BS191" s="22">
        <f t="shared" si="169"/>
        <v>75.265973760488635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204.34034399999976</v>
      </c>
      <c r="CA191" s="13">
        <f t="shared" si="170"/>
        <v>50.696848803013133</v>
      </c>
      <c r="CB191" s="20">
        <f t="shared" si="171"/>
        <v>444.18977746524746</v>
      </c>
      <c r="CC191" s="59">
        <f t="shared" si="119"/>
        <v>737.52311079858077</v>
      </c>
      <c r="CD191" s="59">
        <f ca="1">AVERAGE(OFFSET($CC$3,0,0,'Données projet'!$E$12+1,1))-AVERAGE(OFFSET($H$3,0,0,'Données projet'!$E$12+1,1))</f>
        <v>510.71380643466227</v>
      </c>
      <c r="CE191" s="59">
        <f t="shared" si="148"/>
        <v>252.40654099948841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0.1075</v>
      </c>
      <c r="CI191" s="16">
        <f>IF(ISNA(VLOOKUP(A191,'Données projet'!$A$113:$I$133,6,0)),0%,VLOOKUP(A191,'Données projet'!$A$113:$I$133,6,0)*VLOOKUP('Données projet'!$B$12,Paramètres!$A$1:$I$89,7,0))</f>
        <v>0.1075</v>
      </c>
      <c r="CJ191" s="16">
        <f>IF(ISNA(VLOOKUP(A191,'Données projet'!$A$113:$I$133,7,0)),0%,VLOOKUP(A191,'Données projet'!$A$113:$I$133,7,0))</f>
        <v>0.25</v>
      </c>
      <c r="CK191" s="21">
        <f>EXP(-LN(2)/35)*CK190+(1-EXP(-LN(2)/35))/(LN(2)/35)*CG191*CH191*VLOOKUP('Données projet'!$B$12,Paramètres!$A$1:$I$89,3,0)*0.475*44/12</f>
        <v>55.280383945690275</v>
      </c>
      <c r="CL191" s="21">
        <f>EXP(-LN(2)/25)*CL190+(1-EXP(-LN(2)/25))/(LN(2)/25)*Calculateur!CG191*Calculateur!CI191*VLOOKUP('Données projet'!$B$12,Paramètres!$A$1:$I$89,3,0)*0.475*44/12</f>
        <v>48.863050610124141</v>
      </c>
      <c r="CM191" s="21">
        <f>EXP(-LN(2)/2)*CM190+(1-EXP(-LN(2)/2))/(LN(2)/2)*CG191*CJ191*VLOOKUP('Données projet'!$B$12,Paramètres!$A$1:$I$89,3,0)*0.475*44/12</f>
        <v>24.759435664050123</v>
      </c>
      <c r="CN191" s="22">
        <f t="shared" si="172"/>
        <v>128.90287021986455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2.5579538487363607E-13</v>
      </c>
      <c r="CU191" s="17">
        <f>CT191*VLOOKUP('Données projet'!$B$13,Paramètres!$A$1:$I$89,3,0)*VLOOKUP('Données projet'!$B$13,Paramètres!$A$1:$I$89,5,0)</f>
        <v>2.7533815227798186E-13</v>
      </c>
      <c r="CV191" s="13">
        <f t="shared" si="173"/>
        <v>3.6763598146902537E-12</v>
      </c>
      <c r="CW191" s="20">
        <f t="shared" si="174"/>
        <v>6.88254062580301E-12</v>
      </c>
      <c r="CX191" s="59">
        <f t="shared" si="122"/>
        <v>293.33333333334019</v>
      </c>
      <c r="CY191" s="59">
        <f ca="1">AVERAGE(OFFSET($CX$3,0,0,'Données projet'!$E$13+1,1))-AVERAGE(OFFSET($H$3,0,0,'Données projet'!$E$13+1,1))</f>
        <v>502.65044103360322</v>
      </c>
      <c r="CZ191" s="59">
        <f t="shared" si="150"/>
        <v>321.65762891855167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42.610975023568301</v>
      </c>
      <c r="DG191" s="21">
        <f>EXP(-LN(2)/25)*DG190+(1-EXP(-LN(2)/25))/(LN(2)/25)*Calculateur!DB191*Calculateur!DD191*VLOOKUP('Données projet'!$B$13,Paramètres!$A$1:$I$89,3,0)*0.475*44/12</f>
        <v>5.6086324575323356</v>
      </c>
      <c r="DH191" s="21">
        <f>EXP(-LN(2)/2)*DH190+(1-EXP(-LN(2)/2))/(LN(2)/2)*DB191*DE191*VLOOKUP('Données projet'!$B$13,Paramètres!$A$1:$I$89,3,0)*0.475*44/12</f>
        <v>1.5088635945524046E-8</v>
      </c>
      <c r="DI191" s="22">
        <f t="shared" si="175"/>
        <v>48.219607496189276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-25.899999999999977</v>
      </c>
      <c r="DP191" s="17">
        <f>DO191*VLOOKUP('Données projet'!$B$14,Paramètres!$A$1:$I$89,3,0)*VLOOKUP('Données projet'!$B$14,Paramètres!$A$1:$I$89,5,0)</f>
        <v>-13.171703999999989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63.94726564348116</v>
      </c>
      <c r="DU191" s="59">
        <f t="shared" si="152"/>
        <v>280.8165028422905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2.2326408893936853</v>
      </c>
      <c r="EB191" s="21">
        <f>EXP(-LN(2)/25)*EB190+(1-EXP(-LN(2)/25))/(LN(2)/25)*Calculateur!DW191*Calculateur!DY191*VLOOKUP('Données projet'!$B$14,Paramètres!$A$1:$I$89,3,0)*0.475*44/12</f>
        <v>8.133332240041892E-2</v>
      </c>
      <c r="EC191" s="21">
        <f>EXP(-LN(2)/2)*EC190+(1-EXP(-LN(2)/2))/(LN(2)/2)*DW191*DZ191*VLOOKUP('Données projet'!$B$14,Paramètres!$A$1:$I$89,3,0)*0.475*44/12</f>
        <v>1.6075032575372871E-25</v>
      </c>
      <c r="ED191" s="22">
        <f t="shared" si="178"/>
        <v>2.3139742117941045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-5.9685589803848416E-13</v>
      </c>
      <c r="O192" s="13">
        <f>N192*VLOOKUP('Données projet'!$B$9,Paramètres!$A$1:$I$89,3,0)*VLOOKUP('Données projet'!$B$9,Paramètres!$A$1:$I$89,5,0)</f>
        <v>-3.4140157367801295E-13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294.9631697747962</v>
      </c>
      <c r="T192" s="59">
        <f t="shared" si="142"/>
        <v>202.04924881627716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19.155605768703325</v>
      </c>
      <c r="AA192" s="21">
        <f>EXP(-LN(2)/25)*AA191+(1-EXP(-LN(2)/25))/(LN(2)/25)*Calculateur!V192*Calculateur!X192*VLOOKUP('Données projet'!$B$9,Paramètres!$A$1:$I$89,3,0)*0.475*44/12</f>
        <v>3.1147297400901799</v>
      </c>
      <c r="AB192" s="21">
        <f>EXP(-LN(2)/2)*AB191+(1-EXP(-LN(2)/2))/(LN(2)/2)*V192*Y192*VLOOKUP('Données projet'!$B$9,Paramètres!$A$1:$I$89,3,0)*0.475*44/12</f>
        <v>3.5287735332922346E-12</v>
      </c>
      <c r="AC192" s="22">
        <f t="shared" si="163"/>
        <v>22.270335508797032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349.71285006949597</v>
      </c>
      <c r="AO192" s="59">
        <f t="shared" si="144"/>
        <v>258.51550516456842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17.699319720025567</v>
      </c>
      <c r="AV192" s="21">
        <f>EXP(-LN(2)/25)*AV191+(1-EXP(-LN(2)/25))/(LN(2)/25)*Calculateur!AQ192*Calculateur!AS192*VLOOKUP('Données projet'!$B$10,Paramètres!$A$1:$I$89,3,0)*0.475*44/12</f>
        <v>2.5198364040999226</v>
      </c>
      <c r="AW192" s="21">
        <f>EXP(-LN(2)/2)*AW191+(1-EXP(-LN(2)/2))/(LN(2)/2)*AQ192*AT192*VLOOKUP('Données projet'!$B$10,Paramètres!$A$1:$I$89,3,0)*0.475*44/12</f>
        <v>2.7757916891403015E-15</v>
      </c>
      <c r="AX192" s="21">
        <f t="shared" si="166"/>
        <v>20.219156124125494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5.4001247917767614E-13</v>
      </c>
      <c r="BE192" s="13">
        <f>BD192*VLOOKUP('Données projet'!$B$11,Paramètres!$A$1:$I$89,3,0)*VLOOKUP('Données projet'!$B$11,Paramètres!$A$1:$I$89,5,0)</f>
        <v>4.8860329115996133E-13</v>
      </c>
      <c r="BF192" s="13">
        <f t="shared" si="167"/>
        <v>6.1025862939685007E-12</v>
      </c>
      <c r="BG192" s="20">
        <f t="shared" si="168"/>
        <v>1.1479655194098737E-11</v>
      </c>
      <c r="BH192" s="59">
        <f t="shared" si="116"/>
        <v>293.3333333333448</v>
      </c>
      <c r="BI192" s="59">
        <f ca="1">AVERAGE(OFFSET($BH$3,0,0,'Données projet'!$E$11+1,1))-AVERAGE(OFFSET($H$3,0,0,'Données projet'!$E$11+1,1))</f>
        <v>490.06222615476065</v>
      </c>
      <c r="BJ192" s="59">
        <f t="shared" si="146"/>
        <v>310.43914804089906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64.553435060360101</v>
      </c>
      <c r="BQ192" s="21">
        <f>EXP(-LN(2)/25)*BQ191+(1-EXP(-LN(2)/25))/(LN(2)/25)*Calculateur!BL192*Calculateur!BN192*VLOOKUP('Données projet'!$B$11,Paramètres!$A$1:$I$89,3,0)*0.475*44/12</f>
        <v>9.1631641257155767</v>
      </c>
      <c r="BR192" s="21">
        <f>EXP(-LN(2)/2)*BR191+(1-EXP(-LN(2)/2))/(LN(2)/2)*BL192*BO192*VLOOKUP('Données projet'!$B$11,Paramètres!$A$1:$I$89,3,0)*0.475*44/12</f>
        <v>4.1745582360667148E-4</v>
      </c>
      <c r="BS192" s="22">
        <f t="shared" si="169"/>
        <v>73.717016641899292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136.43645599999974</v>
      </c>
      <c r="CA192" s="13">
        <f t="shared" si="170"/>
        <v>35.479426627606493</v>
      </c>
      <c r="CB192" s="20">
        <f t="shared" si="171"/>
        <v>299.42016224308082</v>
      </c>
      <c r="CC192" s="59">
        <f t="shared" si="119"/>
        <v>592.75349557641414</v>
      </c>
      <c r="CD192" s="59">
        <f ca="1">AVERAGE(OFFSET($CC$3,0,0,'Données projet'!$E$12+1,1))-AVERAGE(OFFSET($H$3,0,0,'Données projet'!$E$12+1,1))</f>
        <v>510.71380643466227</v>
      </c>
      <c r="CE192" s="59">
        <f t="shared" si="148"/>
        <v>252.40654099948841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54.196369334220151</v>
      </c>
      <c r="CL192" s="21">
        <f>EXP(-LN(2)/25)*CL191+(1-EXP(-LN(2)/25))/(LN(2)/25)*Calculateur!CG192*Calculateur!CI192*VLOOKUP('Données projet'!$B$12,Paramètres!$A$1:$I$89,3,0)*0.475*44/12</f>
        <v>47.526887921594145</v>
      </c>
      <c r="CM192" s="21">
        <f>EXP(-LN(2)/2)*CM191+(1-EXP(-LN(2)/2))/(LN(2)/2)*CG192*CJ192*VLOOKUP('Données projet'!$B$12,Paramètres!$A$1:$I$89,3,0)*0.475*44/12</f>
        <v>17.507564856401892</v>
      </c>
      <c r="CN192" s="22">
        <f t="shared" si="172"/>
        <v>119.2308221122162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2.5579538487363607E-13</v>
      </c>
      <c r="CU192" s="17">
        <f>CT192*VLOOKUP('Données projet'!$B$13,Paramètres!$A$1:$I$89,3,0)*VLOOKUP('Données projet'!$B$13,Paramètres!$A$1:$I$89,5,0)</f>
        <v>2.7533815227798186E-13</v>
      </c>
      <c r="CV192" s="13">
        <f t="shared" si="173"/>
        <v>3.6763598146902537E-12</v>
      </c>
      <c r="CW192" s="20">
        <f t="shared" si="174"/>
        <v>6.88254062580301E-12</v>
      </c>
      <c r="CX192" s="59">
        <f t="shared" si="122"/>
        <v>293.33333333334019</v>
      </c>
      <c r="CY192" s="59">
        <f ca="1">AVERAGE(OFFSET($CX$3,0,0,'Données projet'!$E$13+1,1))-AVERAGE(OFFSET($H$3,0,0,'Données projet'!$E$13+1,1))</f>
        <v>502.65044103360322</v>
      </c>
      <c r="CZ192" s="59">
        <f t="shared" si="150"/>
        <v>321.65762891855167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41.775399793484581</v>
      </c>
      <c r="DG192" s="21">
        <f>EXP(-LN(2)/25)*DG191+(1-EXP(-LN(2)/25))/(LN(2)/25)*Calculateur!DB192*Calculateur!DD192*VLOOKUP('Données projet'!$B$13,Paramètres!$A$1:$I$89,3,0)*0.475*44/12</f>
        <v>5.4552641080359514</v>
      </c>
      <c r="DH192" s="21">
        <f>EXP(-LN(2)/2)*DH191+(1-EXP(-LN(2)/2))/(LN(2)/2)*DB192*DE192*VLOOKUP('Données projet'!$B$13,Paramètres!$A$1:$I$89,3,0)*0.475*44/12</f>
        <v>1.0669276795935147E-8</v>
      </c>
      <c r="DI192" s="22">
        <f t="shared" si="175"/>
        <v>47.230663912189804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-25.899999999999977</v>
      </c>
      <c r="DP192" s="17">
        <f>DO192*VLOOKUP('Données projet'!$B$14,Paramètres!$A$1:$I$89,3,0)*VLOOKUP('Données projet'!$B$14,Paramètres!$A$1:$I$89,5,0)</f>
        <v>-13.171703999999989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63.94726564348116</v>
      </c>
      <c r="DU192" s="59">
        <f t="shared" si="152"/>
        <v>280.8165028422905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2.1888601633291533</v>
      </c>
      <c r="EB192" s="21">
        <f>EXP(-LN(2)/25)*EB191+(1-EXP(-LN(2)/25))/(LN(2)/25)*Calculateur!DW192*Calculateur!DY192*VLOOKUP('Données projet'!$B$14,Paramètres!$A$1:$I$89,3,0)*0.475*44/12</f>
        <v>7.9109258422245934E-2</v>
      </c>
      <c r="EC192" s="21">
        <f>EXP(-LN(2)/2)*EC191+(1-EXP(-LN(2)/2))/(LN(2)/2)*DW192*DZ192*VLOOKUP('Données projet'!$B$14,Paramètres!$A$1:$I$89,3,0)*0.475*44/12</f>
        <v>1.1366764541840808E-25</v>
      </c>
      <c r="ED192" s="22">
        <f t="shared" si="178"/>
        <v>2.2679694217513995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-5.9685589803848416E-13</v>
      </c>
      <c r="O193" s="13">
        <f>N193*VLOOKUP('Données projet'!$B$9,Paramètres!$A$1:$I$89,3,0)*VLOOKUP('Données projet'!$B$9,Paramètres!$A$1:$I$89,5,0)</f>
        <v>-3.4140157367801295E-13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294.9631697747962</v>
      </c>
      <c r="T193" s="59">
        <f t="shared" si="142"/>
        <v>202.04924881627716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18.779976023344894</v>
      </c>
      <c r="AA193" s="21">
        <f>EXP(-LN(2)/25)*AA192+(1-EXP(-LN(2)/25))/(LN(2)/25)*Calculateur!V193*Calculateur!X193*VLOOKUP('Données projet'!$B$9,Paramètres!$A$1:$I$89,3,0)*0.475*44/12</f>
        <v>3.0295572915508955</v>
      </c>
      <c r="AB193" s="21">
        <f>EXP(-LN(2)/2)*AB192+(1-EXP(-LN(2)/2))/(LN(2)/2)*V193*Y193*VLOOKUP('Données projet'!$B$9,Paramètres!$A$1:$I$89,3,0)*0.475*44/12</f>
        <v>2.4952196946625522E-12</v>
      </c>
      <c r="AC193" s="22">
        <f t="shared" si="163"/>
        <v>21.809533314898282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349.71285006949597</v>
      </c>
      <c r="AO193" s="59">
        <f t="shared" si="144"/>
        <v>258.51550516456842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17.352246855834927</v>
      </c>
      <c r="AV193" s="21">
        <f>EXP(-LN(2)/25)*AV192+(1-EXP(-LN(2)/25))/(LN(2)/25)*Calculateur!AQ193*Calculateur!AS193*VLOOKUP('Données projet'!$B$10,Paramètres!$A$1:$I$89,3,0)*0.475*44/12</f>
        <v>2.4509313451173731</v>
      </c>
      <c r="AW193" s="21">
        <f>EXP(-LN(2)/2)*AW192+(1-EXP(-LN(2)/2))/(LN(2)/2)*AQ193*AT193*VLOOKUP('Données projet'!$B$10,Paramètres!$A$1:$I$89,3,0)*0.475*44/12</f>
        <v>1.9627811265523683E-15</v>
      </c>
      <c r="AX193" s="21">
        <f t="shared" si="166"/>
        <v>19.803178200952303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5.4001247917767614E-13</v>
      </c>
      <c r="BE193" s="13">
        <f>BD193*VLOOKUP('Données projet'!$B$11,Paramètres!$A$1:$I$89,3,0)*VLOOKUP('Données projet'!$B$11,Paramètres!$A$1:$I$89,5,0)</f>
        <v>4.8860329115996133E-13</v>
      </c>
      <c r="BF193" s="13">
        <f t="shared" si="167"/>
        <v>6.1025862939685007E-12</v>
      </c>
      <c r="BG193" s="20">
        <f t="shared" si="168"/>
        <v>1.1479655194098737E-11</v>
      </c>
      <c r="BH193" s="59">
        <f t="shared" si="116"/>
        <v>293.3333333333448</v>
      </c>
      <c r="BI193" s="59">
        <f ca="1">AVERAGE(OFFSET($BH$3,0,0,'Données projet'!$E$11+1,1))-AVERAGE(OFFSET($H$3,0,0,'Données projet'!$E$11+1,1))</f>
        <v>490.06222615476065</v>
      </c>
      <c r="BJ193" s="59">
        <f t="shared" si="146"/>
        <v>310.43914804089906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63.287581572533995</v>
      </c>
      <c r="BQ193" s="21">
        <f>EXP(-LN(2)/25)*BQ192+(1-EXP(-LN(2)/25))/(LN(2)/25)*Calculateur!BL193*Calculateur!BN193*VLOOKUP('Données projet'!$B$11,Paramètres!$A$1:$I$89,3,0)*0.475*44/12</f>
        <v>8.912596920828026</v>
      </c>
      <c r="BR193" s="21">
        <f>EXP(-LN(2)/2)*BR192+(1-EXP(-LN(2)/2))/(LN(2)/2)*BL193*BO193*VLOOKUP('Données projet'!$B$11,Paramètres!$A$1:$I$89,3,0)*0.475*44/12</f>
        <v>2.9518584371809262E-4</v>
      </c>
      <c r="BS193" s="22">
        <f t="shared" si="169"/>
        <v>72.200473679205729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138.34506399999972</v>
      </c>
      <c r="CA193" s="13">
        <f t="shared" si="170"/>
        <v>35.917620913203898</v>
      </c>
      <c r="CB193" s="20">
        <f t="shared" si="171"/>
        <v>303.50750955716296</v>
      </c>
      <c r="CC193" s="59">
        <f t="shared" si="119"/>
        <v>596.84084289049633</v>
      </c>
      <c r="CD193" s="59">
        <f ca="1">AVERAGE(OFFSET($CC$3,0,0,'Données projet'!$E$12+1,1))-AVERAGE(OFFSET($H$3,0,0,'Données projet'!$E$12+1,1))</f>
        <v>510.71380643466227</v>
      </c>
      <c r="CE193" s="59">
        <f t="shared" si="148"/>
        <v>252.40654099948841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53.133611588097324</v>
      </c>
      <c r="CL193" s="21">
        <f>EXP(-LN(2)/25)*CL192+(1-EXP(-LN(2)/25))/(LN(2)/25)*Calculateur!CG193*Calculateur!CI193*VLOOKUP('Données projet'!$B$12,Paramètres!$A$1:$I$89,3,0)*0.475*44/12</f>
        <v>46.227262672047743</v>
      </c>
      <c r="CM193" s="21">
        <f>EXP(-LN(2)/2)*CM192+(1-EXP(-LN(2)/2))/(LN(2)/2)*CG193*CJ193*VLOOKUP('Données projet'!$B$12,Paramètres!$A$1:$I$89,3,0)*0.475*44/12</f>
        <v>12.379717832025063</v>
      </c>
      <c r="CN193" s="22">
        <f t="shared" si="172"/>
        <v>111.74059209217013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2.5579538487363607E-13</v>
      </c>
      <c r="CU193" s="17">
        <f>CT193*VLOOKUP('Données projet'!$B$13,Paramètres!$A$1:$I$89,3,0)*VLOOKUP('Données projet'!$B$13,Paramètres!$A$1:$I$89,5,0)</f>
        <v>2.7533815227798186E-13</v>
      </c>
      <c r="CV193" s="13">
        <f t="shared" si="173"/>
        <v>3.6763598146902537E-12</v>
      </c>
      <c r="CW193" s="20">
        <f t="shared" si="174"/>
        <v>6.88254062580301E-12</v>
      </c>
      <c r="CX193" s="59">
        <f t="shared" si="122"/>
        <v>293.33333333334019</v>
      </c>
      <c r="CY193" s="59">
        <f ca="1">AVERAGE(OFFSET($CX$3,0,0,'Données projet'!$E$13+1,1))-AVERAGE(OFFSET($H$3,0,0,'Données projet'!$E$13+1,1))</f>
        <v>502.65044103360322</v>
      </c>
      <c r="CZ193" s="59">
        <f t="shared" si="150"/>
        <v>321.65762891855167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40.956209684012236</v>
      </c>
      <c r="DG193" s="21">
        <f>EXP(-LN(2)/25)*DG192+(1-EXP(-LN(2)/25))/(LN(2)/25)*Calculateur!DB193*Calculateur!DD193*VLOOKUP('Données projet'!$B$13,Paramètres!$A$1:$I$89,3,0)*0.475*44/12</f>
        <v>5.3060896241218369</v>
      </c>
      <c r="DH193" s="21">
        <f>EXP(-LN(2)/2)*DH192+(1-EXP(-LN(2)/2))/(LN(2)/2)*DB193*DE193*VLOOKUP('Données projet'!$B$13,Paramètres!$A$1:$I$89,3,0)*0.475*44/12</f>
        <v>7.5443179727620228E-9</v>
      </c>
      <c r="DI193" s="22">
        <f t="shared" si="175"/>
        <v>46.262299315678391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-25.899999999999977</v>
      </c>
      <c r="DP193" s="17">
        <f>DO193*VLOOKUP('Données projet'!$B$14,Paramètres!$A$1:$I$89,3,0)*VLOOKUP('Données projet'!$B$14,Paramètres!$A$1:$I$89,5,0)</f>
        <v>-13.171703999999989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63.94726564348116</v>
      </c>
      <c r="DU193" s="59">
        <f t="shared" si="152"/>
        <v>280.8165028422905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2.1459379505991407</v>
      </c>
      <c r="EB193" s="21">
        <f>EXP(-LN(2)/25)*EB192+(1-EXP(-LN(2)/25))/(LN(2)/25)*Calculateur!DW193*Calculateur!DY193*VLOOKUP('Données projet'!$B$14,Paramètres!$A$1:$I$89,3,0)*0.475*44/12</f>
        <v>7.6946011590514521E-2</v>
      </c>
      <c r="EC193" s="21">
        <f>EXP(-LN(2)/2)*EC192+(1-EXP(-LN(2)/2))/(LN(2)/2)*DW193*DZ193*VLOOKUP('Données projet'!$B$14,Paramètres!$A$1:$I$89,3,0)*0.475*44/12</f>
        <v>8.0375162876864353E-26</v>
      </c>
      <c r="ED193" s="22">
        <f t="shared" si="178"/>
        <v>2.2228839621896554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-5.9685589803848416E-13</v>
      </c>
      <c r="O194" s="13">
        <f>N194*VLOOKUP('Données projet'!$B$9,Paramètres!$A$1:$I$89,3,0)*VLOOKUP('Données projet'!$B$9,Paramètres!$A$1:$I$89,5,0)</f>
        <v>-3.4140157367801295E-13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294.9631697747962</v>
      </c>
      <c r="T194" s="59">
        <f t="shared" si="142"/>
        <v>202.04924881627716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18.411712148181422</v>
      </c>
      <c r="AA194" s="21">
        <f>EXP(-LN(2)/25)*AA193+(1-EXP(-LN(2)/25))/(LN(2)/25)*Calculateur!V194*Calculateur!X194*VLOOKUP('Données projet'!$B$9,Paramètres!$A$1:$I$89,3,0)*0.475*44/12</f>
        <v>2.9467138880959425</v>
      </c>
      <c r="AB194" s="21">
        <f>EXP(-LN(2)/2)*AB193+(1-EXP(-LN(2)/2))/(LN(2)/2)*V194*Y194*VLOOKUP('Données projet'!$B$9,Paramètres!$A$1:$I$89,3,0)*0.475*44/12</f>
        <v>1.7643867666461173E-12</v>
      </c>
      <c r="AC194" s="22">
        <f t="shared" si="163"/>
        <v>21.35842603627913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349.71285006949597</v>
      </c>
      <c r="AO194" s="59">
        <f t="shared" si="144"/>
        <v>258.51550516456842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17.01197987881752</v>
      </c>
      <c r="AV194" s="21">
        <f>EXP(-LN(2)/25)*AV193+(1-EXP(-LN(2)/25))/(LN(2)/25)*Calculateur!AQ194*Calculateur!AS194*VLOOKUP('Données projet'!$B$10,Paramètres!$A$1:$I$89,3,0)*0.475*44/12</f>
        <v>2.3839104985962609</v>
      </c>
      <c r="AW194" s="21">
        <f>EXP(-LN(2)/2)*AW193+(1-EXP(-LN(2)/2))/(LN(2)/2)*AQ194*AT194*VLOOKUP('Données projet'!$B$10,Paramètres!$A$1:$I$89,3,0)*0.475*44/12</f>
        <v>1.3878958445701508E-15</v>
      </c>
      <c r="AX194" s="21">
        <f t="shared" si="166"/>
        <v>19.395890377413782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5.4001247917767614E-13</v>
      </c>
      <c r="BE194" s="13">
        <f>BD194*VLOOKUP('Données projet'!$B$11,Paramètres!$A$1:$I$89,3,0)*VLOOKUP('Données projet'!$B$11,Paramètres!$A$1:$I$89,5,0)</f>
        <v>4.8860329115996133E-13</v>
      </c>
      <c r="BF194" s="13">
        <f t="shared" si="167"/>
        <v>6.1025862939685007E-12</v>
      </c>
      <c r="BG194" s="20">
        <f t="shared" si="168"/>
        <v>1.1479655194098737E-11</v>
      </c>
      <c r="BH194" s="59">
        <f t="shared" si="116"/>
        <v>293.3333333333448</v>
      </c>
      <c r="BI194" s="59">
        <f ca="1">AVERAGE(OFFSET($BH$3,0,0,'Données projet'!$E$11+1,1))-AVERAGE(OFFSET($H$3,0,0,'Données projet'!$E$11+1,1))</f>
        <v>490.06222615476065</v>
      </c>
      <c r="BJ194" s="59">
        <f t="shared" si="146"/>
        <v>310.43914804089906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62.046550699509773</v>
      </c>
      <c r="BQ194" s="21">
        <f>EXP(-LN(2)/25)*BQ193+(1-EXP(-LN(2)/25))/(LN(2)/25)*Calculateur!BL194*Calculateur!BN194*VLOOKUP('Données projet'!$B$11,Paramètres!$A$1:$I$89,3,0)*0.475*44/12</f>
        <v>8.6688814893348809</v>
      </c>
      <c r="BR194" s="21">
        <f>EXP(-LN(2)/2)*BR193+(1-EXP(-LN(2)/2))/(LN(2)/2)*BL194*BO194*VLOOKUP('Données projet'!$B$11,Paramètres!$A$1:$I$89,3,0)*0.475*44/12</f>
        <v>2.0872791180333574E-4</v>
      </c>
      <c r="BS194" s="22">
        <f t="shared" si="169"/>
        <v>70.715640916756456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140.25367199999971</v>
      </c>
      <c r="CA194" s="13">
        <f t="shared" si="170"/>
        <v>36.355112063878522</v>
      </c>
      <c r="CB194" s="20">
        <f t="shared" si="171"/>
        <v>307.59363224458792</v>
      </c>
      <c r="CC194" s="59">
        <f t="shared" si="119"/>
        <v>600.92696557792124</v>
      </c>
      <c r="CD194" s="59">
        <f ca="1">AVERAGE(OFFSET($CC$3,0,0,'Données projet'!$E$12+1,1))-AVERAGE(OFFSET($H$3,0,0,'Données projet'!$E$12+1,1))</f>
        <v>510.71380643466227</v>
      </c>
      <c r="CE194" s="59">
        <f t="shared" si="148"/>
        <v>252.40654099948841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0.1075</v>
      </c>
      <c r="CI194" s="16">
        <f>IF(ISNA(VLOOKUP(A194,'Données projet'!$A$113:$I$133,6,0)),0%,VLOOKUP(A194,'Données projet'!$A$113:$I$133,6,0)*VLOOKUP('Données projet'!$B$12,Paramètres!$A$1:$I$89,7,0))</f>
        <v>0.1075</v>
      </c>
      <c r="CJ194" s="16">
        <f>IF(ISNA(VLOOKUP(A194,'Données projet'!$A$113:$I$133,7,0)),0%,VLOOKUP(A194,'Données projet'!$A$113:$I$133,7,0))</f>
        <v>0.25</v>
      </c>
      <c r="CK194" s="21">
        <f>EXP(-LN(2)/35)*CK193+(1-EXP(-LN(2)/35))/(LN(2)/35)*CG194*CH194*VLOOKUP('Données projet'!$B$12,Paramètres!$A$1:$I$89,3,0)*0.475*44/12</f>
        <v>68.759168974956211</v>
      </c>
      <c r="CL194" s="21">
        <f>EXP(-LN(2)/25)*CL193+(1-EXP(-LN(2)/25))/(LN(2)/25)*Calculateur!CG194*Calculateur!CI194*VLOOKUP('Données projet'!$B$12,Paramètres!$A$1:$I$89,3,0)*0.475*44/12</f>
        <v>61.565024644811281</v>
      </c>
      <c r="CM194" s="21">
        <f>EXP(-LN(2)/2)*CM193+(1-EXP(-LN(2)/2))/(LN(2)/2)*CG194*CJ194*VLOOKUP('Données projet'!$B$12,Paramètres!$A$1:$I$89,3,0)*0.475*44/12</f>
        <v>41.837061029259978</v>
      </c>
      <c r="CN194" s="22">
        <f t="shared" si="172"/>
        <v>172.16125464902748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2.5579538487363607E-13</v>
      </c>
      <c r="CU194" s="17">
        <f>CT194*VLOOKUP('Données projet'!$B$13,Paramètres!$A$1:$I$89,3,0)*VLOOKUP('Données projet'!$B$13,Paramètres!$A$1:$I$89,5,0)</f>
        <v>2.7533815227798186E-13</v>
      </c>
      <c r="CV194" s="13">
        <f t="shared" si="173"/>
        <v>3.6763598146902537E-12</v>
      </c>
      <c r="CW194" s="20">
        <f t="shared" si="174"/>
        <v>6.88254062580301E-12</v>
      </c>
      <c r="CX194" s="59">
        <f t="shared" si="122"/>
        <v>293.33333333334019</v>
      </c>
      <c r="CY194" s="59">
        <f ca="1">AVERAGE(OFFSET($CX$3,0,0,'Données projet'!$E$13+1,1))-AVERAGE(OFFSET($H$3,0,0,'Données projet'!$E$13+1,1))</f>
        <v>502.65044103360322</v>
      </c>
      <c r="CZ194" s="59">
        <f t="shared" si="150"/>
        <v>321.65762891855167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40.153083392930014</v>
      </c>
      <c r="DG194" s="21">
        <f>EXP(-LN(2)/25)*DG193+(1-EXP(-LN(2)/25))/(LN(2)/25)*Calculateur!DB194*Calculateur!DD194*VLOOKUP('Données projet'!$B$13,Paramètres!$A$1:$I$89,3,0)*0.475*44/12</f>
        <v>5.1609943243150989</v>
      </c>
      <c r="DH194" s="21">
        <f>EXP(-LN(2)/2)*DH193+(1-EXP(-LN(2)/2))/(LN(2)/2)*DB194*DE194*VLOOKUP('Données projet'!$B$13,Paramètres!$A$1:$I$89,3,0)*0.475*44/12</f>
        <v>5.3346383979675734E-9</v>
      </c>
      <c r="DI194" s="22">
        <f t="shared" si="175"/>
        <v>45.314077722579754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-25.899999999999977</v>
      </c>
      <c r="DP194" s="17">
        <f>DO194*VLOOKUP('Données projet'!$B$14,Paramètres!$A$1:$I$89,3,0)*VLOOKUP('Données projet'!$B$14,Paramètres!$A$1:$I$89,5,0)</f>
        <v>-13.171703999999989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63.94726564348116</v>
      </c>
      <c r="DU194" s="59">
        <f t="shared" si="152"/>
        <v>280.8165028422905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2.1038574162807988</v>
      </c>
      <c r="EB194" s="21">
        <f>EXP(-LN(2)/25)*EB193+(1-EXP(-LN(2)/25))/(LN(2)/25)*Calculateur!DW194*Calculateur!DY194*VLOOKUP('Données projet'!$B$14,Paramètres!$A$1:$I$89,3,0)*0.475*44/12</f>
        <v>7.4841918857157019E-2</v>
      </c>
      <c r="EC194" s="21">
        <f>EXP(-LN(2)/2)*EC193+(1-EXP(-LN(2)/2))/(LN(2)/2)*DW194*DZ194*VLOOKUP('Données projet'!$B$14,Paramètres!$A$1:$I$89,3,0)*0.475*44/12</f>
        <v>5.6833822709204039E-26</v>
      </c>
      <c r="ED194" s="22">
        <f t="shared" si="178"/>
        <v>2.178699335137956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-5.9685589803848416E-13</v>
      </c>
      <c r="O195" s="13">
        <f>N195*VLOOKUP('Données projet'!$B$9,Paramètres!$A$1:$I$89,3,0)*VLOOKUP('Données projet'!$B$9,Paramètres!$A$1:$I$89,5,0)</f>
        <v>-3.4140157367801295E-13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294.9631697747962</v>
      </c>
      <c r="T195" s="59">
        <f t="shared" si="142"/>
        <v>202.04924881627716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18.050669702991122</v>
      </c>
      <c r="AA195" s="21">
        <f>EXP(-LN(2)/25)*AA194+(1-EXP(-LN(2)/25))/(LN(2)/25)*Calculateur!V195*Calculateur!X195*VLOOKUP('Données projet'!$B$9,Paramètres!$A$1:$I$89,3,0)*0.475*44/12</f>
        <v>2.8661358418650105</v>
      </c>
      <c r="AB195" s="21">
        <f>EXP(-LN(2)/2)*AB194+(1-EXP(-LN(2)/2))/(LN(2)/2)*V195*Y195*VLOOKUP('Données projet'!$B$9,Paramètres!$A$1:$I$89,3,0)*0.475*44/12</f>
        <v>1.2476098473312761E-12</v>
      </c>
      <c r="AC195" s="22">
        <f t="shared" si="163"/>
        <v>20.916805544857379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349.71285006949597</v>
      </c>
      <c r="AO195" s="59">
        <f t="shared" si="144"/>
        <v>258.51550516456842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16.678385329677063</v>
      </c>
      <c r="AV195" s="21">
        <f>EXP(-LN(2)/25)*AV194+(1-EXP(-LN(2)/25))/(LN(2)/25)*Calculateur!AQ195*Calculateur!AS195*VLOOKUP('Données projet'!$B$10,Paramètres!$A$1:$I$89,3,0)*0.475*44/12</f>
        <v>2.3187223406477417</v>
      </c>
      <c r="AW195" s="21">
        <f>EXP(-LN(2)/2)*AW194+(1-EXP(-LN(2)/2))/(LN(2)/2)*AQ195*AT195*VLOOKUP('Données projet'!$B$10,Paramètres!$A$1:$I$89,3,0)*0.475*44/12</f>
        <v>9.8139056327618416E-16</v>
      </c>
      <c r="AX195" s="21">
        <f t="shared" si="166"/>
        <v>18.997107670324805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5.4001247917767614E-13</v>
      </c>
      <c r="BE195" s="13">
        <f>BD195*VLOOKUP('Données projet'!$B$11,Paramètres!$A$1:$I$89,3,0)*VLOOKUP('Données projet'!$B$11,Paramètres!$A$1:$I$89,5,0)</f>
        <v>4.8860329115996133E-13</v>
      </c>
      <c r="BF195" s="13">
        <f t="shared" si="167"/>
        <v>6.1025862939685007E-12</v>
      </c>
      <c r="BG195" s="20">
        <f t="shared" si="168"/>
        <v>1.1479655194098737E-11</v>
      </c>
      <c r="BH195" s="59">
        <f t="shared" si="116"/>
        <v>293.3333333333448</v>
      </c>
      <c r="BI195" s="59">
        <f ca="1">AVERAGE(OFFSET($BH$3,0,0,'Données projet'!$E$11+1,1))-AVERAGE(OFFSET($H$3,0,0,'Données projet'!$E$11+1,1))</f>
        <v>490.06222615476065</v>
      </c>
      <c r="BJ195" s="59">
        <f t="shared" si="146"/>
        <v>310.43914804089906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60.829855684951461</v>
      </c>
      <c r="BQ195" s="21">
        <f>EXP(-LN(2)/25)*BQ194+(1-EXP(-LN(2)/25))/(LN(2)/25)*Calculateur!BL195*Calculateur!BN195*VLOOKUP('Données projet'!$B$11,Paramètres!$A$1:$I$89,3,0)*0.475*44/12</f>
        <v>8.431830469132354</v>
      </c>
      <c r="BR195" s="21">
        <f>EXP(-LN(2)/2)*BR194+(1-EXP(-LN(2)/2))/(LN(2)/2)*BL195*BO195*VLOOKUP('Données projet'!$B$11,Paramètres!$A$1:$I$89,3,0)*0.475*44/12</f>
        <v>1.4759292185904631E-4</v>
      </c>
      <c r="BS195" s="22">
        <f t="shared" si="169"/>
        <v>69.261833747005682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-2.7489477361086758E-13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510.71380643466227</v>
      </c>
      <c r="CE195" s="59">
        <f t="shared" si="148"/>
        <v>252.40654099948841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67.410843610309271</v>
      </c>
      <c r="CL195" s="21">
        <f>EXP(-LN(2)/25)*CL194+(1-EXP(-LN(2)/25))/(LN(2)/25)*Calculateur!CG195*Calculateur!CI195*VLOOKUP('Données projet'!$B$12,Paramètres!$A$1:$I$89,3,0)*0.475*44/12</f>
        <v>59.881525808334978</v>
      </c>
      <c r="CM195" s="21">
        <f>EXP(-LN(2)/2)*CM194+(1-EXP(-LN(2)/2))/(LN(2)/2)*CG195*CJ195*VLOOKUP('Données projet'!$B$12,Paramètres!$A$1:$I$89,3,0)*0.475*44/12</f>
        <v>29.583269558705172</v>
      </c>
      <c r="CN195" s="22">
        <f t="shared" si="172"/>
        <v>156.87563897734944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2.5579538487363607E-13</v>
      </c>
      <c r="CU195" s="17">
        <f>CT195*VLOOKUP('Données projet'!$B$13,Paramètres!$A$1:$I$89,3,0)*VLOOKUP('Données projet'!$B$13,Paramètres!$A$1:$I$89,5,0)</f>
        <v>2.7533815227798186E-13</v>
      </c>
      <c r="CV195" s="13">
        <f t="shared" si="173"/>
        <v>3.6763598146902537E-12</v>
      </c>
      <c r="CW195" s="20">
        <f t="shared" si="174"/>
        <v>6.88254062580301E-12</v>
      </c>
      <c r="CX195" s="59">
        <f t="shared" si="122"/>
        <v>293.33333333334019</v>
      </c>
      <c r="CY195" s="59">
        <f ca="1">AVERAGE(OFFSET($CX$3,0,0,'Données projet'!$E$13+1,1))-AVERAGE(OFFSET($H$3,0,0,'Données projet'!$E$13+1,1))</f>
        <v>502.65044103360322</v>
      </c>
      <c r="CZ195" s="59">
        <f t="shared" si="150"/>
        <v>321.65762891855167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39.365705918557246</v>
      </c>
      <c r="DG195" s="21">
        <f>EXP(-LN(2)/25)*DG194+(1-EXP(-LN(2)/25))/(LN(2)/25)*Calculateur!DB195*Calculateur!DD195*VLOOKUP('Données projet'!$B$13,Paramètres!$A$1:$I$89,3,0)*0.475*44/12</f>
        <v>5.0198666631118067</v>
      </c>
      <c r="DH195" s="21">
        <f>EXP(-LN(2)/2)*DH194+(1-EXP(-LN(2)/2))/(LN(2)/2)*DB195*DE195*VLOOKUP('Données projet'!$B$13,Paramètres!$A$1:$I$89,3,0)*0.475*44/12</f>
        <v>3.7721589863810114E-9</v>
      </c>
      <c r="DI195" s="22">
        <f t="shared" si="175"/>
        <v>44.38557258544121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-25.899999999999977</v>
      </c>
      <c r="DP195" s="17">
        <f>DO195*VLOOKUP('Données projet'!$B$14,Paramètres!$A$1:$I$89,3,0)*VLOOKUP('Données projet'!$B$14,Paramètres!$A$1:$I$89,5,0)</f>
        <v>-13.171703999999989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63.94726564348116</v>
      </c>
      <c r="DU195" s="59">
        <f t="shared" si="152"/>
        <v>280.8165028422905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2.0626020555738482</v>
      </c>
      <c r="EB195" s="21">
        <f>EXP(-LN(2)/25)*EB194+(1-EXP(-LN(2)/25))/(LN(2)/25)*Calculateur!DW195*Calculateur!DY195*VLOOKUP('Données projet'!$B$14,Paramètres!$A$1:$I$89,3,0)*0.475*44/12</f>
        <v>7.2795362650242598E-2</v>
      </c>
      <c r="EC195" s="21">
        <f>EXP(-LN(2)/2)*EC194+(1-EXP(-LN(2)/2))/(LN(2)/2)*DW195*DZ195*VLOOKUP('Données projet'!$B$14,Paramètres!$A$1:$I$89,3,0)*0.475*44/12</f>
        <v>4.0187581438432176E-26</v>
      </c>
      <c r="ED195" s="22">
        <f t="shared" si="178"/>
        <v>2.1353974182240907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-5.9685589803848416E-13</v>
      </c>
      <c r="O196" s="13">
        <f>N196*VLOOKUP('Données projet'!$B$9,Paramètres!$A$1:$I$89,3,0)*VLOOKUP('Données projet'!$B$9,Paramètres!$A$1:$I$89,5,0)</f>
        <v>-3.4140157367801295E-13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294.9631697747962</v>
      </c>
      <c r="T196" s="59">
        <f t="shared" si="142"/>
        <v>202.04924881627716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17.696707079936857</v>
      </c>
      <c r="AA196" s="21">
        <f>EXP(-LN(2)/25)*AA195+(1-EXP(-LN(2)/25))/(LN(2)/25)*Calculateur!V196*Calculateur!X196*VLOOKUP('Données projet'!$B$9,Paramètres!$A$1:$I$89,3,0)*0.475*44/12</f>
        <v>2.7877612065456785</v>
      </c>
      <c r="AB196" s="21">
        <f>EXP(-LN(2)/2)*AB195+(1-EXP(-LN(2)/2))/(LN(2)/2)*V196*Y196*VLOOKUP('Données projet'!$B$9,Paramètres!$A$1:$I$89,3,0)*0.475*44/12</f>
        <v>8.8219338332305864E-13</v>
      </c>
      <c r="AC196" s="22">
        <f t="shared" si="163"/>
        <v>20.484468286483416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349.71285006949597</v>
      </c>
      <c r="AO196" s="59">
        <f t="shared" si="144"/>
        <v>258.51550516456842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16.351332366172667</v>
      </c>
      <c r="AV196" s="21">
        <f>EXP(-LN(2)/25)*AV195+(1-EXP(-LN(2)/25))/(LN(2)/25)*Calculateur!AQ196*Calculateur!AS196*VLOOKUP('Données projet'!$B$10,Paramètres!$A$1:$I$89,3,0)*0.475*44/12</f>
        <v>2.2553167563064207</v>
      </c>
      <c r="AW196" s="21">
        <f>EXP(-LN(2)/2)*AW195+(1-EXP(-LN(2)/2))/(LN(2)/2)*AQ196*AT196*VLOOKUP('Données projet'!$B$10,Paramètres!$A$1:$I$89,3,0)*0.475*44/12</f>
        <v>6.9394792228507538E-16</v>
      </c>
      <c r="AX196" s="21">
        <f t="shared" si="166"/>
        <v>18.606649122479087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5.4001247917767614E-13</v>
      </c>
      <c r="BE196" s="13">
        <f>BD196*VLOOKUP('Données projet'!$B$11,Paramètres!$A$1:$I$89,3,0)*VLOOKUP('Données projet'!$B$11,Paramètres!$A$1:$I$89,5,0)</f>
        <v>4.8860329115996133E-13</v>
      </c>
      <c r="BF196" s="13">
        <f t="shared" si="167"/>
        <v>6.1025862939685007E-12</v>
      </c>
      <c r="BG196" s="20">
        <f t="shared" si="168"/>
        <v>1.1479655194098737E-11</v>
      </c>
      <c r="BH196" s="59">
        <f t="shared" ref="BH196:BH203" si="194">BG196+(AY196+AZ196)*44/12</f>
        <v>293.3333333333448</v>
      </c>
      <c r="BI196" s="59">
        <f ca="1">AVERAGE(OFFSET($BH$3,0,0,'Données projet'!$E$11+1,1))-AVERAGE(OFFSET($H$3,0,0,'Données projet'!$E$11+1,1))</f>
        <v>490.06222615476065</v>
      </c>
      <c r="BJ196" s="59">
        <f t="shared" si="146"/>
        <v>310.43914804089906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59.637019317517961</v>
      </c>
      <c r="BQ196" s="21">
        <f>EXP(-LN(2)/25)*BQ195+(1-EXP(-LN(2)/25))/(LN(2)/25)*Calculateur!BL196*Calculateur!BN196*VLOOKUP('Données projet'!$B$11,Paramètres!$A$1:$I$89,3,0)*0.475*44/12</f>
        <v>8.201261621543237</v>
      </c>
      <c r="BR196" s="21">
        <f>EXP(-LN(2)/2)*BR195+(1-EXP(-LN(2)/2))/(LN(2)/2)*BL196*BO196*VLOOKUP('Données projet'!$B$11,Paramètres!$A$1:$I$89,3,0)*0.475*44/12</f>
        <v>1.0436395590166787E-4</v>
      </c>
      <c r="BS196" s="22">
        <f t="shared" si="169"/>
        <v>67.838385303017091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-2.7489477361086758E-13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510.71380643466227</v>
      </c>
      <c r="CE196" s="59">
        <f t="shared" si="148"/>
        <v>252.40654099948841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66.088958083665787</v>
      </c>
      <c r="CL196" s="21">
        <f>EXP(-LN(2)/25)*CL195+(1-EXP(-LN(2)/25))/(LN(2)/25)*Calculateur!CG196*Calculateur!CI196*VLOOKUP('Données projet'!$B$12,Paramètres!$A$1:$I$89,3,0)*0.475*44/12</f>
        <v>58.244062336073476</v>
      </c>
      <c r="CM196" s="21">
        <f>EXP(-LN(2)/2)*CM195+(1-EXP(-LN(2)/2))/(LN(2)/2)*CG196*CJ196*VLOOKUP('Données projet'!$B$12,Paramètres!$A$1:$I$89,3,0)*0.475*44/12</f>
        <v>20.918530514629992</v>
      </c>
      <c r="CN196" s="22">
        <f t="shared" si="172"/>
        <v>145.25155093436925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2.5579538487363607E-13</v>
      </c>
      <c r="CU196" s="17">
        <f>CT196*VLOOKUP('Données projet'!$B$13,Paramètres!$A$1:$I$89,3,0)*VLOOKUP('Données projet'!$B$13,Paramètres!$A$1:$I$89,5,0)</f>
        <v>2.7533815227798186E-13</v>
      </c>
      <c r="CV196" s="13">
        <f t="shared" si="173"/>
        <v>3.6763598146902537E-12</v>
      </c>
      <c r="CW196" s="20">
        <f t="shared" si="174"/>
        <v>6.88254062580301E-12</v>
      </c>
      <c r="CX196" s="59">
        <f t="shared" ref="CX196:CX203" si="196">CW196+(CO196+CP196)*44/12</f>
        <v>293.33333333334019</v>
      </c>
      <c r="CY196" s="59">
        <f ca="1">AVERAGE(OFFSET($CX$3,0,0,'Données projet'!$E$13+1,1))-AVERAGE(OFFSET($H$3,0,0,'Données projet'!$E$13+1,1))</f>
        <v>502.65044103360322</v>
      </c>
      <c r="CZ196" s="59">
        <f t="shared" si="150"/>
        <v>321.65762891855167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38.593768436204087</v>
      </c>
      <c r="DG196" s="21">
        <f>EXP(-LN(2)/25)*DG195+(1-EXP(-LN(2)/25))/(LN(2)/25)*Calculateur!DB196*Calculateur!DD196*VLOOKUP('Données projet'!$B$13,Paramètres!$A$1:$I$89,3,0)*0.475*44/12</f>
        <v>4.8825981452256997</v>
      </c>
      <c r="DH196" s="21">
        <f>EXP(-LN(2)/2)*DH195+(1-EXP(-LN(2)/2))/(LN(2)/2)*DB196*DE196*VLOOKUP('Données projet'!$B$13,Paramètres!$A$1:$I$89,3,0)*0.475*44/12</f>
        <v>2.6673191989837867E-9</v>
      </c>
      <c r="DI196" s="22">
        <f t="shared" si="175"/>
        <v>43.476366584097107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-25.899999999999977</v>
      </c>
      <c r="DP196" s="17">
        <f>DO196*VLOOKUP('Données projet'!$B$14,Paramètres!$A$1:$I$89,3,0)*VLOOKUP('Données projet'!$B$14,Paramètres!$A$1:$I$89,5,0)</f>
        <v>-13.171703999999989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63.94726564348116</v>
      </c>
      <c r="DU196" s="59">
        <f t="shared" si="152"/>
        <v>280.8165028422905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2.0221556873270754</v>
      </c>
      <c r="EB196" s="21">
        <f>EXP(-LN(2)/25)*EB195+(1-EXP(-LN(2)/25))/(LN(2)/25)*Calculateur!DW196*Calculateur!DY196*VLOOKUP('Données projet'!$B$14,Paramètres!$A$1:$I$89,3,0)*0.475*44/12</f>
        <v>7.0804769630429962E-2</v>
      </c>
      <c r="EC196" s="21">
        <f>EXP(-LN(2)/2)*EC195+(1-EXP(-LN(2)/2))/(LN(2)/2)*DW196*DZ196*VLOOKUP('Données projet'!$B$14,Paramètres!$A$1:$I$89,3,0)*0.475*44/12</f>
        <v>2.8416911354602019E-26</v>
      </c>
      <c r="ED196" s="22">
        <f t="shared" si="178"/>
        <v>2.0929604569575053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-5.9685589803848416E-13</v>
      </c>
      <c r="O197" s="13">
        <f>N197*VLOOKUP('Données projet'!$B$9,Paramètres!$A$1:$I$89,3,0)*VLOOKUP('Données projet'!$B$9,Paramètres!$A$1:$I$89,5,0)</f>
        <v>-3.4140157367801295E-13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294.9631697747962</v>
      </c>
      <c r="T197" s="59">
        <f t="shared" ref="T197:T203" si="204">$T$3</f>
        <v>202.04924881627716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17.349685448024804</v>
      </c>
      <c r="AA197" s="21">
        <f>EXP(-LN(2)/25)*AA196+(1-EXP(-LN(2)/25))/(LN(2)/25)*Calculateur!V197*Calculateur!X197*VLOOKUP('Données projet'!$B$9,Paramètres!$A$1:$I$89,3,0)*0.475*44/12</f>
        <v>2.7115297297506964</v>
      </c>
      <c r="AB197" s="21">
        <f>EXP(-LN(2)/2)*AB196+(1-EXP(-LN(2)/2))/(LN(2)/2)*V197*Y197*VLOOKUP('Données projet'!$B$9,Paramètres!$A$1:$I$89,3,0)*0.475*44/12</f>
        <v>6.2380492366563806E-13</v>
      </c>
      <c r="AC197" s="22">
        <f t="shared" si="163"/>
        <v>20.061215177776127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349.71285006949597</v>
      </c>
      <c r="AO197" s="59">
        <f t="shared" ref="AO197:AO203" si="205">$AO$3</f>
        <v>258.51550516456842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16.030692711799979</v>
      </c>
      <c r="AV197" s="21">
        <f>EXP(-LN(2)/25)*AV196+(1-EXP(-LN(2)/25))/(LN(2)/25)*Calculateur!AQ197*Calculateur!AS197*VLOOKUP('Données projet'!$B$10,Paramètres!$A$1:$I$89,3,0)*0.475*44/12</f>
        <v>2.1936450010032682</v>
      </c>
      <c r="AW197" s="21">
        <f>EXP(-LN(2)/2)*AW196+(1-EXP(-LN(2)/2))/(LN(2)/2)*AQ197*AT197*VLOOKUP('Données projet'!$B$10,Paramètres!$A$1:$I$89,3,0)*0.475*44/12</f>
        <v>4.9069528163809208E-16</v>
      </c>
      <c r="AX197" s="21">
        <f t="shared" si="166"/>
        <v>18.224337712803248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5.4001247917767614E-13</v>
      </c>
      <c r="BE197" s="13">
        <f>BD197*VLOOKUP('Données projet'!$B$11,Paramètres!$A$1:$I$89,3,0)*VLOOKUP('Données projet'!$B$11,Paramètres!$A$1:$I$89,5,0)</f>
        <v>4.8860329115996133E-13</v>
      </c>
      <c r="BF197" s="13">
        <f t="shared" si="167"/>
        <v>6.1025862939685007E-12</v>
      </c>
      <c r="BG197" s="20">
        <f t="shared" si="168"/>
        <v>1.1479655194098737E-11</v>
      </c>
      <c r="BH197" s="59">
        <f t="shared" si="194"/>
        <v>293.3333333333448</v>
      </c>
      <c r="BI197" s="59">
        <f ca="1">AVERAGE(OFFSET($BH$3,0,0,'Données projet'!$E$11+1,1))-AVERAGE(OFFSET($H$3,0,0,'Données projet'!$E$11+1,1))</f>
        <v>490.06222615476065</v>
      </c>
      <c r="BJ197" s="59">
        <f t="shared" ref="BJ197:BJ203" si="206">$BJ$3</f>
        <v>310.43914804089906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58.467573743691489</v>
      </c>
      <c r="BQ197" s="21">
        <f>EXP(-LN(2)/25)*BQ196+(1-EXP(-LN(2)/25))/(LN(2)/25)*Calculateur!BL197*Calculateur!BN197*VLOOKUP('Données projet'!$B$11,Paramètres!$A$1:$I$89,3,0)*0.475*44/12</f>
        <v>7.9769976912165328</v>
      </c>
      <c r="BR197" s="21">
        <f>EXP(-LN(2)/2)*BR196+(1-EXP(-LN(2)/2))/(LN(2)/2)*BL197*BO197*VLOOKUP('Données projet'!$B$11,Paramètres!$A$1:$I$89,3,0)*0.475*44/12</f>
        <v>7.3796460929523156E-5</v>
      </c>
      <c r="BS197" s="22">
        <f t="shared" si="169"/>
        <v>66.444645231368952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-2.7489477361086758E-13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510.71380643466227</v>
      </c>
      <c r="CE197" s="59">
        <f t="shared" ref="CE197:CE203" si="207">$CE$3</f>
        <v>252.40654099948841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64.792993925929224</v>
      </c>
      <c r="CL197" s="21">
        <f>EXP(-LN(2)/25)*CL196+(1-EXP(-LN(2)/25))/(LN(2)/25)*Calculateur!CG197*Calculateur!CI197*VLOOKUP('Données projet'!$B$12,Paramètres!$A$1:$I$89,3,0)*0.475*44/12</f>
        <v>56.651375388571431</v>
      </c>
      <c r="CM197" s="21">
        <f>EXP(-LN(2)/2)*CM196+(1-EXP(-LN(2)/2))/(LN(2)/2)*CG197*CJ197*VLOOKUP('Données projet'!$B$12,Paramètres!$A$1:$I$89,3,0)*0.475*44/12</f>
        <v>14.791634779352588</v>
      </c>
      <c r="CN197" s="22">
        <f t="shared" si="172"/>
        <v>136.23600409385324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2.5579538487363607E-13</v>
      </c>
      <c r="CU197" s="17">
        <f>CT197*VLOOKUP('Données projet'!$B$13,Paramètres!$A$1:$I$89,3,0)*VLOOKUP('Données projet'!$B$13,Paramètres!$A$1:$I$89,5,0)</f>
        <v>2.7533815227798186E-13</v>
      </c>
      <c r="CV197" s="13">
        <f t="shared" si="173"/>
        <v>3.6763598146902537E-12</v>
      </c>
      <c r="CW197" s="20">
        <f t="shared" si="174"/>
        <v>6.88254062580301E-12</v>
      </c>
      <c r="CX197" s="59">
        <f t="shared" si="196"/>
        <v>293.33333333334019</v>
      </c>
      <c r="CY197" s="59">
        <f ca="1">AVERAGE(OFFSET($CX$3,0,0,'Données projet'!$E$13+1,1))-AVERAGE(OFFSET($H$3,0,0,'Données projet'!$E$13+1,1))</f>
        <v>502.65044103360322</v>
      </c>
      <c r="CZ197" s="59">
        <f t="shared" ref="CZ197:CZ203" si="208">$CZ$3</f>
        <v>321.65762891855167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37.836968177044504</v>
      </c>
      <c r="DG197" s="21">
        <f>EXP(-LN(2)/25)*DG196+(1-EXP(-LN(2)/25))/(LN(2)/25)*Calculateur!DB197*Calculateur!DD197*VLOOKUP('Données projet'!$B$13,Paramètres!$A$1:$I$89,3,0)*0.475*44/12</f>
        <v>4.7490832421798261</v>
      </c>
      <c r="DH197" s="21">
        <f>EXP(-LN(2)/2)*DH196+(1-EXP(-LN(2)/2))/(LN(2)/2)*DB197*DE197*VLOOKUP('Données projet'!$B$13,Paramètres!$A$1:$I$89,3,0)*0.475*44/12</f>
        <v>1.8860794931905057E-9</v>
      </c>
      <c r="DI197" s="22">
        <f t="shared" si="175"/>
        <v>42.586051421110412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-25.899999999999977</v>
      </c>
      <c r="DP197" s="17">
        <f>DO197*VLOOKUP('Données projet'!$B$14,Paramètres!$A$1:$I$89,3,0)*VLOOKUP('Données projet'!$B$14,Paramètres!$A$1:$I$89,5,0)</f>
        <v>-13.171703999999989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63.94726564348116</v>
      </c>
      <c r="DU197" s="59">
        <f t="shared" ref="DU197:DU203" si="209">$DU$3</f>
        <v>280.8165028422905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1.9825024476917732</v>
      </c>
      <c r="EB197" s="21">
        <f>EXP(-LN(2)/25)*EB196+(1-EXP(-LN(2)/25))/(LN(2)/25)*Calculateur!DW197*Calculateur!DY197*VLOOKUP('Données projet'!$B$14,Paramètres!$A$1:$I$89,3,0)*0.475*44/12</f>
        <v>6.8868609481424842E-2</v>
      </c>
      <c r="EC197" s="21">
        <f>EXP(-LN(2)/2)*EC196+(1-EXP(-LN(2)/2))/(LN(2)/2)*DW197*DZ197*VLOOKUP('Données projet'!$B$14,Paramètres!$A$1:$I$89,3,0)*0.475*44/12</f>
        <v>2.0093790719216088E-26</v>
      </c>
      <c r="ED197" s="22">
        <f t="shared" si="178"/>
        <v>2.0513710571731982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-5.9685589803848416E-13</v>
      </c>
      <c r="O198" s="13">
        <f>N198*VLOOKUP('Données projet'!$B$9,Paramètres!$A$1:$I$89,3,0)*VLOOKUP('Données projet'!$B$9,Paramètres!$A$1:$I$89,5,0)</f>
        <v>-3.4140157367801295E-13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294.9631697747962</v>
      </c>
      <c r="T198" s="59">
        <f t="shared" si="204"/>
        <v>202.04924881627716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17.009468698652249</v>
      </c>
      <c r="AA198" s="21">
        <f>EXP(-LN(2)/25)*AA197+(1-EXP(-LN(2)/25))/(LN(2)/25)*Calculateur!V198*Calculateur!X198*VLOOKUP('Données projet'!$B$9,Paramètres!$A$1:$I$89,3,0)*0.475*44/12</f>
        <v>2.6373828066975125</v>
      </c>
      <c r="AB198" s="21">
        <f>EXP(-LN(2)/2)*AB197+(1-EXP(-LN(2)/2))/(LN(2)/2)*V198*Y198*VLOOKUP('Données projet'!$B$9,Paramètres!$A$1:$I$89,3,0)*0.475*44/12</f>
        <v>4.4109669166152932E-13</v>
      </c>
      <c r="AC198" s="22">
        <f t="shared" si="163"/>
        <v>19.646851505350202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349.71285006949597</v>
      </c>
      <c r="AO198" s="59">
        <f t="shared" si="205"/>
        <v>258.51550516456842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15.716340605478662</v>
      </c>
      <c r="AV198" s="21">
        <f>EXP(-LN(2)/25)*AV197+(1-EXP(-LN(2)/25))/(LN(2)/25)*Calculateur!AQ198*Calculateur!AS198*VLOOKUP('Données projet'!$B$10,Paramètres!$A$1:$I$89,3,0)*0.475*44/12</f>
        <v>2.133659663092057</v>
      </c>
      <c r="AW198" s="21">
        <f>EXP(-LN(2)/2)*AW197+(1-EXP(-LN(2)/2))/(LN(2)/2)*AQ198*AT198*VLOOKUP('Données projet'!$B$10,Paramètres!$A$1:$I$89,3,0)*0.475*44/12</f>
        <v>3.4697396114253769E-16</v>
      </c>
      <c r="AX198" s="21">
        <f t="shared" si="166"/>
        <v>17.850000268570717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5.4001247917767614E-13</v>
      </c>
      <c r="BE198" s="13">
        <f>BD198*VLOOKUP('Données projet'!$B$11,Paramètres!$A$1:$I$89,3,0)*VLOOKUP('Données projet'!$B$11,Paramètres!$A$1:$I$89,5,0)</f>
        <v>4.8860329115996133E-13</v>
      </c>
      <c r="BF198" s="13">
        <f t="shared" si="167"/>
        <v>6.1025862939685007E-12</v>
      </c>
      <c r="BG198" s="20">
        <f t="shared" si="168"/>
        <v>1.1479655194098737E-11</v>
      </c>
      <c r="BH198" s="59">
        <f t="shared" si="194"/>
        <v>293.3333333333448</v>
      </c>
      <c r="BI198" s="59">
        <f ca="1">AVERAGE(OFFSET($BH$3,0,0,'Données projet'!$E$11+1,1))-AVERAGE(OFFSET($H$3,0,0,'Données projet'!$E$11+1,1))</f>
        <v>490.06222615476065</v>
      </c>
      <c r="BJ198" s="59">
        <f t="shared" si="206"/>
        <v>310.43914804089906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57.321060284276385</v>
      </c>
      <c r="BQ198" s="21">
        <f>EXP(-LN(2)/25)*BQ197+(1-EXP(-LN(2)/25))/(LN(2)/25)*Calculateur!BL198*Calculateur!BN198*VLOOKUP('Données projet'!$B$11,Paramètres!$A$1:$I$89,3,0)*0.475*44/12</f>
        <v>7.7588662698581397</v>
      </c>
      <c r="BR198" s="21">
        <f>EXP(-LN(2)/2)*BR197+(1-EXP(-LN(2)/2))/(LN(2)/2)*BL198*BO198*VLOOKUP('Données projet'!$B$11,Paramètres!$A$1:$I$89,3,0)*0.475*44/12</f>
        <v>5.2181977950833935E-5</v>
      </c>
      <c r="BS198" s="22">
        <f t="shared" si="169"/>
        <v>65.07997873611248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-2.7489477361086758E-13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510.71380643466227</v>
      </c>
      <c r="CE198" s="59">
        <f t="shared" si="207"/>
        <v>252.40654099948841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63.522442834865785</v>
      </c>
      <c r="CL198" s="21">
        <f>EXP(-LN(2)/25)*CL197+(1-EXP(-LN(2)/25))/(LN(2)/25)*Calculateur!CG198*Calculateur!CI198*VLOOKUP('Données projet'!$B$12,Paramètres!$A$1:$I$89,3,0)*0.475*44/12</f>
        <v>55.102240549404591</v>
      </c>
      <c r="CM198" s="21">
        <f>EXP(-LN(2)/2)*CM197+(1-EXP(-LN(2)/2))/(LN(2)/2)*CG198*CJ198*VLOOKUP('Données projet'!$B$12,Paramètres!$A$1:$I$89,3,0)*0.475*44/12</f>
        <v>10.459265257314998</v>
      </c>
      <c r="CN198" s="22">
        <f t="shared" si="172"/>
        <v>129.08394864158538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2.5579538487363607E-13</v>
      </c>
      <c r="CU198" s="17">
        <f>CT198*VLOOKUP('Données projet'!$B$13,Paramètres!$A$1:$I$89,3,0)*VLOOKUP('Données projet'!$B$13,Paramètres!$A$1:$I$89,5,0)</f>
        <v>2.7533815227798186E-13</v>
      </c>
      <c r="CV198" s="13">
        <f t="shared" si="173"/>
        <v>3.6763598146902537E-12</v>
      </c>
      <c r="CW198" s="20">
        <f t="shared" si="174"/>
        <v>6.88254062580301E-12</v>
      </c>
      <c r="CX198" s="59">
        <f t="shared" si="196"/>
        <v>293.33333333334019</v>
      </c>
      <c r="CY198" s="59">
        <f ca="1">AVERAGE(OFFSET($CX$3,0,0,'Données projet'!$E$13+1,1))-AVERAGE(OFFSET($H$3,0,0,'Données projet'!$E$13+1,1))</f>
        <v>502.65044103360322</v>
      </c>
      <c r="CZ198" s="59">
        <f t="shared" si="208"/>
        <v>321.65762891855167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37.095008309364459</v>
      </c>
      <c r="DG198" s="21">
        <f>EXP(-LN(2)/25)*DG197+(1-EXP(-LN(2)/25))/(LN(2)/25)*Calculateur!DB198*Calculateur!DD198*VLOOKUP('Données projet'!$B$13,Paramètres!$A$1:$I$89,3,0)*0.475*44/12</f>
        <v>4.619219311178985</v>
      </c>
      <c r="DH198" s="21">
        <f>EXP(-LN(2)/2)*DH197+(1-EXP(-LN(2)/2))/(LN(2)/2)*DB198*DE198*VLOOKUP('Données projet'!$B$13,Paramètres!$A$1:$I$89,3,0)*0.475*44/12</f>
        <v>1.3336595994918933E-9</v>
      </c>
      <c r="DI198" s="22">
        <f t="shared" si="175"/>
        <v>41.714227621877107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-25.899999999999977</v>
      </c>
      <c r="DP198" s="17">
        <f>DO198*VLOOKUP('Données projet'!$B$14,Paramètres!$A$1:$I$89,3,0)*VLOOKUP('Données projet'!$B$14,Paramètres!$A$1:$I$89,5,0)</f>
        <v>-13.171703999999989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63.94726564348116</v>
      </c>
      <c r="DU198" s="59">
        <f t="shared" si="209"/>
        <v>280.8165028422905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1.9436267838996313</v>
      </c>
      <c r="EB198" s="21">
        <f>EXP(-LN(2)/25)*EB197+(1-EXP(-LN(2)/25))/(LN(2)/25)*Calculateur!DW198*Calculateur!DY198*VLOOKUP('Données projet'!$B$14,Paramètres!$A$1:$I$89,3,0)*0.475*44/12</f>
        <v>6.6985393733512505E-2</v>
      </c>
      <c r="EC198" s="21">
        <f>EXP(-LN(2)/2)*EC197+(1-EXP(-LN(2)/2))/(LN(2)/2)*DW198*DZ198*VLOOKUP('Données projet'!$B$14,Paramètres!$A$1:$I$89,3,0)*0.475*44/12</f>
        <v>1.420845567730101E-26</v>
      </c>
      <c r="ED198" s="22">
        <f t="shared" si="178"/>
        <v>2.0106121776331438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-5.9685589803848416E-13</v>
      </c>
      <c r="O199" s="13">
        <f>N199*VLOOKUP('Données projet'!$B$9,Paramètres!$A$1:$I$89,3,0)*VLOOKUP('Données projet'!$B$9,Paramètres!$A$1:$I$89,5,0)</f>
        <v>-3.4140157367801295E-13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294.9631697747962</v>
      </c>
      <c r="T199" s="59">
        <f t="shared" si="204"/>
        <v>202.04924881627716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16.675923392223162</v>
      </c>
      <c r="AA199" s="21">
        <f>EXP(-LN(2)/25)*AA198+(1-EXP(-LN(2)/25))/(LN(2)/25)*Calculateur!V199*Calculateur!X199*VLOOKUP('Données projet'!$B$9,Paramètres!$A$1:$I$89,3,0)*0.475*44/12</f>
        <v>2.565263435154435</v>
      </c>
      <c r="AB199" s="21">
        <f>EXP(-LN(2)/2)*AB198+(1-EXP(-LN(2)/2))/(LN(2)/2)*V199*Y199*VLOOKUP('Données projet'!$B$9,Paramètres!$A$1:$I$89,3,0)*0.475*44/12</f>
        <v>3.1190246183281903E-13</v>
      </c>
      <c r="AC199" s="22">
        <f t="shared" si="163"/>
        <v>19.241186827377909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349.71285006949597</v>
      </c>
      <c r="AO199" s="59">
        <f t="shared" si="205"/>
        <v>258.51550516456842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15.408152752226453</v>
      </c>
      <c r="AV199" s="21">
        <f>EXP(-LN(2)/25)*AV198+(1-EXP(-LN(2)/25))/(LN(2)/25)*Calculateur!AQ199*Calculateur!AS199*VLOOKUP('Données projet'!$B$10,Paramètres!$A$1:$I$89,3,0)*0.475*44/12</f>
        <v>2.0753146274005196</v>
      </c>
      <c r="AW199" s="21">
        <f>EXP(-LN(2)/2)*AW198+(1-EXP(-LN(2)/2))/(LN(2)/2)*AQ199*AT199*VLOOKUP('Données projet'!$B$10,Paramètres!$A$1:$I$89,3,0)*0.475*44/12</f>
        <v>2.4534764081904604E-16</v>
      </c>
      <c r="AX199" s="21">
        <f t="shared" si="166"/>
        <v>17.483467379626973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5.4001247917767614E-13</v>
      </c>
      <c r="BE199" s="13">
        <f>BD199*VLOOKUP('Données projet'!$B$11,Paramètres!$A$1:$I$89,3,0)*VLOOKUP('Données projet'!$B$11,Paramètres!$A$1:$I$89,5,0)</f>
        <v>4.8860329115996133E-13</v>
      </c>
      <c r="BF199" s="13">
        <f t="shared" si="167"/>
        <v>6.1025862939685007E-12</v>
      </c>
      <c r="BG199" s="20">
        <f t="shared" si="168"/>
        <v>1.1479655194098737E-11</v>
      </c>
      <c r="BH199" s="59">
        <f t="shared" si="194"/>
        <v>293.3333333333448</v>
      </c>
      <c r="BI199" s="59">
        <f ca="1">AVERAGE(OFFSET($BH$3,0,0,'Données projet'!$E$11+1,1))-AVERAGE(OFFSET($H$3,0,0,'Données projet'!$E$11+1,1))</f>
        <v>490.06222615476065</v>
      </c>
      <c r="BJ199" s="59">
        <f t="shared" si="206"/>
        <v>310.43914804089906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56.19702925449625</v>
      </c>
      <c r="BQ199" s="21">
        <f>EXP(-LN(2)/25)*BQ198+(1-EXP(-LN(2)/25))/(LN(2)/25)*Calculateur!BL199*Calculateur!BN199*VLOOKUP('Données projet'!$B$11,Paramètres!$A$1:$I$89,3,0)*0.475*44/12</f>
        <v>7.546699663687825</v>
      </c>
      <c r="BR199" s="21">
        <f>EXP(-LN(2)/2)*BR198+(1-EXP(-LN(2)/2))/(LN(2)/2)*BL199*BO199*VLOOKUP('Données projet'!$B$11,Paramètres!$A$1:$I$89,3,0)*0.475*44/12</f>
        <v>3.6898230464761578E-5</v>
      </c>
      <c r="BS199" s="22">
        <f t="shared" si="169"/>
        <v>63.743765816414538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-2.7489477361086758E-13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510.71380643466227</v>
      </c>
      <c r="CE199" s="59">
        <f t="shared" si="207"/>
        <v>252.40654099948841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62.276806475738461</v>
      </c>
      <c r="CL199" s="21">
        <f>EXP(-LN(2)/25)*CL198+(1-EXP(-LN(2)/25))/(LN(2)/25)*Calculateur!CG199*Calculateur!CI199*VLOOKUP('Données projet'!$B$12,Paramètres!$A$1:$I$89,3,0)*0.475*44/12</f>
        <v>53.595466883880228</v>
      </c>
      <c r="CM199" s="21">
        <f>EXP(-LN(2)/2)*CM198+(1-EXP(-LN(2)/2))/(LN(2)/2)*CG199*CJ199*VLOOKUP('Données projet'!$B$12,Paramètres!$A$1:$I$89,3,0)*0.475*44/12</f>
        <v>7.3958173896762958</v>
      </c>
      <c r="CN199" s="22">
        <f t="shared" si="172"/>
        <v>123.26809074929498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2.5579538487363607E-13</v>
      </c>
      <c r="CU199" s="17">
        <f>CT199*VLOOKUP('Données projet'!$B$13,Paramètres!$A$1:$I$89,3,0)*VLOOKUP('Données projet'!$B$13,Paramètres!$A$1:$I$89,5,0)</f>
        <v>2.7533815227798186E-13</v>
      </c>
      <c r="CV199" s="13">
        <f t="shared" si="173"/>
        <v>3.6763598146902537E-12</v>
      </c>
      <c r="CW199" s="20">
        <f t="shared" si="174"/>
        <v>6.88254062580301E-12</v>
      </c>
      <c r="CX199" s="59">
        <f t="shared" si="196"/>
        <v>293.33333333334019</v>
      </c>
      <c r="CY199" s="59">
        <f ca="1">AVERAGE(OFFSET($CX$3,0,0,'Données projet'!$E$13+1,1))-AVERAGE(OFFSET($H$3,0,0,'Données projet'!$E$13+1,1))</f>
        <v>502.65044103360322</v>
      </c>
      <c r="CZ199" s="59">
        <f t="shared" si="208"/>
        <v>321.65762891855167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36.367597822138784</v>
      </c>
      <c r="DG199" s="21">
        <f>EXP(-LN(2)/25)*DG198+(1-EXP(-LN(2)/25))/(LN(2)/25)*Calculateur!DB199*Calculateur!DD199*VLOOKUP('Données projet'!$B$13,Paramètres!$A$1:$I$89,3,0)*0.475*44/12</f>
        <v>4.4929065162006099</v>
      </c>
      <c r="DH199" s="21">
        <f>EXP(-LN(2)/2)*DH198+(1-EXP(-LN(2)/2))/(LN(2)/2)*DB199*DE199*VLOOKUP('Données projet'!$B$13,Paramètres!$A$1:$I$89,3,0)*0.475*44/12</f>
        <v>9.4303974659525285E-10</v>
      </c>
      <c r="DI199" s="22">
        <f t="shared" si="175"/>
        <v>40.860504339282436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-25.899999999999977</v>
      </c>
      <c r="DP199" s="17">
        <f>DO199*VLOOKUP('Données projet'!$B$14,Paramètres!$A$1:$I$89,3,0)*VLOOKUP('Données projet'!$B$14,Paramètres!$A$1:$I$89,5,0)</f>
        <v>-13.171703999999989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63.94726564348116</v>
      </c>
      <c r="DU199" s="59">
        <f t="shared" si="209"/>
        <v>280.8165028422905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1.9055134481626397</v>
      </c>
      <c r="EB199" s="21">
        <f>EXP(-LN(2)/25)*EB198+(1-EXP(-LN(2)/25))/(LN(2)/25)*Calculateur!DW199*Calculateur!DY199*VLOOKUP('Données projet'!$B$14,Paramètres!$A$1:$I$89,3,0)*0.475*44/12</f>
        <v>6.5153674619260846E-2</v>
      </c>
      <c r="EC199" s="21">
        <f>EXP(-LN(2)/2)*EC198+(1-EXP(-LN(2)/2))/(LN(2)/2)*DW199*DZ199*VLOOKUP('Données projet'!$B$14,Paramètres!$A$1:$I$89,3,0)*0.475*44/12</f>
        <v>1.0046895359608044E-26</v>
      </c>
      <c r="ED199" s="22">
        <f t="shared" si="178"/>
        <v>1.9706671227819006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-5.9685589803848416E-13</v>
      </c>
      <c r="O200" s="13">
        <f>N200*VLOOKUP('Données projet'!$B$9,Paramètres!$A$1:$I$89,3,0)*VLOOKUP('Données projet'!$B$9,Paramètres!$A$1:$I$89,5,0)</f>
        <v>-3.4140157367801295E-13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294.9631697747962</v>
      </c>
      <c r="T200" s="59">
        <f t="shared" si="204"/>
        <v>202.04924881627716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16.3489187058106</v>
      </c>
      <c r="AA200" s="21">
        <f>EXP(-LN(2)/25)*AA199+(1-EXP(-LN(2)/25))/(LN(2)/25)*Calculateur!V200*Calculateur!X200*VLOOKUP('Données projet'!$B$9,Paramètres!$A$1:$I$89,3,0)*0.475*44/12</f>
        <v>2.495116171618796</v>
      </c>
      <c r="AB200" s="21">
        <f>EXP(-LN(2)/2)*AB199+(1-EXP(-LN(2)/2))/(LN(2)/2)*V200*Y200*VLOOKUP('Données projet'!$B$9,Paramètres!$A$1:$I$89,3,0)*0.475*44/12</f>
        <v>2.2054834583076466E-13</v>
      </c>
      <c r="AC200" s="22">
        <f t="shared" si="163"/>
        <v>18.844034877429618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349.71285006949597</v>
      </c>
      <c r="AO200" s="59">
        <f t="shared" si="205"/>
        <v>258.51550516456842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15.106008274800491</v>
      </c>
      <c r="AV200" s="21">
        <f>EXP(-LN(2)/25)*AV199+(1-EXP(-LN(2)/25))/(LN(2)/25)*Calculateur!AQ200*Calculateur!AS200*VLOOKUP('Données projet'!$B$10,Paramètres!$A$1:$I$89,3,0)*0.475*44/12</f>
        <v>2.0185650397781996</v>
      </c>
      <c r="AW200" s="21">
        <f>EXP(-LN(2)/2)*AW199+(1-EXP(-LN(2)/2))/(LN(2)/2)*AQ200*AT200*VLOOKUP('Données projet'!$B$10,Paramètres!$A$1:$I$89,3,0)*0.475*44/12</f>
        <v>1.7348698057126885E-16</v>
      </c>
      <c r="AX200" s="21">
        <f t="shared" si="166"/>
        <v>17.12457331457869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5.4001247917767614E-13</v>
      </c>
      <c r="BE200" s="13">
        <f>BD200*VLOOKUP('Données projet'!$B$11,Paramètres!$A$1:$I$89,3,0)*VLOOKUP('Données projet'!$B$11,Paramètres!$A$1:$I$89,5,0)</f>
        <v>4.8860329115996133E-13</v>
      </c>
      <c r="BF200" s="13">
        <f t="shared" si="167"/>
        <v>6.1025862939685007E-12</v>
      </c>
      <c r="BG200" s="20">
        <f t="shared" si="168"/>
        <v>1.1479655194098737E-11</v>
      </c>
      <c r="BH200" s="59">
        <f t="shared" si="194"/>
        <v>293.3333333333448</v>
      </c>
      <c r="BI200" s="59">
        <f ca="1">AVERAGE(OFFSET($BH$3,0,0,'Données projet'!$E$11+1,1))-AVERAGE(OFFSET($H$3,0,0,'Données projet'!$E$11+1,1))</f>
        <v>490.06222615476065</v>
      </c>
      <c r="BJ200" s="59">
        <f t="shared" si="206"/>
        <v>310.43914804089906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55.095039787618873</v>
      </c>
      <c r="BQ200" s="21">
        <f>EXP(-LN(2)/25)*BQ199+(1-EXP(-LN(2)/25))/(LN(2)/25)*Calculateur!BL200*Calculateur!BN200*VLOOKUP('Données projet'!$B$11,Paramètres!$A$1:$I$89,3,0)*0.475*44/12</f>
        <v>7.3403347645205939</v>
      </c>
      <c r="BR200" s="21">
        <f>EXP(-LN(2)/2)*BR199+(1-EXP(-LN(2)/2))/(LN(2)/2)*BL200*BO200*VLOOKUP('Données projet'!$B$11,Paramètres!$A$1:$I$89,3,0)*0.475*44/12</f>
        <v>2.6090988975416967E-5</v>
      </c>
      <c r="BS200" s="22">
        <f t="shared" si="169"/>
        <v>62.435400643128439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-2.7489477361086758E-13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510.71380643466227</v>
      </c>
      <c r="CE200" s="59">
        <f t="shared" si="207"/>
        <v>252.40654099948841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61.055596285850463</v>
      </c>
      <c r="CL200" s="21">
        <f>EXP(-LN(2)/25)*CL199+(1-EXP(-LN(2)/25))/(LN(2)/25)*Calculateur!CG200*Calculateur!CI200*VLOOKUP('Données projet'!$B$12,Paramètres!$A$1:$I$89,3,0)*0.475*44/12</f>
        <v>52.129896023477414</v>
      </c>
      <c r="CM200" s="21">
        <f>EXP(-LN(2)/2)*CM199+(1-EXP(-LN(2)/2))/(LN(2)/2)*CG200*CJ200*VLOOKUP('Données projet'!$B$12,Paramètres!$A$1:$I$89,3,0)*0.475*44/12</f>
        <v>5.2296326286574999</v>
      </c>
      <c r="CN200" s="22">
        <f t="shared" si="172"/>
        <v>118.41512493798538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2.5579538487363607E-13</v>
      </c>
      <c r="CU200" s="17">
        <f>CT200*VLOOKUP('Données projet'!$B$13,Paramètres!$A$1:$I$89,3,0)*VLOOKUP('Données projet'!$B$13,Paramètres!$A$1:$I$89,5,0)</f>
        <v>2.7533815227798186E-13</v>
      </c>
      <c r="CV200" s="13">
        <f t="shared" si="173"/>
        <v>3.6763598146902537E-12</v>
      </c>
      <c r="CW200" s="20">
        <f t="shared" si="174"/>
        <v>6.88254062580301E-12</v>
      </c>
      <c r="CX200" s="59">
        <f t="shared" si="196"/>
        <v>293.33333333334019</v>
      </c>
      <c r="CY200" s="59">
        <f ca="1">AVERAGE(OFFSET($CX$3,0,0,'Données projet'!$E$13+1,1))-AVERAGE(OFFSET($H$3,0,0,'Données projet'!$E$13+1,1))</f>
        <v>502.65044103360322</v>
      </c>
      <c r="CZ200" s="59">
        <f t="shared" si="208"/>
        <v>321.65762891855167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35.654451410891021</v>
      </c>
      <c r="DG200" s="21">
        <f>EXP(-LN(2)/25)*DG199+(1-EXP(-LN(2)/25))/(LN(2)/25)*Calculateur!DB200*Calculateur!DD200*VLOOKUP('Données projet'!$B$13,Paramètres!$A$1:$I$89,3,0)*0.475*44/12</f>
        <v>4.370047751243419</v>
      </c>
      <c r="DH200" s="21">
        <f>EXP(-LN(2)/2)*DH199+(1-EXP(-LN(2)/2))/(LN(2)/2)*DB200*DE200*VLOOKUP('Données projet'!$B$13,Paramètres!$A$1:$I$89,3,0)*0.475*44/12</f>
        <v>6.6682979974594667E-10</v>
      </c>
      <c r="DI200" s="22">
        <f t="shared" si="175"/>
        <v>40.02449916280127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-25.899999999999977</v>
      </c>
      <c r="DP200" s="17">
        <f>DO200*VLOOKUP('Données projet'!$B$14,Paramètres!$A$1:$I$89,3,0)*VLOOKUP('Données projet'!$B$14,Paramètres!$A$1:$I$89,5,0)</f>
        <v>-13.171703999999989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63.94726564348116</v>
      </c>
      <c r="DU200" s="59">
        <f t="shared" si="209"/>
        <v>280.8165028422905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1.8681474916926113</v>
      </c>
      <c r="EB200" s="21">
        <f>EXP(-LN(2)/25)*EB199+(1-EXP(-LN(2)/25))/(LN(2)/25)*Calculateur!DW200*Calculateur!DY200*VLOOKUP('Données projet'!$B$14,Paramètres!$A$1:$I$89,3,0)*0.475*44/12</f>
        <v>6.3372043960514324E-2</v>
      </c>
      <c r="EC200" s="21">
        <f>EXP(-LN(2)/2)*EC199+(1-EXP(-LN(2)/2))/(LN(2)/2)*DW200*DZ200*VLOOKUP('Données projet'!$B$14,Paramètres!$A$1:$I$89,3,0)*0.475*44/12</f>
        <v>7.1042278386505048E-27</v>
      </c>
      <c r="ED200" s="22">
        <f t="shared" si="178"/>
        <v>1.9315195356531256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-5.9685589803848416E-13</v>
      </c>
      <c r="O201" s="13">
        <f>N201*VLOOKUP('Données projet'!$B$9,Paramètres!$A$1:$I$89,3,0)*VLOOKUP('Données projet'!$B$9,Paramètres!$A$1:$I$89,5,0)</f>
        <v>-3.4140157367801295E-13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294.9631697747962</v>
      </c>
      <c r="T201" s="59">
        <f t="shared" si="204"/>
        <v>202.04924881627716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16.028326381845424</v>
      </c>
      <c r="AA201" s="21">
        <f>EXP(-LN(2)/25)*AA200+(1-EXP(-LN(2)/25))/(LN(2)/25)*Calculateur!V201*Calculateur!X201*VLOOKUP('Données projet'!$B$9,Paramètres!$A$1:$I$89,3,0)*0.475*44/12</f>
        <v>2.4268870886934231</v>
      </c>
      <c r="AB201" s="21">
        <f>EXP(-LN(2)/2)*AB200+(1-EXP(-LN(2)/2))/(LN(2)/2)*V201*Y201*VLOOKUP('Données projet'!$B$9,Paramètres!$A$1:$I$89,3,0)*0.475*44/12</f>
        <v>1.5595123091640952E-13</v>
      </c>
      <c r="AC201" s="22">
        <f t="shared" si="163"/>
        <v>18.455213470539004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349.71285006949597</v>
      </c>
      <c r="AO201" s="59">
        <f t="shared" si="205"/>
        <v>258.51550516456842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14.809788666286918</v>
      </c>
      <c r="AV201" s="21">
        <f>EXP(-LN(2)/25)*AV200+(1-EXP(-LN(2)/25))/(LN(2)/25)*Calculateur!AQ201*Calculateur!AS201*VLOOKUP('Données projet'!$B$10,Paramètres!$A$1:$I$89,3,0)*0.475*44/12</f>
        <v>1.9633672726137428</v>
      </c>
      <c r="AW201" s="21">
        <f>EXP(-LN(2)/2)*AW200+(1-EXP(-LN(2)/2))/(LN(2)/2)*AQ201*AT201*VLOOKUP('Données projet'!$B$10,Paramètres!$A$1:$I$89,3,0)*0.475*44/12</f>
        <v>1.2267382040952302E-16</v>
      </c>
      <c r="AX201" s="21">
        <f t="shared" si="166"/>
        <v>16.773155938900661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5.4001247917767614E-13</v>
      </c>
      <c r="BE201" s="13">
        <f>BD201*VLOOKUP('Données projet'!$B$11,Paramètres!$A$1:$I$89,3,0)*VLOOKUP('Données projet'!$B$11,Paramètres!$A$1:$I$89,5,0)</f>
        <v>4.8860329115996133E-13</v>
      </c>
      <c r="BF201" s="13">
        <f t="shared" si="167"/>
        <v>6.1025862939685007E-12</v>
      </c>
      <c r="BG201" s="20">
        <f t="shared" si="168"/>
        <v>1.1479655194098737E-11</v>
      </c>
      <c r="BH201" s="59">
        <f t="shared" si="194"/>
        <v>293.3333333333448</v>
      </c>
      <c r="BI201" s="59">
        <f ca="1">AVERAGE(OFFSET($BH$3,0,0,'Données projet'!$E$11+1,1))-AVERAGE(OFFSET($H$3,0,0,'Données projet'!$E$11+1,1))</f>
        <v>490.06222615476065</v>
      </c>
      <c r="BJ201" s="59">
        <f t="shared" si="206"/>
        <v>310.43914804089906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54.014659662039755</v>
      </c>
      <c r="BQ201" s="21">
        <f>EXP(-LN(2)/25)*BQ200+(1-EXP(-LN(2)/25))/(LN(2)/25)*Calculateur!BL201*Calculateur!BN201*VLOOKUP('Données projet'!$B$11,Paramètres!$A$1:$I$89,3,0)*0.475*44/12</f>
        <v>7.1396129243733499</v>
      </c>
      <c r="BR201" s="21">
        <f>EXP(-LN(2)/2)*BR200+(1-EXP(-LN(2)/2))/(LN(2)/2)*BL201*BO201*VLOOKUP('Données projet'!$B$11,Paramètres!$A$1:$I$89,3,0)*0.475*44/12</f>
        <v>1.8449115232380789E-5</v>
      </c>
      <c r="BS201" s="22">
        <f t="shared" si="169"/>
        <v>61.154291035528338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-2.7489477361086758E-13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510.71380643466227</v>
      </c>
      <c r="CE201" s="59">
        <f t="shared" si="207"/>
        <v>252.40654099948841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59.8583332829215</v>
      </c>
      <c r="CL201" s="21">
        <f>EXP(-LN(2)/25)*CL200+(1-EXP(-LN(2)/25))/(LN(2)/25)*Calculateur!CG201*Calculateur!CI201*VLOOKUP('Données projet'!$B$12,Paramètres!$A$1:$I$89,3,0)*0.475*44/12</f>
        <v>50.704401275323335</v>
      </c>
      <c r="CM201" s="21">
        <f>EXP(-LN(2)/2)*CM200+(1-EXP(-LN(2)/2))/(LN(2)/2)*CG201*CJ201*VLOOKUP('Données projet'!$B$12,Paramètres!$A$1:$I$89,3,0)*0.475*44/12</f>
        <v>3.6979086948381483</v>
      </c>
      <c r="CN201" s="22">
        <f t="shared" si="172"/>
        <v>114.26064325308299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2.5579538487363607E-13</v>
      </c>
      <c r="CU201" s="17">
        <f>CT201*VLOOKUP('Données projet'!$B$13,Paramètres!$A$1:$I$89,3,0)*VLOOKUP('Données projet'!$B$13,Paramètres!$A$1:$I$89,5,0)</f>
        <v>2.7533815227798186E-13</v>
      </c>
      <c r="CV201" s="13">
        <f t="shared" si="173"/>
        <v>3.6763598146902537E-12</v>
      </c>
      <c r="CW201" s="20">
        <f t="shared" si="174"/>
        <v>6.88254062580301E-12</v>
      </c>
      <c r="CX201" s="59">
        <f t="shared" si="196"/>
        <v>293.33333333334019</v>
      </c>
      <c r="CY201" s="59">
        <f ca="1">AVERAGE(OFFSET($CX$3,0,0,'Données projet'!$E$13+1,1))-AVERAGE(OFFSET($H$3,0,0,'Données projet'!$E$13+1,1))</f>
        <v>502.65044103360322</v>
      </c>
      <c r="CZ201" s="59">
        <f t="shared" si="208"/>
        <v>321.65762891855167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34.955289365791465</v>
      </c>
      <c r="DG201" s="21">
        <f>EXP(-LN(2)/25)*DG200+(1-EXP(-LN(2)/25))/(LN(2)/25)*Calculateur!DB201*Calculateur!DD201*VLOOKUP('Données projet'!$B$13,Paramètres!$A$1:$I$89,3,0)*0.475*44/12</f>
        <v>4.2505485656748441</v>
      </c>
      <c r="DH201" s="21">
        <f>EXP(-LN(2)/2)*DH200+(1-EXP(-LN(2)/2))/(LN(2)/2)*DB201*DE201*VLOOKUP('Données projet'!$B$13,Paramètres!$A$1:$I$89,3,0)*0.475*44/12</f>
        <v>4.7151987329762642E-10</v>
      </c>
      <c r="DI201" s="22">
        <f t="shared" si="175"/>
        <v>39.205837931937829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-25.899999999999977</v>
      </c>
      <c r="DP201" s="17">
        <f>DO201*VLOOKUP('Données projet'!$B$14,Paramètres!$A$1:$I$89,3,0)*VLOOKUP('Données projet'!$B$14,Paramètres!$A$1:$I$89,5,0)</f>
        <v>-13.171703999999989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63.94726564348116</v>
      </c>
      <c r="DU201" s="59">
        <f t="shared" si="209"/>
        <v>280.8165028422905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1.8315142588379771</v>
      </c>
      <c r="EB201" s="21">
        <f>EXP(-LN(2)/25)*EB200+(1-EXP(-LN(2)/25))/(LN(2)/25)*Calculateur!DW201*Calculateur!DY201*VLOOKUP('Données projet'!$B$14,Paramètres!$A$1:$I$89,3,0)*0.475*44/12</f>
        <v>6.1639132085823105E-2</v>
      </c>
      <c r="EC201" s="21">
        <f>EXP(-LN(2)/2)*EC200+(1-EXP(-LN(2)/2))/(LN(2)/2)*DW201*DZ201*VLOOKUP('Données projet'!$B$14,Paramètres!$A$1:$I$89,3,0)*0.475*44/12</f>
        <v>5.0234476798040221E-27</v>
      </c>
      <c r="ED201" s="22">
        <f t="shared" si="178"/>
        <v>1.8931533909238003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-5.9685589803848416E-13</v>
      </c>
      <c r="O202" s="13">
        <f>N202*VLOOKUP('Données projet'!$B$9,Paramètres!$A$1:$I$89,3,0)*VLOOKUP('Données projet'!$B$9,Paramètres!$A$1:$I$89,5,0)</f>
        <v>-3.4140157367801295E-13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294.9631697747962</v>
      </c>
      <c r="T202" s="59">
        <f t="shared" si="204"/>
        <v>202.04924881627716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15.714020677811197</v>
      </c>
      <c r="AA202" s="21">
        <f>EXP(-LN(2)/25)*AA201+(1-EXP(-LN(2)/25))/(LN(2)/25)*Calculateur!V202*Calculateur!X202*VLOOKUP('Données projet'!$B$9,Paramètres!$A$1:$I$89,3,0)*0.475*44/12</f>
        <v>2.3605237336286562</v>
      </c>
      <c r="AB202" s="21">
        <f>EXP(-LN(2)/2)*AB201+(1-EXP(-LN(2)/2))/(LN(2)/2)*V202*Y202*VLOOKUP('Données projet'!$B$9,Paramètres!$A$1:$I$89,3,0)*0.475*44/12</f>
        <v>1.1027417291538233E-13</v>
      </c>
      <c r="AC202" s="22">
        <f t="shared" si="163"/>
        <v>18.074544411439962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349.71285006949597</v>
      </c>
      <c r="AO202" s="59">
        <f t="shared" si="205"/>
        <v>258.51550516456842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14.519377743620176</v>
      </c>
      <c r="AV202" s="21">
        <f>EXP(-LN(2)/25)*AV201+(1-EXP(-LN(2)/25))/(LN(2)/25)*Calculateur!AQ202*Calculateur!AS202*VLOOKUP('Données projet'!$B$10,Paramètres!$A$1:$I$89,3,0)*0.475*44/12</f>
        <v>1.9096788912951224</v>
      </c>
      <c r="AW202" s="21">
        <f>EXP(-LN(2)/2)*AW201+(1-EXP(-LN(2)/2))/(LN(2)/2)*AQ202*AT202*VLOOKUP('Données projet'!$B$10,Paramètres!$A$1:$I$89,3,0)*0.475*44/12</f>
        <v>8.6743490285634423E-17</v>
      </c>
      <c r="AX202" s="21">
        <f t="shared" si="166"/>
        <v>16.429056634915298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5.4001247917767614E-13</v>
      </c>
      <c r="BE202" s="13">
        <f>BD202*VLOOKUP('Données projet'!$B$11,Paramètres!$A$1:$I$89,3,0)*VLOOKUP('Données projet'!$B$11,Paramètres!$A$1:$I$89,5,0)</f>
        <v>4.8860329115996133E-13</v>
      </c>
      <c r="BF202" s="13">
        <f t="shared" si="167"/>
        <v>6.1025862939685007E-12</v>
      </c>
      <c r="BG202" s="20">
        <f t="shared" si="168"/>
        <v>1.1479655194098737E-11</v>
      </c>
      <c r="BH202" s="59">
        <f t="shared" si="194"/>
        <v>293.3333333333448</v>
      </c>
      <c r="BI202" s="59">
        <f ca="1">AVERAGE(OFFSET($BH$3,0,0,'Données projet'!$E$11+1,1))-AVERAGE(OFFSET($H$3,0,0,'Données projet'!$E$11+1,1))</f>
        <v>490.06222615476065</v>
      </c>
      <c r="BJ202" s="59">
        <f t="shared" si="206"/>
        <v>310.43914804089906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52.955465131756434</v>
      </c>
      <c r="BQ202" s="21">
        <f>EXP(-LN(2)/25)*BQ201+(1-EXP(-LN(2)/25))/(LN(2)/25)*Calculateur!BL202*Calculateur!BN202*VLOOKUP('Données projet'!$B$11,Paramètres!$A$1:$I$89,3,0)*0.475*44/12</f>
        <v>6.9443798335004345</v>
      </c>
      <c r="BR202" s="21">
        <f>EXP(-LN(2)/2)*BR201+(1-EXP(-LN(2)/2))/(LN(2)/2)*BL202*BO202*VLOOKUP('Données projet'!$B$11,Paramètres!$A$1:$I$89,3,0)*0.475*44/12</f>
        <v>1.3045494487708484E-5</v>
      </c>
      <c r="BS202" s="22">
        <f t="shared" si="169"/>
        <v>59.899858010751359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-2.7489477361086758E-13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510.71380643466227</v>
      </c>
      <c r="CE202" s="59">
        <f t="shared" si="207"/>
        <v>252.40654099948841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58.684547877221654</v>
      </c>
      <c r="CL202" s="21">
        <f>EXP(-LN(2)/25)*CL201+(1-EXP(-LN(2)/25))/(LN(2)/25)*Calculateur!CG202*Calculateur!CI202*VLOOKUP('Données projet'!$B$12,Paramètres!$A$1:$I$89,3,0)*0.475*44/12</f>
        <v>49.317886756021039</v>
      </c>
      <c r="CM202" s="21">
        <f>EXP(-LN(2)/2)*CM201+(1-EXP(-LN(2)/2))/(LN(2)/2)*CG202*CJ202*VLOOKUP('Données projet'!$B$12,Paramètres!$A$1:$I$89,3,0)*0.475*44/12</f>
        <v>2.6148163143287504</v>
      </c>
      <c r="CN202" s="22">
        <f t="shared" si="172"/>
        <v>110.61725094757145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2.5579538487363607E-13</v>
      </c>
      <c r="CU202" s="17">
        <f>CT202*VLOOKUP('Données projet'!$B$13,Paramètres!$A$1:$I$89,3,0)*VLOOKUP('Données projet'!$B$13,Paramètres!$A$1:$I$89,5,0)</f>
        <v>2.7533815227798186E-13</v>
      </c>
      <c r="CV202" s="13">
        <f t="shared" si="173"/>
        <v>3.6763598146902537E-12</v>
      </c>
      <c r="CW202" s="20">
        <f t="shared" si="174"/>
        <v>6.88254062580301E-12</v>
      </c>
      <c r="CX202" s="59">
        <f t="shared" si="196"/>
        <v>293.33333333334019</v>
      </c>
      <c r="CY202" s="59">
        <f ca="1">AVERAGE(OFFSET($CX$3,0,0,'Données projet'!$E$13+1,1))-AVERAGE(OFFSET($H$3,0,0,'Données projet'!$E$13+1,1))</f>
        <v>502.65044103360322</v>
      </c>
      <c r="CZ202" s="59">
        <f t="shared" si="208"/>
        <v>321.65762891855167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34.269837461949571</v>
      </c>
      <c r="DG202" s="21">
        <f>EXP(-LN(2)/25)*DG201+(1-EXP(-LN(2)/25))/(LN(2)/25)*Calculateur!DB202*Calculateur!DD202*VLOOKUP('Données projet'!$B$13,Paramètres!$A$1:$I$89,3,0)*0.475*44/12</f>
        <v>4.1343170916198311</v>
      </c>
      <c r="DH202" s="21">
        <f>EXP(-LN(2)/2)*DH201+(1-EXP(-LN(2)/2))/(LN(2)/2)*DB202*DE202*VLOOKUP('Données projet'!$B$13,Paramètres!$A$1:$I$89,3,0)*0.475*44/12</f>
        <v>3.3341489987297334E-10</v>
      </c>
      <c r="DI202" s="22">
        <f t="shared" si="175"/>
        <v>38.404154553902814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-25.899999999999977</v>
      </c>
      <c r="DP202" s="17">
        <f>DO202*VLOOKUP('Données projet'!$B$14,Paramètres!$A$1:$I$89,3,0)*VLOOKUP('Données projet'!$B$14,Paramètres!$A$1:$I$89,5,0)</f>
        <v>-13.171703999999989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63.94726564348116</v>
      </c>
      <c r="DU202" s="59">
        <f t="shared" si="209"/>
        <v>280.8165028422905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1.7955993813355564</v>
      </c>
      <c r="EB202" s="21">
        <f>EXP(-LN(2)/25)*EB201+(1-EXP(-LN(2)/25))/(LN(2)/25)*Calculateur!DW202*Calculateur!DY202*VLOOKUP('Données projet'!$B$14,Paramètres!$A$1:$I$89,3,0)*0.475*44/12</f>
        <v>5.9953606777475195E-2</v>
      </c>
      <c r="EC202" s="21">
        <f>EXP(-LN(2)/2)*EC201+(1-EXP(-LN(2)/2))/(LN(2)/2)*DW202*DZ202*VLOOKUP('Données projet'!$B$14,Paramètres!$A$1:$I$89,3,0)*0.475*44/12</f>
        <v>3.5521139193252524E-27</v>
      </c>
      <c r="ED202" s="22">
        <f t="shared" si="178"/>
        <v>1.8555529881130317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-5.9685589803848416E-13</v>
      </c>
      <c r="O203" s="13">
        <f>N203*VLOOKUP('Données projet'!$B$9,Paramètres!$A$1:$I$89,3,0)*VLOOKUP('Données projet'!$B$9,Paramètres!$A$1:$I$89,5,0)</f>
        <v>-3.4140157367801295E-13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294.9631697747962</v>
      </c>
      <c r="T203" s="59">
        <f t="shared" si="204"/>
        <v>202.04924881627716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15.405878316925532</v>
      </c>
      <c r="AA203" s="21">
        <f>EXP(-LN(2)/25)*AA202+(1-EXP(-LN(2)/25))/(LN(2)/25)*Calculateur!V203*Calculateur!X203*VLOOKUP('Données projet'!$B$9,Paramètres!$A$1:$I$89,3,0)*0.475*44/12</f>
        <v>2.2959750879980323</v>
      </c>
      <c r="AB203" s="21">
        <f>EXP(-LN(2)/2)*AB202+(1-EXP(-LN(2)/2))/(LN(2)/2)*V203*Y203*VLOOKUP('Données projet'!$B$9,Paramètres!$A$1:$I$89,3,0)*0.475*44/12</f>
        <v>7.7975615458204758E-14</v>
      </c>
      <c r="AC203" s="22">
        <f t="shared" si="163"/>
        <v>17.701853404923643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349.71285006949597</v>
      </c>
      <c r="AO203" s="59">
        <f t="shared" si="205"/>
        <v>258.51550516456842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14.234661602013755</v>
      </c>
      <c r="AV203" s="21">
        <f>EXP(-LN(2)/25)*AV202+(1-EXP(-LN(2)/25))/(LN(2)/25)*Calculateur!AQ203*Calculateur!AS203*VLOOKUP('Données projet'!$B$10,Paramètres!$A$1:$I$89,3,0)*0.475*44/12</f>
        <v>1.857458621587009</v>
      </c>
      <c r="AW203" s="21">
        <f>EXP(-LN(2)/2)*AW202+(1-EXP(-LN(2)/2))/(LN(2)/2)*AQ203*AT203*VLOOKUP('Données projet'!$B$10,Paramètres!$A$1:$I$89,3,0)*0.475*44/12</f>
        <v>6.133691020476151E-17</v>
      </c>
      <c r="AX203" s="21">
        <f t="shared" si="166"/>
        <v>16.092120223600766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5.4001247917767614E-13</v>
      </c>
      <c r="BE203" s="13">
        <f>BD203*VLOOKUP('Données projet'!$B$11,Paramètres!$A$1:$I$89,3,0)*VLOOKUP('Données projet'!$B$11,Paramètres!$A$1:$I$89,5,0)</f>
        <v>4.8860329115996133E-13</v>
      </c>
      <c r="BF203" s="13">
        <f t="shared" si="167"/>
        <v>6.1025862939685007E-12</v>
      </c>
      <c r="BG203" s="20">
        <f t="shared" si="168"/>
        <v>1.1479655194098737E-11</v>
      </c>
      <c r="BH203" s="59">
        <f t="shared" si="194"/>
        <v>293.3333333333448</v>
      </c>
      <c r="BI203" s="59">
        <f ca="1">AVERAGE(OFFSET($BH$3,0,0,'Données projet'!$E$11+1,1))-AVERAGE(OFFSET($H$3,0,0,'Données projet'!$E$11+1,1))</f>
        <v>490.06222615476065</v>
      </c>
      <c r="BJ203" s="59">
        <f t="shared" si="206"/>
        <v>310.43914804089906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51.917040760167097</v>
      </c>
      <c r="BQ203" s="21">
        <f>EXP(-LN(2)/25)*BQ202+(1-EXP(-LN(2)/25))/(LN(2)/25)*Calculateur!BL203*Calculateur!BN203*VLOOKUP('Données projet'!$B$11,Paramètres!$A$1:$I$89,3,0)*0.475*44/12</f>
        <v>6.7544854017643017</v>
      </c>
      <c r="BR203" s="21">
        <f>EXP(-LN(2)/2)*BR202+(1-EXP(-LN(2)/2))/(LN(2)/2)*BL203*BO203*VLOOKUP('Données projet'!$B$11,Paramètres!$A$1:$I$89,3,0)*0.475*44/12</f>
        <v>9.2245576161903945E-6</v>
      </c>
      <c r="BS203" s="22">
        <f t="shared" si="169"/>
        <v>58.671535386489012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-2.7489477361086758E-13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510.71380643466227</v>
      </c>
      <c r="CE203" s="59">
        <f t="shared" si="207"/>
        <v>252.40654099948841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57.533779687389178</v>
      </c>
      <c r="CL203" s="21">
        <f>EXP(-LN(2)/25)*CL202+(1-EXP(-LN(2)/25))/(LN(2)/25)*Calculateur!CG203*Calculateur!CI203*VLOOKUP('Données projet'!$B$12,Paramètres!$A$1:$I$89,3,0)*0.475*44/12</f>
        <v>47.969286549162696</v>
      </c>
      <c r="CM203" s="21">
        <f>EXP(-LN(2)/2)*CM202+(1-EXP(-LN(2)/2))/(LN(2)/2)*CG203*CJ203*VLOOKUP('Données projet'!$B$12,Paramètres!$A$1:$I$89,3,0)*0.475*44/12</f>
        <v>1.8489543474190746</v>
      </c>
      <c r="CN203" s="22">
        <f t="shared" si="172"/>
        <v>107.35202058397095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2.5579538487363607E-13</v>
      </c>
      <c r="CU203" s="17">
        <f>CT203*VLOOKUP('Données projet'!$B$13,Paramètres!$A$1:$I$89,3,0)*VLOOKUP('Données projet'!$B$13,Paramètres!$A$1:$I$89,5,0)</f>
        <v>2.7533815227798186E-13</v>
      </c>
      <c r="CV203" s="13">
        <f t="shared" si="173"/>
        <v>3.6763598146902537E-12</v>
      </c>
      <c r="CW203" s="20">
        <f t="shared" si="174"/>
        <v>6.88254062580301E-12</v>
      </c>
      <c r="CX203" s="59">
        <f t="shared" si="196"/>
        <v>293.33333333334019</v>
      </c>
      <c r="CY203" s="59">
        <f ca="1">AVERAGE(OFFSET($CX$3,0,0,'Données projet'!$E$13+1,1))-AVERAGE(OFFSET($H$3,0,0,'Données projet'!$E$13+1,1))</f>
        <v>502.65044103360322</v>
      </c>
      <c r="CZ203" s="59">
        <f t="shared" si="208"/>
        <v>321.65762891855167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33.59782685185764</v>
      </c>
      <c r="DG203" s="21">
        <f>EXP(-LN(2)/25)*DG202+(1-EXP(-LN(2)/25))/(LN(2)/25)*Calculateur!DB203*Calculateur!DD203*VLOOKUP('Données projet'!$B$13,Paramètres!$A$1:$I$89,3,0)*0.475*44/12</f>
        <v>4.0212639733352002</v>
      </c>
      <c r="DH203" s="21">
        <f>EXP(-LN(2)/2)*DH202+(1-EXP(-LN(2)/2))/(LN(2)/2)*DB203*DE203*VLOOKUP('Données projet'!$B$13,Paramètres!$A$1:$I$89,3,0)*0.475*44/12</f>
        <v>2.3575993664881321E-10</v>
      </c>
      <c r="DI203" s="22">
        <f t="shared" si="175"/>
        <v>37.6190908254286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-25.899999999999977</v>
      </c>
      <c r="DP203" s="17">
        <f>DO203*VLOOKUP('Données projet'!$B$14,Paramètres!$A$1:$I$89,3,0)*VLOOKUP('Données projet'!$B$14,Paramètres!$A$1:$I$89,5,0)</f>
        <v>-13.171703999999989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63.94726564348116</v>
      </c>
      <c r="DU203" s="59">
        <f t="shared" si="209"/>
        <v>280.8165028422905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1.760388772675046</v>
      </c>
      <c r="EB203" s="21">
        <f>EXP(-LN(2)/25)*EB202+(1-EXP(-LN(2)/25))/(LN(2)/25)*Calculateur!DW203*Calculateur!DY203*VLOOKUP('Données projet'!$B$14,Paramètres!$A$1:$I$89,3,0)*0.475*44/12</f>
        <v>5.831417224732198E-2</v>
      </c>
      <c r="EC203" s="21">
        <f>EXP(-LN(2)/2)*EC202+(1-EXP(-LN(2)/2))/(LN(2)/2)*DW203*DZ203*VLOOKUP('Données projet'!$B$14,Paramètres!$A$1:$I$89,3,0)*0.475*44/12</f>
        <v>2.511723839902011E-27</v>
      </c>
      <c r="ED203" s="22">
        <f t="shared" si="178"/>
        <v>1.8187029449223679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1.2443502889175007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1.2474449991725556</v>
      </c>
      <c r="BA205" s="82">
        <f>EXP(LN('Données projet'!B88)/'Données projet'!A88)</f>
        <v>1.1281922301282807</v>
      </c>
      <c r="BV205" s="82">
        <f>EXP(LN('Données projet'!B114)/'Données projet'!A114)</f>
        <v>1.0924684246274448</v>
      </c>
      <c r="CQ205" s="82">
        <f>EXP(LN('Données projet'!B140)/'Données projet'!A140)</f>
        <v>1.141469227569226</v>
      </c>
      <c r="DL205" s="82">
        <f>EXP(LN('Données projet'!B166)/'Données projet'!A166)</f>
        <v>1.4060302719287188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4" sqref="M24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sylvestre</v>
      </c>
      <c r="B6" s="146">
        <f>'Données projet'!D9</f>
        <v>0.501</v>
      </c>
      <c r="C6" s="147">
        <f ca="1">IF(OR('Données projet'!B9="",'Données projet'!C9="",'Données projet'!C9=0%),0,Calculateur!S3)</f>
        <v>294.9631697747962</v>
      </c>
      <c r="D6" s="147">
        <f>IF(OR('Données projet'!B9="",'Données projet'!C9="",'Données projet'!C9=0%),0,Calculateur!T3)</f>
        <v>202.04924881627716</v>
      </c>
      <c r="E6" s="147">
        <f ca="1">MIN(C6,D6)</f>
        <v>202.04924881627716</v>
      </c>
      <c r="F6" s="147">
        <f ca="1">E6*B6</f>
        <v>101.22667365695486</v>
      </c>
      <c r="G6" s="147">
        <f ca="1">F6*(100%-'Données projet'!$C$24)*(100%-'Données projet'!$C$25)*(100%-'Données projet'!$C$26)*(100%-'Données projet'!$C$27)</f>
        <v>91.104006291259381</v>
      </c>
      <c r="H6" s="148">
        <f>IF(OR('Données projet'!B9="",'Données projet'!C9="",'Données projet'!C9=0%),0,AVERAGE(Calculateur!$AC$3:$AC$33)*B6)</f>
        <v>2.5048732050690323</v>
      </c>
      <c r="I6" s="149">
        <f>H6*(100%-'Données projet'!$C$24)*(100%-'Données projet'!$C$25)*(100%-'Données projet'!$C$26)*(100%-'Données projet'!$C$27)</f>
        <v>2.254385884562129</v>
      </c>
      <c r="J6" s="150">
        <f>IF(OR('Données projet'!B9="",'Données projet'!C9="",'Données projet'!C9=0%),0,SUM(Calculateur!$V$3:$V$33)*VLOOKUP('Données projet'!$B$9,Paramètres!$A$1:$I$89,9,0)*B6)</f>
        <v>17.725580399999998</v>
      </c>
      <c r="K6" s="151">
        <f>J6*(100%-'Données projet'!$C$24)*(100%-'Données projet'!$C$25)*(100%-'Données projet'!$C$26)*(100%-'Données projet'!$C$27)</f>
        <v>15.953022359999999</v>
      </c>
      <c r="L6" s="152">
        <f ca="1">G6+I6+K6</f>
        <v>109.31141453582151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1.169</v>
      </c>
      <c r="C7" s="147">
        <f ca="1">IF(OR('Données projet'!B10="",'Données projet'!C10="",'Données projet'!C10=0%),0,Calculateur!AN3)</f>
        <v>349.71285006949597</v>
      </c>
      <c r="D7" s="147">
        <f>IF(OR('Données projet'!B10="",'Données projet'!C10="",'Données projet'!C10=0%),0,Calculateur!AO3)</f>
        <v>258.51550516456842</v>
      </c>
      <c r="E7" s="147">
        <f t="shared" ref="E7:E15" ca="1" si="0">MIN(C7,D7)</f>
        <v>258.51550516456842</v>
      </c>
      <c r="F7" s="147">
        <f t="shared" ref="F7:F15" ca="1" si="1">E7*B7</f>
        <v>302.20462553738048</v>
      </c>
      <c r="G7" s="147">
        <f ca="1">F7*(100%-'Données projet'!$C$24)*(100%-'Données projet'!$C$25)*(100%-'Données projet'!$C$26)*(100%-'Données projet'!$C$27)</f>
        <v>271.98416298364242</v>
      </c>
      <c r="H7" s="155">
        <f>IF(OR('Données projet'!B10="",'Données projet'!C10="",'Données projet'!C10=0%),0,AVERAGE(Calculateur!$AX$3:$AX$33)*B7)</f>
        <v>7.4091231700258113</v>
      </c>
      <c r="I7" s="149">
        <f>H7*(100%-'Données projet'!$C$24)*(100%-'Données projet'!$C$25)*(100%-'Données projet'!$C$26)*(100%-'Données projet'!$C$27)</f>
        <v>6.66821085302323</v>
      </c>
      <c r="J7" s="150">
        <f>IF(OR('Données projet'!B10="",'Données projet'!C10="",'Données projet'!C10=0%),0,SUM(Calculateur!$AQ$3:$AQ$33)*VLOOKUP('Données projet'!$B$10,Paramètres!$A$1:$I$89,9,0)*B7)</f>
        <v>45.516768499999998</v>
      </c>
      <c r="K7" s="151">
        <f>J7*(100%-'Données projet'!$C$24)*(100%-'Données projet'!$C$25)*(100%-'Données projet'!$C$26)*(100%-'Données projet'!$C$27)</f>
        <v>40.965091649999998</v>
      </c>
      <c r="L7" s="152">
        <f t="shared" ref="L7:L15" ca="1" si="2">G7+I7+K7</f>
        <v>319.61746548666565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3.4234999999999998</v>
      </c>
      <c r="C8" s="147">
        <f ca="1">IF(OR('Données projet'!B11="",'Données projet'!C11="",'Données projet'!C11=0%),0,Calculateur!BI3)</f>
        <v>490.06222615476065</v>
      </c>
      <c r="D8" s="147">
        <f>IF(OR('Données projet'!B11="",'Données projet'!C11="",'Données projet'!C11=0%),0,Calculateur!BJ3)</f>
        <v>310.43914804089906</v>
      </c>
      <c r="E8" s="147">
        <f t="shared" ca="1" si="0"/>
        <v>310.43914804089906</v>
      </c>
      <c r="F8" s="147">
        <f t="shared" ca="1" si="1"/>
        <v>1062.7884233180177</v>
      </c>
      <c r="G8" s="147">
        <f ca="1">F8*(100%-'Données projet'!$C$24)*(100%-'Données projet'!$C$25)*(100%-'Données projet'!$C$26)*(100%-'Données projet'!$C$27)</f>
        <v>956.50958098621595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956.50958098621595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Alisier torminal</v>
      </c>
      <c r="B9" s="154">
        <f>'Données projet'!D12</f>
        <v>0.33400000000000002</v>
      </c>
      <c r="C9" s="147">
        <f ca="1">IF(OR('Données projet'!B12="",'Données projet'!C12="",'Données projet'!C12=0%),0,Calculateur!CD3)</f>
        <v>510.71380643466227</v>
      </c>
      <c r="D9" s="147">
        <f>IF(OR('Données projet'!B12="",'Données projet'!C12="",'Données projet'!C12=0%),0,Calculateur!CE3)</f>
        <v>252.40654099948841</v>
      </c>
      <c r="E9" s="147">
        <f t="shared" ca="1" si="0"/>
        <v>252.40654099948841</v>
      </c>
      <c r="F9" s="147">
        <f t="shared" ca="1" si="1"/>
        <v>84.30378469382913</v>
      </c>
      <c r="G9" s="147">
        <f ca="1">F9*(100%-'Données projet'!$C$24)*(100%-'Données projet'!$C$25)*(100%-'Données projet'!$C$26)*(100%-'Données projet'!$C$27)</f>
        <v>75.873406224446214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75.873406224446214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Cormier</v>
      </c>
      <c r="B10" s="154">
        <f>'Données projet'!D13</f>
        <v>0.16700000000000001</v>
      </c>
      <c r="C10" s="147">
        <f ca="1">IF(OR('Données projet'!B13="",'Données projet'!C13="",'Données projet'!C13=0%),0,Calculateur!CY3)</f>
        <v>502.65044103360322</v>
      </c>
      <c r="D10" s="147">
        <f>IF(OR('Données projet'!B13="",'Données projet'!C13="",'Données projet'!C13=0%),0,Calculateur!CZ3)</f>
        <v>321.65762891855167</v>
      </c>
      <c r="E10" s="147">
        <f t="shared" ca="1" si="0"/>
        <v>321.65762891855167</v>
      </c>
      <c r="F10" s="147">
        <f t="shared" ca="1" si="1"/>
        <v>53.716824029398133</v>
      </c>
      <c r="G10" s="147">
        <f ca="1">F10*(100%-'Données projet'!$C$24)*(100%-'Données projet'!$C$25)*(100%-'Données projet'!$C$26)*(100%-'Données projet'!$C$27)</f>
        <v>48.345141626458322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48.345141626458322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Peuplier Koster</v>
      </c>
      <c r="B11" s="154">
        <f>'Données projet'!D14</f>
        <v>2.7555000000000001</v>
      </c>
      <c r="C11" s="147">
        <f ca="1">IF(OR('Données projet'!B14="",'Données projet'!C14="",'Données projet'!C14=0%),0,Calculateur!DT3)</f>
        <v>63.94726564348116</v>
      </c>
      <c r="D11" s="147">
        <f>IF(OR('Données projet'!B14="",'Données projet'!C14="",'Données projet'!C14=0%),0,Calculateur!DU3)</f>
        <v>280.8165028422905</v>
      </c>
      <c r="E11" s="147">
        <f t="shared" ca="1" si="0"/>
        <v>63.94726564348116</v>
      </c>
      <c r="F11" s="147">
        <f t="shared" ca="1" si="1"/>
        <v>176.20669048061234</v>
      </c>
      <c r="G11" s="147">
        <f ca="1">F11*(100%-'Données projet'!$C$24)*(100%-'Données projet'!$C$25)*(100%-'Données projet'!$C$26)*(100%-'Données projet'!$C$27)</f>
        <v>158.58602143255112</v>
      </c>
      <c r="H11" s="155">
        <f>IF(OR('Données projet'!B14="",'Données projet'!C14="",'Données projet'!C14=0%),0,AVERAGE(Calculateur!$ED$3:$ED$33)*B11)</f>
        <v>92.778226489602005</v>
      </c>
      <c r="I11" s="149">
        <f>H11*(100%-'Données projet'!$C$24)*(100%-'Données projet'!$C$25)*(100%-'Données projet'!$C$26)*(100%-'Données projet'!$C$27)</f>
        <v>83.500403840641809</v>
      </c>
      <c r="J11" s="150">
        <f>IF(OR('Données projet'!B14="",'Données projet'!C14="",'Données projet'!C14=0%),0,SUM(Calculateur!$DW$3:$DW$33)*VLOOKUP('Données projet'!$B$14,Paramètres!$A$1:$I$89,9,0)*B11)</f>
        <v>735.65236800000002</v>
      </c>
      <c r="K11" s="151">
        <f>J11*(100%-'Données projet'!$C$24)*(100%-'Données projet'!$C$25)*(100%-'Données projet'!$C$26)*(100%-'Données projet'!$C$27)</f>
        <v>662.08713120000004</v>
      </c>
      <c r="L11" s="152">
        <f t="shared" ca="1" si="2"/>
        <v>904.173556473193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1780.4470217161929</v>
      </c>
      <c r="G16" s="166">
        <f t="shared" ca="1" si="3"/>
        <v>1602.4023195445734</v>
      </c>
      <c r="H16" s="167">
        <f t="shared" si="3"/>
        <v>102.69222286469684</v>
      </c>
      <c r="I16" s="167">
        <f t="shared" si="3"/>
        <v>92.423000578227175</v>
      </c>
      <c r="J16" s="168">
        <f t="shared" si="3"/>
        <v>798.89471690000005</v>
      </c>
      <c r="K16" s="168">
        <f t="shared" si="3"/>
        <v>719.00524521</v>
      </c>
      <c r="L16" s="169">
        <f t="shared" ca="1" si="3"/>
        <v>2413.8305653328007</v>
      </c>
      <c r="M16" s="23">
        <f ca="1">L16/'Données projet'!C5</f>
        <v>289.08150483027555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sylvestre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Peuplier Koster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4" zoomScale="80" zoomScaleNormal="80" workbookViewId="0">
      <selection activeCell="I20" sqref="I20:I26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sylvestre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1014.3361241228691</v>
      </c>
      <c r="U10" s="178">
        <f>'Données projet'!D9</f>
        <v>0.501</v>
      </c>
      <c r="V10" s="177">
        <f>U10*T10</f>
        <v>508.18239818555742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1690.0873167333414</v>
      </c>
      <c r="U11" s="178">
        <f>'Données projet'!D10</f>
        <v>1.169</v>
      </c>
      <c r="V11" s="177">
        <f t="shared" ref="V11" si="0">U11*T11</f>
        <v>1975.7120732612761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907.94414079398314</v>
      </c>
      <c r="U12" s="178">
        <f>'Données projet'!D11</f>
        <v>3.4234999999999998</v>
      </c>
      <c r="V12" s="177">
        <f t="shared" ref="V12:V19" si="1">U12*T12</f>
        <v>3108.346766008201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150.21663798519361</v>
      </c>
      <c r="U13" s="178">
        <f>'Données projet'!D12</f>
        <v>0.33400000000000002</v>
      </c>
      <c r="V13" s="177">
        <f t="shared" si="1"/>
        <v>50.172357087054671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sylvestre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503.49159252843441</v>
      </c>
      <c r="U14" s="178">
        <f>'Données projet'!D13</f>
        <v>0.16700000000000001</v>
      </c>
      <c r="V14" s="177">
        <f t="shared" si="1"/>
        <v>84.083095952248556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Peuplier Koster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5737.8220216575828</v>
      </c>
      <c r="U15" s="178">
        <f>'Données projet'!D14</f>
        <v>2.7555000000000001</v>
      </c>
      <c r="V15" s="177">
        <f t="shared" si="1"/>
        <v>15810.568580677469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3879+652+3944+14750+3444+2340+500+1500</f>
        <v>31009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2444/2+1397</f>
        <v>2619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22</v>
      </c>
      <c r="B23" s="181">
        <f>'Données projet'!D36</f>
        <v>50.86</v>
      </c>
      <c r="C23" s="193">
        <v>12.796874999999998</v>
      </c>
      <c r="D23" s="182">
        <f>B23*C23</f>
        <v>650.84906249999995</v>
      </c>
      <c r="E23" s="193">
        <v>60</v>
      </c>
      <c r="F23" s="230"/>
      <c r="H23" s="190">
        <v>3</v>
      </c>
      <c r="I23" s="191">
        <f>1746+2444/2</f>
        <v>2968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-307591.92770084046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29</v>
      </c>
      <c r="B24" s="181">
        <f>'Données projet'!D37</f>
        <v>31.419999999999987</v>
      </c>
      <c r="C24" s="193">
        <v>12.796874999999998</v>
      </c>
      <c r="D24" s="182">
        <f t="shared" ref="D24:D42" si="2">B24*C24</f>
        <v>402.07781249999977</v>
      </c>
      <c r="E24" s="193">
        <v>60</v>
      </c>
      <c r="F24" s="233"/>
      <c r="H24" s="190">
        <v>4</v>
      </c>
      <c r="I24" s="191">
        <v>3936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8172.3220528031443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36</v>
      </c>
      <c r="B25" s="181">
        <f>'Données projet'!D38</f>
        <v>41.879999999999995</v>
      </c>
      <c r="C25" s="193">
        <v>12.796874999999998</v>
      </c>
      <c r="D25" s="182">
        <f t="shared" si="2"/>
        <v>535.9331249999999</v>
      </c>
      <c r="E25" s="193">
        <v>60</v>
      </c>
      <c r="F25" s="233"/>
      <c r="H25" s="190">
        <v>5</v>
      </c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3">
        <f ca="1">T23-T24</f>
        <v>-315764.24975364358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44</v>
      </c>
      <c r="B26" s="181">
        <f>'Données projet'!D39</f>
        <v>42.830000000000013</v>
      </c>
      <c r="C26" s="193">
        <v>26.324999999999999</v>
      </c>
      <c r="D26" s="182">
        <f t="shared" si="2"/>
        <v>1127.4997500000004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52</v>
      </c>
      <c r="B27" s="181">
        <f>'Données projet'!D40</f>
        <v>46.650000000000006</v>
      </c>
      <c r="C27" s="193">
        <v>26.324999999999999</v>
      </c>
      <c r="D27" s="182">
        <f t="shared" si="2"/>
        <v>1228.0612500000002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60</v>
      </c>
      <c r="B28" s="181">
        <f>'Données projet'!D41</f>
        <v>41.980000000000018</v>
      </c>
      <c r="C28" s="193">
        <v>26.324999999999999</v>
      </c>
      <c r="D28" s="182">
        <f t="shared" si="2"/>
        <v>1105.1235000000004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70</v>
      </c>
      <c r="B29" s="181">
        <f>'Données projet'!D42</f>
        <v>50.44</v>
      </c>
      <c r="C29" s="193">
        <v>26.324999999999999</v>
      </c>
      <c r="D29" s="182">
        <f t="shared" si="2"/>
        <v>1327.8329999999999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40.31</v>
      </c>
      <c r="C30" s="193">
        <v>26.324999999999999</v>
      </c>
      <c r="D30" s="182">
        <f t="shared" si="2"/>
        <v>1061.16075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978.72120392852037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90</v>
      </c>
      <c r="B31" s="181">
        <f>'Données projet'!D44</f>
        <v>40.859999999999957</v>
      </c>
      <c r="C31" s="193">
        <v>26.324999999999999</v>
      </c>
      <c r="D31" s="182">
        <f t="shared" si="2"/>
        <v>1075.6394999999989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100</v>
      </c>
      <c r="B32" s="181">
        <f>'Données projet'!D45</f>
        <v>222.06</v>
      </c>
      <c r="C32" s="193">
        <v>32.467500000000001</v>
      </c>
      <c r="D32" s="182">
        <f t="shared" si="2"/>
        <v>7209.7330500000007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103</v>
      </c>
      <c r="B33" s="181">
        <f>'Données projet'!D46</f>
        <v>160.66</v>
      </c>
      <c r="C33" s="193">
        <v>32.467500000000001</v>
      </c>
      <c r="D33" s="182">
        <f t="shared" si="2"/>
        <v>5216.2285499999998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 t="str">
        <f>IF(O49+1&lt;=MIN('Données projet'!$E$9:$E$18),O49+1,"STOP")</f>
        <v>STOP</v>
      </c>
      <c r="P50" s="185" t="e">
        <f t="shared" si="3"/>
        <v>#VALUE!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22</v>
      </c>
      <c r="B54" s="181">
        <f>'Données projet'!D62</f>
        <v>52.620000000000005</v>
      </c>
      <c r="C54" s="191">
        <v>12.796874999999998</v>
      </c>
      <c r="D54" s="179">
        <f>B54*C54</f>
        <v>673.37156249999998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27</v>
      </c>
      <c r="B55" s="181">
        <f>'Données projet'!D63</f>
        <v>37.929999999999993</v>
      </c>
      <c r="C55" s="191">
        <v>12.796874999999998</v>
      </c>
      <c r="D55" s="179">
        <f t="shared" ref="D55:D73" si="4">B55*C55</f>
        <v>485.38546874999986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33</v>
      </c>
      <c r="B56" s="181">
        <f>'Données projet'!D64</f>
        <v>50.460000000000008</v>
      </c>
      <c r="C56" s="191">
        <v>12.796874999999998</v>
      </c>
      <c r="D56" s="179">
        <f t="shared" si="4"/>
        <v>645.73031249999997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41</v>
      </c>
      <c r="B57" s="181">
        <f>'Données projet'!D65</f>
        <v>72.16</v>
      </c>
      <c r="C57" s="191">
        <v>28.079999999999995</v>
      </c>
      <c r="D57" s="179">
        <f t="shared" si="4"/>
        <v>2026.2527999999995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50</v>
      </c>
      <c r="B58" s="181">
        <f>'Données projet'!D66</f>
        <v>70.20999999999998</v>
      </c>
      <c r="C58" s="191">
        <v>28.079999999999995</v>
      </c>
      <c r="D58" s="179">
        <f t="shared" si="4"/>
        <v>1971.496799999999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60</v>
      </c>
      <c r="B59" s="181">
        <f>'Données projet'!D67</f>
        <v>69.839999999999975</v>
      </c>
      <c r="C59" s="191">
        <v>28.079999999999995</v>
      </c>
      <c r="D59" s="179">
        <f t="shared" si="4"/>
        <v>1961.107199999999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70</v>
      </c>
      <c r="B60" s="181">
        <f>'Données projet'!D68</f>
        <v>67.88</v>
      </c>
      <c r="C60" s="191">
        <v>28.079999999999995</v>
      </c>
      <c r="D60" s="179">
        <f t="shared" si="4"/>
        <v>1906.0703999999996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520.03</v>
      </c>
      <c r="C61" s="191">
        <v>36.855000000000004</v>
      </c>
      <c r="D61" s="179">
        <f t="shared" si="4"/>
        <v>19165.70565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44</v>
      </c>
      <c r="B85" s="181">
        <f>'Données projet'!D88</f>
        <v>76.680000000000007</v>
      </c>
      <c r="C85" s="191">
        <v>14.625000000000002</v>
      </c>
      <c r="D85" s="179">
        <f>B85*C85</f>
        <v>1121.4450000000002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48.769999999999982</v>
      </c>
      <c r="C86" s="191">
        <v>14.625000000000002</v>
      </c>
      <c r="D86" s="179">
        <f t="shared" ref="D86:D104" si="6">B86*C86</f>
        <v>713.26124999999979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59</v>
      </c>
      <c r="B87" s="181">
        <f>'Données projet'!D90</f>
        <v>52.75</v>
      </c>
      <c r="C87" s="191">
        <v>47.069099999999999</v>
      </c>
      <c r="D87" s="179">
        <f t="shared" si="6"/>
        <v>2482.8950249999998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67</v>
      </c>
      <c r="B88" s="181">
        <f>'Données projet'!D91</f>
        <v>44.170000000000016</v>
      </c>
      <c r="C88" s="191">
        <v>47.069099999999999</v>
      </c>
      <c r="D88" s="179">
        <f t="shared" si="6"/>
        <v>2079.0421470000006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75</v>
      </c>
      <c r="B89" s="181">
        <f>'Données projet'!D92</f>
        <v>43.289999999999992</v>
      </c>
      <c r="C89" s="191">
        <v>47.069099999999999</v>
      </c>
      <c r="D89" s="179">
        <f t="shared" si="6"/>
        <v>2037.6213389999996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49.669999999999987</v>
      </c>
      <c r="C90" s="191">
        <v>47.069099999999999</v>
      </c>
      <c r="D90" s="179">
        <f t="shared" si="6"/>
        <v>2337.9221969999994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93</v>
      </c>
      <c r="B91" s="181">
        <f>'Données projet'!D94</f>
        <v>42.910000000000025</v>
      </c>
      <c r="C91" s="191">
        <v>47.069099999999999</v>
      </c>
      <c r="D91" s="179">
        <f t="shared" si="6"/>
        <v>2019.7350810000012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103</v>
      </c>
      <c r="B92" s="181">
        <f>'Données projet'!D95</f>
        <v>56.789999999999964</v>
      </c>
      <c r="C92" s="191">
        <v>47.069099999999999</v>
      </c>
      <c r="D92" s="179">
        <f t="shared" si="6"/>
        <v>2673.0541889999981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113</v>
      </c>
      <c r="B93" s="181">
        <f>'Données projet'!D96</f>
        <v>45.660000000000025</v>
      </c>
      <c r="C93" s="191">
        <v>135.13499999999999</v>
      </c>
      <c r="D93" s="179">
        <f t="shared" si="6"/>
        <v>6170.2641000000031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125</v>
      </c>
      <c r="B94" s="181">
        <f>'Données projet'!D97</f>
        <v>70</v>
      </c>
      <c r="C94" s="191">
        <v>135.13499999999999</v>
      </c>
      <c r="D94" s="179">
        <f t="shared" si="6"/>
        <v>9459.4499999999989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137</v>
      </c>
      <c r="B95" s="181">
        <f>'Données projet'!D98</f>
        <v>74.669999999999959</v>
      </c>
      <c r="C95" s="191">
        <v>135.13499999999999</v>
      </c>
      <c r="D95" s="179">
        <f t="shared" si="6"/>
        <v>10090.530449999993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149</v>
      </c>
      <c r="B96" s="181">
        <f>'Données projet'!D99</f>
        <v>176.67000000000002</v>
      </c>
      <c r="C96" s="191">
        <v>190.06649999999999</v>
      </c>
      <c r="D96" s="179">
        <f t="shared" si="6"/>
        <v>33579.048555000001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153</v>
      </c>
      <c r="B97" s="181">
        <f>'Données projet'!D100</f>
        <v>102.89000000000001</v>
      </c>
      <c r="C97" s="191">
        <v>190.06649999999999</v>
      </c>
      <c r="D97" s="179">
        <f t="shared" si="6"/>
        <v>19555.942185000004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157</v>
      </c>
      <c r="B98" s="181">
        <f>'Données projet'!D101</f>
        <v>67.13000000000001</v>
      </c>
      <c r="C98" s="191">
        <v>190.06649999999999</v>
      </c>
      <c r="D98" s="179">
        <f t="shared" si="6"/>
        <v>12759.164145000001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161</v>
      </c>
      <c r="B99" s="181">
        <f>'Données projet'!D102</f>
        <v>134.26</v>
      </c>
      <c r="C99" s="191">
        <v>190.06649999999999</v>
      </c>
      <c r="D99" s="179">
        <f t="shared" si="6"/>
        <v>25518.328289999998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60</v>
      </c>
      <c r="B116" s="181">
        <f>'Données projet'!D114</f>
        <v>72.87</v>
      </c>
      <c r="C116" s="191">
        <v>13.1625</v>
      </c>
      <c r="D116" s="179">
        <f>B116*C116</f>
        <v>959.15137500000003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69</v>
      </c>
      <c r="B117" s="181">
        <f>'Données projet'!D115</f>
        <v>42.22</v>
      </c>
      <c r="C117" s="191">
        <v>13.1625</v>
      </c>
      <c r="D117" s="179">
        <f t="shared" ref="D117:D135" si="8">B117*C117</f>
        <v>555.72074999999995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77</v>
      </c>
      <c r="B118" s="181">
        <f>'Données projet'!D116</f>
        <v>33.950000000000017</v>
      </c>
      <c r="C118" s="191">
        <v>13.1625</v>
      </c>
      <c r="D118" s="179">
        <f t="shared" si="8"/>
        <v>446.86687500000022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86</v>
      </c>
      <c r="B119" s="181">
        <f>'Données projet'!D117</f>
        <v>37.54000000000002</v>
      </c>
      <c r="C119" s="191">
        <v>17.737500000000001</v>
      </c>
      <c r="D119" s="179">
        <f t="shared" si="8"/>
        <v>665.86575000000039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95</v>
      </c>
      <c r="B120" s="181">
        <f>'Données projet'!D118</f>
        <v>42.199999999999989</v>
      </c>
      <c r="C120" s="191">
        <v>17.737500000000001</v>
      </c>
      <c r="D120" s="179">
        <f t="shared" si="8"/>
        <v>748.52249999999981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104</v>
      </c>
      <c r="B121" s="181">
        <f>'Données projet'!D119</f>
        <v>39.400000000000006</v>
      </c>
      <c r="C121" s="191">
        <v>17.737500000000001</v>
      </c>
      <c r="D121" s="179">
        <f t="shared" si="8"/>
        <v>698.85750000000007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113</v>
      </c>
      <c r="B122" s="181">
        <f>'Données projet'!D120</f>
        <v>41.639999999999986</v>
      </c>
      <c r="C122" s="191">
        <v>17.737500000000001</v>
      </c>
      <c r="D122" s="179">
        <f t="shared" si="8"/>
        <v>738.58949999999982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122</v>
      </c>
      <c r="B123" s="181">
        <f>'Données projet'!D121</f>
        <v>45.829999999999984</v>
      </c>
      <c r="C123" s="191">
        <v>17.737500000000001</v>
      </c>
      <c r="D123" s="179">
        <f t="shared" si="8"/>
        <v>812.90962499999978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132</v>
      </c>
      <c r="B124" s="181">
        <f>'Données projet'!D122</f>
        <v>48.699999999999989</v>
      </c>
      <c r="C124" s="191">
        <v>17.737500000000001</v>
      </c>
      <c r="D124" s="179">
        <f t="shared" si="8"/>
        <v>863.81624999999985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144</v>
      </c>
      <c r="B125" s="181">
        <f>'Données projet'!D123</f>
        <v>60.949999999999989</v>
      </c>
      <c r="C125" s="191">
        <v>17.737500000000001</v>
      </c>
      <c r="D125" s="179">
        <f t="shared" si="8"/>
        <v>1081.1006249999998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156</v>
      </c>
      <c r="B126" s="181">
        <f>'Données projet'!D124</f>
        <v>65.69</v>
      </c>
      <c r="C126" s="191">
        <v>22.331250000000001</v>
      </c>
      <c r="D126" s="179">
        <f t="shared" si="8"/>
        <v>1466.9398125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168</v>
      </c>
      <c r="B127" s="181">
        <f>'Données projet'!D125</f>
        <v>71.37</v>
      </c>
      <c r="C127" s="191">
        <v>22.331250000000001</v>
      </c>
      <c r="D127" s="179">
        <f t="shared" si="8"/>
        <v>1593.7813125000002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180</v>
      </c>
      <c r="B128" s="181">
        <f>'Données projet'!D126</f>
        <v>175.59000000000003</v>
      </c>
      <c r="C128" s="191">
        <v>22.331250000000001</v>
      </c>
      <c r="D128" s="179">
        <f t="shared" si="8"/>
        <v>3921.144187500001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184</v>
      </c>
      <c r="B129" s="181">
        <f>'Données projet'!D127</f>
        <v>101.19999999999999</v>
      </c>
      <c r="C129" s="191">
        <v>22.331250000000001</v>
      </c>
      <c r="D129" s="179">
        <f t="shared" si="8"/>
        <v>2259.9224999999997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188</v>
      </c>
      <c r="B130" s="181">
        <f>'Données projet'!D128</f>
        <v>72.180000000000007</v>
      </c>
      <c r="C130" s="191">
        <v>22.331250000000001</v>
      </c>
      <c r="D130" s="179">
        <f t="shared" si="8"/>
        <v>1611.8696250000003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191</v>
      </c>
      <c r="B131" s="181">
        <f>'Données projet'!D129</f>
        <v>145.01</v>
      </c>
      <c r="C131" s="191">
        <v>36.581249999999997</v>
      </c>
      <c r="D131" s="179">
        <f t="shared" si="8"/>
        <v>5304.6470624999993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38</v>
      </c>
      <c r="B147" s="175">
        <f>'Données projet'!D140</f>
        <v>71.569999999999993</v>
      </c>
      <c r="C147" s="191">
        <v>13.1625</v>
      </c>
      <c r="D147" s="182">
        <f>B147*C147</f>
        <v>942.04012499999988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45</v>
      </c>
      <c r="B148" s="175">
        <f>'Données projet'!D141</f>
        <v>41.69</v>
      </c>
      <c r="C148" s="191">
        <v>13.1625</v>
      </c>
      <c r="D148" s="182">
        <f t="shared" ref="D148:D166" si="10">B148*C148</f>
        <v>548.74462499999993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52</v>
      </c>
      <c r="B149" s="175">
        <f>'Données projet'!D142</f>
        <v>44.400000000000006</v>
      </c>
      <c r="C149" s="191">
        <v>13.1625</v>
      </c>
      <c r="D149" s="182">
        <f t="shared" si="10"/>
        <v>584.41500000000008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59</v>
      </c>
      <c r="B150" s="175">
        <f>'Données projet'!D143</f>
        <v>41.81</v>
      </c>
      <c r="C150" s="191">
        <v>17.737500000000001</v>
      </c>
      <c r="D150" s="182">
        <f t="shared" si="10"/>
        <v>741.60487500000011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67</v>
      </c>
      <c r="B151" s="175">
        <f>'Données projet'!D144</f>
        <v>42.550000000000011</v>
      </c>
      <c r="C151" s="191">
        <v>17.737500000000001</v>
      </c>
      <c r="D151" s="182">
        <f t="shared" si="10"/>
        <v>754.73062500000026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75</v>
      </c>
      <c r="B152" s="175">
        <f>'Données projet'!D145</f>
        <v>43.519999999999982</v>
      </c>
      <c r="C152" s="191">
        <v>17.737500000000001</v>
      </c>
      <c r="D152" s="182">
        <f t="shared" si="10"/>
        <v>771.93599999999969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83</v>
      </c>
      <c r="B153" s="175">
        <f>'Données projet'!D146</f>
        <v>49.980000000000018</v>
      </c>
      <c r="C153" s="191">
        <v>17.737500000000001</v>
      </c>
      <c r="D153" s="182">
        <f t="shared" si="10"/>
        <v>886.52025000000037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93</v>
      </c>
      <c r="B154" s="175">
        <f>'Données projet'!D147</f>
        <v>67.45999999999998</v>
      </c>
      <c r="C154" s="191">
        <v>17.737500000000001</v>
      </c>
      <c r="D154" s="182">
        <f t="shared" si="10"/>
        <v>1196.5717499999996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103</v>
      </c>
      <c r="B155" s="175">
        <f>'Données projet'!D148</f>
        <v>67.759999999999991</v>
      </c>
      <c r="C155" s="191">
        <v>17.737500000000001</v>
      </c>
      <c r="D155" s="182">
        <f t="shared" si="10"/>
        <v>1201.8929999999998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113</v>
      </c>
      <c r="B156" s="175">
        <f>'Données projet'!D149</f>
        <v>68.670000000000016</v>
      </c>
      <c r="C156" s="191">
        <v>17.737500000000001</v>
      </c>
      <c r="D156" s="182">
        <f t="shared" si="10"/>
        <v>1218.0341250000004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123</v>
      </c>
      <c r="B157" s="175">
        <f>'Données projet'!D150</f>
        <v>203.78999999999996</v>
      </c>
      <c r="C157" s="191">
        <v>22.331250000000001</v>
      </c>
      <c r="D157" s="182">
        <f t="shared" si="10"/>
        <v>4550.8854374999992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125</v>
      </c>
      <c r="B158" s="175">
        <f>'Données projet'!D151</f>
        <v>70.609999999999985</v>
      </c>
      <c r="C158" s="191">
        <v>22.331250000000001</v>
      </c>
      <c r="D158" s="182">
        <f t="shared" si="10"/>
        <v>1576.8095624999996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127</v>
      </c>
      <c r="B159" s="175">
        <f>'Données projet'!D152</f>
        <v>46.039999999999992</v>
      </c>
      <c r="C159" s="191">
        <v>22.331250000000001</v>
      </c>
      <c r="D159" s="182">
        <f t="shared" si="10"/>
        <v>1028.1307499999998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130</v>
      </c>
      <c r="B160" s="175">
        <f>'Données projet'!D153</f>
        <v>112.75</v>
      </c>
      <c r="C160" s="191">
        <v>37</v>
      </c>
      <c r="D160" s="182">
        <f t="shared" si="10"/>
        <v>4171.75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Peuplier Koster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16</v>
      </c>
      <c r="B178" s="181">
        <f>'Données projet'!D166</f>
        <v>259.2</v>
      </c>
      <c r="C178" s="193">
        <v>45</v>
      </c>
      <c r="D178" s="179">
        <f>B178*C178</f>
        <v>11664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B8B7395B-83D8-49FB-8152-1349C9C0A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2024-03-26T10:16:33Z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