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LBC/Dossiers LBC/DE RUSSON/JOSSE - 10197361 LE - 14939083 CD/"/>
    </mc:Choice>
  </mc:AlternateContent>
  <xr:revisionPtr revIDLastSave="0" documentId="14_{BE1835D8-F099-4AAA-A603-7D1E7DFAAE64}" xr6:coauthVersionLast="47" xr6:coauthVersionMax="47" xr10:uidLastSave="{00000000-0000-0000-0000-000000000000}"/>
  <bookViews>
    <workbookView xWindow="-110" yWindow="-110" windowWidth="22780" windowHeight="14540" tabRatio="866" activeTab="2" xr2:uid="{00000000-000D-0000-FFFF-FFFF00000000}"/>
  </bookViews>
  <sheets>
    <sheet name="Accueil" sheetId="5" r:id="rId1"/>
    <sheet name="Données projet" sheetId="1" r:id="rId2"/>
    <sheet name="REE" sheetId="4" r:id="rId3"/>
    <sheet name="Scénario référence" sheetId="7" r:id="rId4"/>
    <sheet name="VAN" sheetId="6" r:id="rId5"/>
    <sheet name="Calculateur" sheetId="2" state="hidden" r:id="rId6"/>
    <sheet name="Paramètres" sheetId="3" state="hidden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GL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H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B22" i="2"/>
  <c r="EA22" i="2"/>
  <c r="HG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I28" i="2"/>
  <c r="EB28" i="2"/>
  <c r="EV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G75" i="2"/>
  <c r="HH75" i="2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W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HG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H145" i="2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EV150" i="2"/>
  <c r="HH150" i="2"/>
  <c r="HG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X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EX156" i="2" l="1"/>
  <c r="DH156" i="2"/>
  <c r="HH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HI160" i="2"/>
  <c r="DG160" i="2"/>
  <c r="ED159" i="2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B161" i="2"/>
  <c r="EX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DI163" i="2"/>
  <c r="DH164" i="2"/>
  <c r="FS164" i="2"/>
  <c r="FR164" i="2"/>
  <c r="HH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X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HI167" i="2"/>
  <c r="FR167" i="2"/>
  <c r="EC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HI168" i="2"/>
  <c r="DG168" i="2"/>
  <c r="HH168" i="2"/>
  <c r="DI167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HG172" i="2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FQ178" i="2"/>
  <c r="HH178" i="2"/>
  <c r="HG178" i="2"/>
  <c r="FS178" i="2"/>
  <c r="EA178" i="2"/>
  <c r="ED178" i="2" s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FS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HH185" i="2"/>
  <c r="HG185" i="2"/>
  <c r="EA185" i="2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C192" i="2"/>
  <c r="HI192" i="2"/>
  <c r="EW192" i="2"/>
  <c r="HG192" i="2"/>
  <c r="EA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B193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HG195" i="2"/>
  <c r="EA195" i="2"/>
  <c r="AA195" i="2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A197" i="2"/>
  <c r="ED197" i="2" s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V199" i="2"/>
  <c r="EB199" i="2"/>
  <c r="EW199" i="2"/>
  <c r="HG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D200" i="2"/>
  <c r="DI200" i="2"/>
  <c r="HH201" i="2" l="1"/>
  <c r="HG201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G202" i="2"/>
  <c r="EW202" i="2"/>
  <c r="FZ6" i="2"/>
  <c r="EX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GT122" i="2" a="1"/>
  <c r="GT122" i="2" s="1"/>
  <c r="GT121" i="2" a="1"/>
  <c r="GT121" i="2" s="1"/>
  <c r="GT133" i="2" a="1"/>
  <c r="GT133" i="2" s="1"/>
  <c r="EI166" i="2" a="1"/>
  <c r="EI166" i="2" s="1"/>
  <c r="EI142" i="2" a="1"/>
  <c r="EI142" i="2" s="1"/>
  <c r="DN150" i="2" a="1"/>
  <c r="DN150" i="2" s="1"/>
  <c r="AH90" i="2" a="1"/>
  <c r="AH90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83" i="2" a="1"/>
  <c r="BC83" i="2" s="1"/>
  <c r="BC38" i="2" a="1"/>
  <c r="BC38" i="2" s="1"/>
  <c r="BC18" i="2" a="1"/>
  <c r="BC18" i="2" s="1"/>
  <c r="GT198" i="2" a="1"/>
  <c r="GT198" i="2" s="1"/>
  <c r="GT189" i="2" a="1"/>
  <c r="GT189" i="2" s="1"/>
  <c r="GT178" i="2" a="1"/>
  <c r="GT178" i="2" s="1"/>
  <c r="GT174" i="2" a="1"/>
  <c r="GT174" i="2" s="1"/>
  <c r="GT107" i="2" a="1"/>
  <c r="GT107" i="2" s="1"/>
  <c r="GT138" i="2" a="1"/>
  <c r="GT138" i="2" s="1"/>
  <c r="EI34" i="2" a="1"/>
  <c r="EI34" i="2" s="1"/>
  <c r="EI35" i="2" a="1"/>
  <c r="EI35" i="2" s="1"/>
  <c r="DN6" i="2" a="1"/>
  <c r="DN6" i="2" s="1"/>
  <c r="DO6" i="2" s="1"/>
  <c r="BX107" i="2" a="1"/>
  <c r="BX107" i="2" s="1"/>
  <c r="FD82" i="2" a="1"/>
  <c r="FD82" i="2" s="1"/>
  <c r="HJ202" i="2"/>
  <c r="AX200" i="2"/>
  <c r="DN170" i="2" l="1" a="1"/>
  <c r="DN170" i="2" s="1"/>
  <c r="CS72" i="2" a="1"/>
  <c r="CS72" i="2" s="1"/>
  <c r="DN41" i="2" a="1"/>
  <c r="DN41" i="2" s="1"/>
  <c r="DN155" i="2" a="1"/>
  <c r="DN155" i="2" s="1"/>
  <c r="DN31" i="2" a="1"/>
  <c r="DN31" i="2" s="1"/>
  <c r="CS114" i="2" a="1"/>
  <c r="CS114" i="2" s="1"/>
  <c r="DN56" i="2" a="1"/>
  <c r="DN56" i="2" s="1"/>
  <c r="CS56" i="2" a="1"/>
  <c r="CS56" i="2" s="1"/>
  <c r="CS161" i="2" a="1"/>
  <c r="CS161" i="2" s="1"/>
  <c r="DN192" i="2" a="1"/>
  <c r="DN192" i="2" s="1"/>
  <c r="DN16" i="2" a="1"/>
  <c r="DN16" i="2" s="1"/>
  <c r="DN186" i="2" a="1"/>
  <c r="DN186" i="2" s="1"/>
  <c r="DN133" i="2" a="1"/>
  <c r="DN133" i="2" s="1"/>
  <c r="GT21" i="2" a="1"/>
  <c r="GT21" i="2" s="1"/>
  <c r="DN113" i="2" a="1"/>
  <c r="DN113" i="2" s="1"/>
  <c r="CS24" i="2" a="1"/>
  <c r="CS24" i="2" s="1"/>
  <c r="DN65" i="2" a="1"/>
  <c r="DN65" i="2" s="1"/>
  <c r="DN49" i="2" a="1"/>
  <c r="DN49" i="2" s="1"/>
  <c r="DN168" i="2" a="1"/>
  <c r="DN168" i="2" s="1"/>
  <c r="GT191" i="2" a="1"/>
  <c r="GT191" i="2" s="1"/>
  <c r="GT12" i="2" a="1"/>
  <c r="GT12" i="2" s="1"/>
  <c r="DN103" i="2" a="1"/>
  <c r="DN103" i="2" s="1"/>
  <c r="DN86" i="2" a="1"/>
  <c r="DN86" i="2" s="1"/>
  <c r="DN25" i="2" a="1"/>
  <c r="DN25" i="2" s="1"/>
  <c r="CS129" i="2" a="1"/>
  <c r="CS129" i="2" s="1"/>
  <c r="GT102" i="2" a="1"/>
  <c r="GT102" i="2" s="1"/>
  <c r="GT68" i="2" a="1"/>
  <c r="GT68" i="2" s="1"/>
  <c r="DN176" i="2" a="1"/>
  <c r="DN176" i="2" s="1"/>
  <c r="DN129" i="2" a="1"/>
  <c r="DN129" i="2" s="1"/>
  <c r="DN45" i="2" a="1"/>
  <c r="DN45" i="2" s="1"/>
  <c r="CS77" i="2" a="1"/>
  <c r="CS77" i="2" s="1"/>
  <c r="CS134" i="2" a="1"/>
  <c r="CS134" i="2" s="1"/>
  <c r="GT190" i="2" a="1"/>
  <c r="GT190" i="2" s="1"/>
  <c r="DN188" i="2" a="1"/>
  <c r="DN188" i="2" s="1"/>
  <c r="GT51" i="2" a="1"/>
  <c r="GT51" i="2" s="1"/>
  <c r="DN132" i="2" a="1"/>
  <c r="DN132" i="2" s="1"/>
  <c r="DN70" i="2" a="1"/>
  <c r="DN70" i="2" s="1"/>
  <c r="DN164" i="2" a="1"/>
  <c r="DN164" i="2" s="1"/>
  <c r="GT38" i="2" a="1"/>
  <c r="GT38" i="2" s="1"/>
  <c r="CS120" i="2" a="1"/>
  <c r="CS120" i="2" s="1"/>
  <c r="CS137" i="2" a="1"/>
  <c r="CS137" i="2" s="1"/>
  <c r="DN177" i="2" a="1"/>
  <c r="DN177" i="2" s="1"/>
  <c r="DN184" i="2" a="1"/>
  <c r="DN184" i="2" s="1"/>
  <c r="CS52" i="2" a="1"/>
  <c r="CS52" i="2" s="1"/>
  <c r="GT147" i="2" a="1"/>
  <c r="GT147" i="2" s="1"/>
  <c r="GT181" i="2" a="1"/>
  <c r="GT181" i="2" s="1"/>
  <c r="DN80" i="2" a="1"/>
  <c r="DN80" i="2" s="1"/>
  <c r="DN66" i="2" a="1"/>
  <c r="DN66" i="2" s="1"/>
  <c r="DN162" i="2" a="1"/>
  <c r="DN162" i="2" s="1"/>
  <c r="DN137" i="2" a="1"/>
  <c r="DN137" i="2" s="1"/>
  <c r="DN187" i="2" a="1"/>
  <c r="DN187" i="2" s="1"/>
  <c r="DN30" i="2" a="1"/>
  <c r="DN30" i="2" s="1"/>
  <c r="DN55" i="2" a="1"/>
  <c r="DN55" i="2" s="1"/>
  <c r="DN135" i="2" a="1"/>
  <c r="DN135" i="2" s="1"/>
  <c r="GT126" i="2" a="1"/>
  <c r="GT126" i="2" s="1"/>
  <c r="DN63" i="2" a="1"/>
  <c r="DN63" i="2" s="1"/>
  <c r="CS38" i="2" a="1"/>
  <c r="CS38" i="2" s="1"/>
  <c r="DN123" i="2" a="1"/>
  <c r="DN123" i="2" s="1"/>
  <c r="DN115" i="2" a="1"/>
  <c r="DN115" i="2" s="1"/>
  <c r="DN152" i="2" a="1"/>
  <c r="DN152" i="2" s="1"/>
  <c r="DN124" i="2" a="1"/>
  <c r="DN124" i="2" s="1"/>
  <c r="GT152" i="2" a="1"/>
  <c r="GT152" i="2" s="1"/>
  <c r="GT184" i="2" a="1"/>
  <c r="GT184" i="2" s="1"/>
  <c r="DN167" i="2" a="1"/>
  <c r="DN167" i="2" s="1"/>
  <c r="DN43" i="2" a="1"/>
  <c r="DN43" i="2" s="1"/>
  <c r="DN190" i="2" a="1"/>
  <c r="DN190" i="2" s="1"/>
  <c r="DN50" i="2" a="1"/>
  <c r="DN50" i="2" s="1"/>
  <c r="CS185" i="2" a="1"/>
  <c r="CS185" i="2" s="1"/>
  <c r="DN114" i="2" a="1"/>
  <c r="DN114" i="2" s="1"/>
  <c r="GT11" i="2" a="1"/>
  <c r="GT11" i="2" s="1"/>
  <c r="DN46" i="2" a="1"/>
  <c r="DN46" i="2" s="1"/>
  <c r="DN110" i="2" a="1"/>
  <c r="DN110" i="2" s="1"/>
  <c r="DN38" i="2" a="1"/>
  <c r="DN38" i="2" s="1"/>
  <c r="GT15" i="2" a="1"/>
  <c r="GT15" i="2" s="1"/>
  <c r="GT74" i="2" a="1"/>
  <c r="GT74" i="2" s="1"/>
  <c r="CS105" i="2" a="1"/>
  <c r="CS105" i="2" s="1"/>
  <c r="CS116" i="2" a="1"/>
  <c r="CS116" i="2" s="1"/>
  <c r="DN153" i="2" a="1"/>
  <c r="DN153" i="2" s="1"/>
  <c r="DN29" i="2" a="1"/>
  <c r="DN29" i="2" s="1"/>
  <c r="CS66" i="2" a="1"/>
  <c r="CS66" i="2" s="1"/>
  <c r="GT33" i="2" a="1"/>
  <c r="GT33" i="2" s="1"/>
  <c r="GT115" i="2" a="1"/>
  <c r="GT115" i="2" s="1"/>
  <c r="AH92" i="2" a="1"/>
  <c r="AH92" i="2" s="1"/>
  <c r="AH151" i="2" a="1"/>
  <c r="AH151" i="2" s="1"/>
  <c r="BC151" i="2" a="1"/>
  <c r="BC151" i="2" s="1"/>
  <c r="BC192" i="2" a="1"/>
  <c r="BC192" i="2" s="1"/>
  <c r="BC126" i="2" a="1"/>
  <c r="BC126" i="2" s="1"/>
  <c r="BC185" i="2" a="1"/>
  <c r="BC185" i="2" s="1"/>
  <c r="BC130" i="2" a="1"/>
  <c r="BC130" i="2" s="1"/>
  <c r="BC47" i="2" a="1"/>
  <c r="BC47" i="2" s="1"/>
  <c r="EI128" i="2" a="1"/>
  <c r="EI128" i="2" s="1"/>
  <c r="EI109" i="2" a="1"/>
  <c r="EI109" i="2" s="1"/>
  <c r="EI106" i="2" a="1"/>
  <c r="EI106" i="2" s="1"/>
  <c r="EI37" i="2" a="1"/>
  <c r="EI37" i="2" s="1"/>
  <c r="EI20" i="2" a="1"/>
  <c r="EI20" i="2" s="1"/>
  <c r="EI38" i="2" a="1"/>
  <c r="EI38" i="2" s="1"/>
  <c r="EI153" i="2" a="1"/>
  <c r="EI153" i="2" s="1"/>
  <c r="EI139" i="2" a="1"/>
  <c r="EI139" i="2" s="1"/>
  <c r="EI165" i="2" a="1"/>
  <c r="EI165" i="2" s="1"/>
  <c r="EI178" i="2" a="1"/>
  <c r="EI178" i="2" s="1"/>
  <c r="EI198" i="2" a="1"/>
  <c r="EI198" i="2" s="1"/>
  <c r="EI67" i="2" a="1"/>
  <c r="EI67" i="2" s="1"/>
  <c r="EI71" i="2" a="1"/>
  <c r="EI71" i="2" s="1"/>
  <c r="EI145" i="2" a="1"/>
  <c r="EI145" i="2" s="1"/>
  <c r="EI170" i="2" a="1"/>
  <c r="EI170" i="2" s="1"/>
  <c r="EI57" i="2" a="1"/>
  <c r="EI57" i="2" s="1"/>
  <c r="EI162" i="2" a="1"/>
  <c r="EI162" i="2" s="1"/>
  <c r="EI16" i="2" a="1"/>
  <c r="EI16" i="2" s="1"/>
  <c r="EI36" i="2" a="1"/>
  <c r="EI36" i="2" s="1"/>
  <c r="EI150" i="2" a="1"/>
  <c r="EI150" i="2" s="1"/>
  <c r="EI113" i="2" a="1"/>
  <c r="EI113" i="2" s="1"/>
  <c r="EI87" i="2" a="1"/>
  <c r="EI87" i="2" s="1"/>
  <c r="EI195" i="2" a="1"/>
  <c r="EI195" i="2" s="1"/>
  <c r="EI29" i="2" a="1"/>
  <c r="EI29" i="2" s="1"/>
  <c r="HH203" i="2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I56" i="2" l="1"/>
  <c r="BI131" i="2"/>
  <c r="BI47" i="2"/>
  <c r="BI104" i="2"/>
  <c r="BI52" i="2"/>
  <c r="BI85" i="2"/>
  <c r="BI190" i="2"/>
  <c r="BI197" i="2"/>
  <c r="BI16" i="2"/>
  <c r="BI19" i="2"/>
  <c r="BI73" i="2"/>
  <c r="BI103" i="2"/>
  <c r="BI45" i="2"/>
  <c r="BI28" i="2"/>
  <c r="BI29" i="2"/>
  <c r="BI96" i="2"/>
  <c r="BI151" i="2"/>
  <c r="BI147" i="2"/>
  <c r="BI74" i="2"/>
  <c r="BI20" i="2"/>
  <c r="BI173" i="2"/>
  <c r="BI171" i="2"/>
  <c r="BI110" i="2"/>
  <c r="BI199" i="2"/>
  <c r="BI114" i="2"/>
  <c r="BI194" i="2"/>
  <c r="BI102" i="2"/>
  <c r="BI8" i="2"/>
  <c r="BI94" i="2"/>
  <c r="BI135" i="2"/>
  <c r="BI106" i="2"/>
  <c r="BI42" i="2"/>
  <c r="BI23" i="2"/>
  <c r="BI198" i="2"/>
  <c r="BI4" i="2"/>
  <c r="BI58" i="2"/>
  <c r="BI157" i="2"/>
  <c r="BI98" i="2"/>
  <c r="BI59" i="2"/>
  <c r="BI41" i="2"/>
  <c r="BI72" i="2"/>
  <c r="BI178" i="2"/>
  <c r="BI133" i="2"/>
  <c r="BI27" i="2"/>
  <c r="BI25" i="2"/>
  <c r="BI7" i="2"/>
  <c r="BI31" i="2"/>
  <c r="BI146" i="2"/>
  <c r="BI148" i="2"/>
  <c r="BI161" i="2"/>
  <c r="BI191" i="2"/>
  <c r="BI187" i="2"/>
  <c r="BI40" i="2"/>
  <c r="BI13" i="2"/>
  <c r="BI26" i="2"/>
  <c r="BI97" i="2"/>
  <c r="BI39" i="2"/>
  <c r="BI200" i="2"/>
  <c r="BI69" i="2"/>
  <c r="BI111" i="2"/>
  <c r="BI126" i="2"/>
  <c r="BI101" i="2"/>
  <c r="BI130" i="2"/>
  <c r="BI117" i="2"/>
  <c r="BI81" i="2"/>
  <c r="BI150" i="2"/>
  <c r="BI14" i="2"/>
  <c r="BI154" i="2"/>
  <c r="BI89" i="2"/>
  <c r="BI172" i="2"/>
  <c r="BI139" i="2"/>
  <c r="BI75" i="2"/>
  <c r="BI60" i="2"/>
  <c r="BI184" i="2"/>
  <c r="BI109" i="2"/>
  <c r="BI141" i="2"/>
  <c r="BI55" i="2"/>
  <c r="BI112" i="2"/>
  <c r="BI67" i="2"/>
  <c r="BI145" i="2"/>
  <c r="BI76" i="2"/>
  <c r="BI138" i="2"/>
  <c r="BI164" i="2"/>
  <c r="BI121" i="2"/>
  <c r="BI179" i="2"/>
  <c r="BI33" i="2"/>
  <c r="BI153" i="2"/>
  <c r="BI6" i="2"/>
  <c r="BI24" i="2"/>
  <c r="BI165" i="2"/>
  <c r="BI107" i="2"/>
  <c r="BI175" i="2"/>
  <c r="BI80" i="2"/>
  <c r="BI108" i="2"/>
  <c r="BI68" i="2"/>
  <c r="BI158" i="2"/>
  <c r="BI182" i="2"/>
  <c r="BI201" i="2"/>
  <c r="BI30" i="2"/>
  <c r="BI140" i="2"/>
  <c r="BI149" i="2"/>
  <c r="BI90" i="2"/>
  <c r="BI159" i="2"/>
  <c r="BI118" i="2"/>
  <c r="BI37" i="2"/>
  <c r="BI50" i="2"/>
  <c r="BI66" i="2"/>
  <c r="BI95" i="2"/>
  <c r="BI53" i="2"/>
  <c r="BI99" i="2"/>
  <c r="BI119" i="2"/>
  <c r="BI71" i="2"/>
  <c r="BI177" i="2"/>
  <c r="BI93" i="2"/>
  <c r="BI35" i="2"/>
  <c r="BI43" i="2"/>
  <c r="BI185" i="2"/>
  <c r="BI125" i="2"/>
  <c r="BI127" i="2"/>
  <c r="BI137" i="2"/>
  <c r="BI46" i="2"/>
  <c r="BI70" i="2"/>
  <c r="BI166" i="2"/>
  <c r="BI156" i="2"/>
  <c r="BI100" i="2"/>
  <c r="BI105" i="2"/>
  <c r="BI163" i="2"/>
  <c r="BI62" i="2"/>
  <c r="BI188" i="2"/>
  <c r="BI84" i="2"/>
  <c r="BI196" i="2"/>
  <c r="BI124" i="2"/>
  <c r="BI160" i="2"/>
  <c r="BI192" i="2"/>
  <c r="BI54" i="2"/>
  <c r="BI155" i="2"/>
  <c r="BI162" i="2"/>
  <c r="BI120" i="2"/>
  <c r="BI144" i="2"/>
  <c r="BI83" i="2"/>
  <c r="BI36" i="2"/>
  <c r="BI113" i="2"/>
  <c r="BI202" i="2"/>
  <c r="BI189" i="2"/>
  <c r="BI115" i="2"/>
  <c r="BI17" i="2"/>
  <c r="BI152" i="2"/>
  <c r="BI176" i="2"/>
  <c r="BI88" i="2"/>
  <c r="BI186" i="2"/>
  <c r="BI91" i="2"/>
  <c r="BI143" i="2"/>
  <c r="BI77" i="2"/>
  <c r="BI167" i="2"/>
  <c r="BI195" i="2"/>
  <c r="BI22" i="2"/>
  <c r="BI12" i="2"/>
  <c r="BI78" i="2"/>
  <c r="BI61" i="2"/>
  <c r="BI132" i="2"/>
  <c r="BI79" i="2"/>
  <c r="BI9" i="2"/>
  <c r="BI134" i="2"/>
  <c r="BI129" i="2"/>
  <c r="BI203" i="2"/>
  <c r="BI3" i="2"/>
  <c r="C8" i="4" s="1"/>
  <c r="E8" i="4" s="1"/>
  <c r="F8" i="4" s="1"/>
  <c r="G8" i="4" s="1"/>
  <c r="L8" i="4" s="1"/>
  <c r="BI44" i="2"/>
  <c r="BI21" i="2"/>
  <c r="BI32" i="2"/>
  <c r="BI82" i="2"/>
  <c r="BI15" i="2"/>
  <c r="BI183" i="2"/>
  <c r="BI18" i="2"/>
  <c r="BI193" i="2"/>
  <c r="BI180" i="2"/>
  <c r="BI169" i="2"/>
  <c r="BI11" i="2"/>
  <c r="BI51" i="2"/>
  <c r="BI170" i="2"/>
  <c r="BI168" i="2"/>
  <c r="BI136" i="2"/>
  <c r="BI57" i="2"/>
  <c r="BI65" i="2"/>
  <c r="BI49" i="2"/>
  <c r="BI64" i="2"/>
  <c r="BI142" i="2"/>
  <c r="BI63" i="2"/>
  <c r="BI123" i="2"/>
  <c r="BI122" i="2"/>
  <c r="BI86" i="2"/>
  <c r="BI87" i="2"/>
  <c r="BI128" i="2"/>
  <c r="BI116" i="2"/>
  <c r="BI38" i="2"/>
  <c r="BI92" i="2"/>
  <c r="BI10" i="2"/>
  <c r="BI48" i="2"/>
  <c r="BI34" i="2"/>
  <c r="BI174" i="2"/>
  <c r="BI5" i="2"/>
  <c r="BI181" i="2"/>
  <c r="BF134" i="2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<sst xmlns="http://schemas.openxmlformats.org/spreadsheetml/2006/main" count="1172" uniqueCount="326">
  <si>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</si>
  <si>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</si>
  <si>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</si>
  <si>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</si>
  <si>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</si>
  <si>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</si>
  <si>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</si>
  <si>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</si>
  <si>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</si>
  <si>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</si>
  <si>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</si>
  <si>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</si>
  <si>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</si>
  <si>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</si>
  <si>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</si>
  <si>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</si>
  <si>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</si>
  <si>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</si>
  <si>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</si>
  <si>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</si>
  <si>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</si>
  <si>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</si>
  <si>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</si>
  <si>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</si>
  <si>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</si>
  <si>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</si>
  <si>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</si>
  <si>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</si>
  <si>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</si>
  <si>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</si>
  <si>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</si>
  <si>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</si>
  <si>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</si>
  <si>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</si>
  <si>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</si>
  <si>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</si>
  <si>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</si>
  <si>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</si>
  <si>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</si>
  <si>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</si>
  <si>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</si>
  <si>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</si>
  <si>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</si>
  <si>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</si>
  <si>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</si>
  <si>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</si>
  <si>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</si>
  <si>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</si>
  <si>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</si>
  <si>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</si>
  <si>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</si>
  <si>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</si>
  <si>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</si>
  <si>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</si>
  <si>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</si>
  <si>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</si>
  <si>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</si>
  <si>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</si>
  <si>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</si>
  <si>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</si>
  <si>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</si>
  <si>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</si>
  <si>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</si>
  <si>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</si>
  <si>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</si>
  <si>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</si>
  <si>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</si>
  <si>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</si>
  <si>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</si>
  <si>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</si>
  <si>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</si>
  <si>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</si>
  <si>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</si>
  <si>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</si>
  <si>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</si>
  <si>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</si>
  <si>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</si>
  <si>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</si>
  <si>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</si>
  <si>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</si>
  <si>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</si>
  <si>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</si>
  <si>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</si>
  <si>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</si>
  <si>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</si>
  <si>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</si>
  <si>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</si>
  <si>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</si>
  <si>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</si>
  <si>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</si>
  <si>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</si>
  <si>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</si>
  <si>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</si>
  <si>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</si>
  <si>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</si>
  <si>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</si>
  <si>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</si>
  <si>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</si>
  <si>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</si>
  <si>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Année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</si>
  <si>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</si>
  <si>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</si>
  <si>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</si>
  <si>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</si>
  <si>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</si>
  <si>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</si>
  <si>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</si>
  <si>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-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</si>
  <si>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</si>
  <si>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</si>
  <si>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</si>
  <si>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</si>
  <si>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</si>
  <si>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</si>
  <si>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</si>
  <si>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</si>
  <si>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</si>
  <si>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</si>
  <si>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</si>
  <si>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</si>
  <si>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Scénario de référence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</si>
  <si>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</si>
  <si>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</si>
  <si>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</si>
  <si>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</si>
  <si>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</si>
  <si>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</si>
  <si>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</si>
  <si>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</si>
  <si>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</si>
  <si>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</si>
  <si>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</si>
  <si>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</si>
  <si>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</si>
  <si>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</si>
  <si>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</si>
  <si>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</si>
  <si>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</si>
  <si>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</si>
  <si>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</si>
  <si>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</si>
  <si>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</si>
  <si>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</si>
  <si>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</si>
  <si>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</si>
  <si>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</si>
  <si>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</si>
  <si>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</si>
  <si>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</si>
  <si>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</si>
  <si>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</si>
  <si>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</si>
  <si>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</si>
  <si>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</si>
  <si>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</si>
  <si>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</si>
  <si>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</si>
  <si>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</si>
  <si>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</si>
  <si>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</si>
  <si>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</si>
  <si>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</si>
  <si>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</si>
  <si>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</si>
  <si>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</si>
  <si>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</si>
  <si>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</si>
  <si>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</si>
  <si>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</si>
  <si>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</si>
  <si>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</si>
  <si>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</si>
  <si>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</si>
  <si>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</si>
  <si>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</si>
  <si>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</si>
  <si>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</si>
  <si>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</si>
  <si>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</si>
  <si>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</si>
  <si>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</si>
  <si>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</si>
  <si>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</si>
  <si>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</si>
  <si>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</si>
  <si>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</si>
  <si>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</si>
  <si>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</si>
  <si>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</si>
  <si>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</si>
  <si>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</si>
  <si>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</si>
  <si>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</si>
  <si>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</si>
  <si>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</si>
  <si>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</si>
  <si>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</si>
  <si>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</si>
  <si>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</si>
  <si>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</si>
  <si>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</si>
  <si>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</si>
  <si>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</si>
  <si>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</si>
  <si>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</si>
  <si>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</si>
  <si>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</si>
  <si>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</si>
  <si>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</si>
  <si>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</si>
  <si>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</si>
  <si>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</si>
  <si>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</si>
  <si>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</si>
  <si>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</si>
  <si>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</si>
  <si>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</si>
  <si>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</si>
  <si>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</si>
  <si>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</si>
  <si>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</si>
  <si>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</si>
  <si>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</si>
  <si>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</si>
  <si>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</si>
  <si>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</si>
  <si>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</si>
  <si>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</si>
  <si>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</si>
  <si>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</si>
  <si>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</si>
  <si>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</si>
  <si>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</si>
  <si>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</si>
  <si>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</si>
  <si>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</si>
  <si>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</si>
  <si>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</si>
  <si>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</si>
  <si>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</si>
  <si>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</si>
  <si>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</si>
  <si>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</si>
  <si>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</si>
  <si>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</si>
  <si>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</si>
  <si>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</si>
  <si>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</si>
  <si>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</si>
  <si>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</si>
  <si>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</si>
  <si>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</si>
  <si>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</si>
  <si>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</si>
  <si>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</si>
  <si>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</si>
  <si>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</si>
  <si>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</si>
  <si>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</si>
  <si>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</si>
  <si>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</si>
  <si>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</si>
  <si>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</si>
  <si>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</si>
  <si>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</si>
  <si>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</si>
  <si>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</si>
  <si>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</si>
  <si>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</si>
  <si>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</si>
  <si>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</si>
  <si>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</si>
  <si>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</si>
  <si>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</si>
  <si>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</si>
  <si>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</si>
  <si>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</si>
  <si>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</si>
  <si>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</si>
  <si>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</si>
  <si>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</si>
  <si>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</si>
  <si>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</si>
  <si>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</si>
  <si>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</si>
  <si>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</si>
  <si>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</si>
  <si>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</si>
  <si>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</si>
  <si>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</si>
  <si>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</si>
  <si>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</si>
  <si>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</si>
  <si>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</si>
  <si>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</si>
  <si>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</si>
  <si>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</si>
  <si>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</si>
  <si>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</si>
  <si>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</si>
  <si>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</si>
  <si>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</si>
  <si>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</si>
  <si>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</si>
  <si>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</si>
  <si>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</si>
  <si>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</si>
  <si>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</si>
  <si>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</si>
  <si>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</si>
  <si>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</si>
  <si>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</si>
  <si>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</si>
  <si>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</si>
  <si>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</si>
  <si>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</si>
  <si>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</si>
  <si>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</si>
  <si>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</si>
  <si>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</si>
  <si>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</si>
  <si>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</si>
  <si>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</si>
  <si>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</si>
  <si>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t>CR</t>
  </si>
  <si>
    <t>US18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</si>
</sst>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1.6071621946982304</c:v>
                </c:pt>
                <c:pt idx="2">
                  <c:v>2.0684757868754384</c:v>
                </c:pt>
                <c:pt idx="3">
                  <c:v>2.6627436371035338</c:v>
                </c:pt>
                <c:pt idx="4">
                  <c:v>3.4284314759001457</c:v>
                </c:pt>
                <c:pt idx="5">
                  <c:v>4.4151737135152134</c:v>
                </c:pt>
                <c:pt idx="6">
                  <c:v>5.6870271064042113</c:v>
                </c:pt>
                <c:pt idx="7">
                  <c:v>7.3266751906970145</c:v>
                </c:pt>
                <c:pt idx="8">
                  <c:v>9.4408620902882028</c:v>
                </c:pt>
                <c:pt idx="9">
                  <c:v>12.167416157592363</c:v>
                </c:pt>
                <c:pt idx="10">
                  <c:v>15.684329857451388</c:v>
                </c:pt>
                <c:pt idx="11">
                  <c:v>20.221499471157873</c:v>
                </c:pt>
                <c:pt idx="12">
                  <c:v>26.075905792620045</c:v>
                </c:pt>
                <c:pt idx="13">
                  <c:v>33.631246952053765</c:v>
                </c:pt>
                <c:pt idx="14">
                  <c:v>43.38333230640125</c:v>
                </c:pt>
                <c:pt idx="15">
                  <c:v>55.972932031300928</c:v>
                </c:pt>
                <c:pt idx="16">
                  <c:v>72.22827662481788</c:v>
                </c:pt>
                <c:pt idx="17">
                  <c:v>93.220047673139689</c:v>
                </c:pt>
                <c:pt idx="18">
                  <c:v>120.33253959778227</c:v>
                </c:pt>
                <c:pt idx="19">
                  <c:v>155.3557583081722</c:v>
                </c:pt>
                <c:pt idx="20">
                  <c:v>200.60463011001028</c:v>
                </c:pt>
                <c:pt idx="21">
                  <c:v>259.07331801936783</c:v>
                </c:pt>
                <c:pt idx="22">
                  <c:v>334.63500618215346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1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H23" sqref="H2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4.2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262</v>
      </c>
      <c r="C9" s="32">
        <v>1</v>
      </c>
      <c r="D9" s="33">
        <f t="shared" ref="D9:D18" si="0">C9*$C$5</f>
        <v>4.2</v>
      </c>
      <c r="E9" s="34">
        <v>22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28</v>
      </c>
      <c r="C19" s="37">
        <f>SUM(C9:C18)</f>
        <v>1</v>
      </c>
      <c r="D19" s="38">
        <f>SUM(D9:D18)</f>
        <v>4.2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35</v>
      </c>
      <c r="B26" s="42" t="s">
        <v>36</v>
      </c>
      <c r="C26" s="43">
        <v>0.05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Trichobel</v>
      </c>
      <c r="C32" s="23" t="s">
        <v>325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43</v>
      </c>
      <c r="C34" s="258" t="s">
        <v>44</v>
      </c>
      <c r="D34" s="258"/>
      <c r="E34" s="259" t="s">
        <v>45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22</v>
      </c>
      <c r="B36" s="60">
        <v>320.3</v>
      </c>
      <c r="C36" s="60" t="s">
        <v>324</v>
      </c>
      <c r="D36" s="60">
        <v>320.3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14.55909090909091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/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43</v>
      </c>
      <c r="C60" s="258" t="s">
        <v>44</v>
      </c>
      <c r="D60" s="258"/>
      <c r="E60" s="259" t="s">
        <v>45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43</v>
      </c>
      <c r="C86" s="258" t="s">
        <v>44</v>
      </c>
      <c r="D86" s="258"/>
      <c r="E86" s="259" t="s">
        <v>45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2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ref="I103:I107" si="4">IF(A103&lt;&gt;0,(B103-(B102-D102))/(A103-A102),"")</f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43</v>
      </c>
      <c r="C112" s="258" t="s">
        <v>44</v>
      </c>
      <c r="D112" s="258"/>
      <c r="E112" s="259" t="s">
        <v>45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43</v>
      </c>
      <c r="C138" s="258" t="s">
        <v>44</v>
      </c>
      <c r="D138" s="258"/>
      <c r="E138" s="259" t="s">
        <v>45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43</v>
      </c>
      <c r="C164" s="258" t="s">
        <v>44</v>
      </c>
      <c r="D164" s="258"/>
      <c r="E164" s="259" t="s">
        <v>45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43</v>
      </c>
      <c r="C190" s="258" t="s">
        <v>44</v>
      </c>
      <c r="D190" s="258"/>
      <c r="E190" s="259" t="s">
        <v>45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43</v>
      </c>
      <c r="C216" s="258" t="s">
        <v>44</v>
      </c>
      <c r="D216" s="258"/>
      <c r="E216" s="259" t="s">
        <v>45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43</v>
      </c>
      <c r="C242" s="258" t="s">
        <v>44</v>
      </c>
      <c r="D242" s="258"/>
      <c r="E242" s="259" t="s">
        <v>45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43</v>
      </c>
      <c r="C268" s="258" t="s">
        <v>44</v>
      </c>
      <c r="D268" s="258"/>
      <c r="E268" s="259" t="s">
        <v>45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21" sqref="L2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4" t="s">
        <v>55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56</v>
      </c>
      <c r="B5" s="139" t="s">
        <v>57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58</v>
      </c>
      <c r="F5" s="140" t="s">
        <v>59</v>
      </c>
      <c r="G5" s="140" t="s">
        <v>60</v>
      </c>
      <c r="H5" s="141" t="s">
        <v>61</v>
      </c>
      <c r="I5" s="142" t="s">
        <v>62</v>
      </c>
      <c r="J5" s="143" t="s">
        <v>63</v>
      </c>
      <c r="K5" s="144" t="s">
        <v>64</v>
      </c>
      <c r="L5" s="84" t="s">
        <v>65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Trichobel</v>
      </c>
      <c r="B6" s="146">
        <f>'Données projet'!D9</f>
        <v>4.2</v>
      </c>
      <c r="C6" s="147">
        <f ca="1">IF(OR('Données projet'!B9="",'Données projet'!C9="",'Données projet'!C9=0%),0,Calculateur!S3)</f>
        <v>74.96601334162861</v>
      </c>
      <c r="D6" s="147">
        <f>IF(OR('Données projet'!B9="",'Données projet'!C9="",'Données projet'!C9=0%),0,Calculateur!T3)</f>
        <v>372.48258675228851</v>
      </c>
      <c r="E6" s="147">
        <f ca="1">MIN(C6,D6)</f>
        <v>74.96601334162861</v>
      </c>
      <c r="F6" s="147">
        <f ca="1">E6*B6</f>
        <v>314.85725603484019</v>
      </c>
      <c r="G6" s="147">
        <f ca="1">F6*(100%-'Données projet'!$C$24)*(100%-'Données projet'!$C$25)*(100%-'Données projet'!$C$26)*(100%-'Données projet'!$C$27)</f>
        <v>269.20295390978833</v>
      </c>
      <c r="H6" s="148">
        <f>IF(OR('Données projet'!B9="",'Données projet'!C9="",'Données projet'!C9=0%),0,AVERAGE(Calculateur!$AC$3:$AC$33)*B6)</f>
        <v>106.61802888168974</v>
      </c>
      <c r="I6" s="149">
        <f>H6*(100%-'Données projet'!$C$24)*(100%-'Données projet'!$C$25)*(100%-'Données projet'!$C$26)*(100%-'Données projet'!$C$27)</f>
        <v>91.158414693844719</v>
      </c>
      <c r="J6" s="150">
        <f>IF(OR('Données projet'!B9="",'Données projet'!C9="",'Données projet'!C9=0%),0,SUM(Calculateur!$V$3:$V$33)*VLOOKUP('Données projet'!$B$9,Paramètres!$A$1:$I$89,9,0)*B6)</f>
        <v>1385.6178</v>
      </c>
      <c r="K6" s="151">
        <f>J6*(100%-'Données projet'!$C$24)*(100%-'Données projet'!$C$25)*(100%-'Données projet'!$C$26)*(100%-'Données projet'!$C$27)</f>
        <v>1184.703219</v>
      </c>
      <c r="L6" s="152">
        <f ca="1">G6+I6+K6</f>
        <v>1545.0645876036331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314.85725603484019</v>
      </c>
      <c r="G16" s="166">
        <f t="shared" ca="1" si="3"/>
        <v>269.20295390978833</v>
      </c>
      <c r="H16" s="167">
        <f t="shared" si="3"/>
        <v>106.61802888168974</v>
      </c>
      <c r="I16" s="167">
        <f t="shared" si="3"/>
        <v>91.158414693844719</v>
      </c>
      <c r="J16" s="168">
        <f t="shared" si="3"/>
        <v>1385.6178</v>
      </c>
      <c r="K16" s="168">
        <f t="shared" si="3"/>
        <v>1184.703219</v>
      </c>
      <c r="L16" s="169">
        <f t="shared" ca="1" si="3"/>
        <v>1545.0645876036331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71" t="s">
        <v>66</v>
      </c>
      <c r="G17" s="272"/>
      <c r="H17" s="272"/>
      <c r="I17" s="272"/>
      <c r="J17" s="272"/>
      <c r="K17" s="272"/>
      <c r="L17" s="27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Trichobel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76" zoomScaleNormal="100" workbookViewId="0">
      <selection activeCell="F10" sqref="F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4" t="s">
        <v>67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68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69</v>
      </c>
      <c r="C7" s="100" t="s">
        <v>70</v>
      </c>
      <c r="D7" s="215"/>
      <c r="E7" s="101"/>
      <c r="F7" s="26" t="s">
        <v>69</v>
      </c>
      <c r="G7" s="100" t="s">
        <v>71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72</v>
      </c>
      <c r="D8" s="23"/>
      <c r="E8" s="105">
        <v>4</v>
      </c>
      <c r="F8" s="61">
        <v>0</v>
      </c>
      <c r="G8" s="102" t="s">
        <v>73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74</v>
      </c>
      <c r="D9" s="23"/>
      <c r="E9" s="105">
        <v>5</v>
      </c>
      <c r="F9" s="61">
        <v>0</v>
      </c>
      <c r="G9" s="103" t="s">
        <v>75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76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77</v>
      </c>
      <c r="D13" s="216"/>
      <c r="E13" s="99"/>
      <c r="F13" s="107"/>
      <c r="G13" s="98" t="s">
        <v>78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79</v>
      </c>
      <c r="D14" s="216"/>
      <c r="E14" s="99"/>
      <c r="F14" s="107"/>
      <c r="G14" s="98" t="s">
        <v>80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69</v>
      </c>
      <c r="C15" s="4"/>
      <c r="D15" s="23"/>
      <c r="E15" s="4"/>
      <c r="F15" s="4"/>
      <c r="G15" s="2" t="s">
        <v>323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82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83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84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49" zoomScaleNormal="80" workbookViewId="0">
      <selection activeCell="I37" sqref="I3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4" t="s">
        <v>85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86</v>
      </c>
      <c r="I4" s="262"/>
      <c r="K4" s="277" t="s">
        <v>87</v>
      </c>
      <c r="L4" s="27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67</v>
      </c>
      <c r="O7" s="247"/>
      <c r="P7" s="248"/>
      <c r="Q7" s="249"/>
      <c r="R7" s="287" t="s">
        <v>88</v>
      </c>
      <c r="S7" s="288"/>
      <c r="T7" s="288"/>
      <c r="U7" s="288"/>
      <c r="V7" s="28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89</v>
      </c>
      <c r="C9" s="23"/>
      <c r="D9" s="23"/>
      <c r="E9" s="23"/>
      <c r="F9" s="230"/>
      <c r="G9" s="93" t="s">
        <v>90</v>
      </c>
      <c r="J9" s="200"/>
      <c r="K9" s="208"/>
      <c r="O9" s="23"/>
      <c r="P9" s="23"/>
      <c r="Q9" s="234"/>
      <c r="R9" s="23"/>
      <c r="S9" s="4"/>
      <c r="T9" s="36" t="s">
        <v>91</v>
      </c>
      <c r="U9" s="176" t="s">
        <v>92</v>
      </c>
      <c r="V9" s="36" t="s">
        <v>93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94</v>
      </c>
      <c r="C10" s="23"/>
      <c r="D10" s="23"/>
      <c r="E10" s="23"/>
      <c r="F10" s="230"/>
      <c r="G10" s="93" t="s">
        <v>95</v>
      </c>
      <c r="J10" s="200"/>
      <c r="K10" s="208"/>
      <c r="O10" s="23"/>
      <c r="P10" s="23"/>
      <c r="Q10" s="234"/>
      <c r="R10" s="23"/>
      <c r="S10" s="36" t="str">
        <f>B14</f>
        <v>Peuplier Trichobel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5085.1820815565288</v>
      </c>
      <c r="U10" s="178">
        <f>'Données projet'!D9</f>
        <v>4.2</v>
      </c>
      <c r="V10" s="177">
        <f>U10*T10</f>
        <v>21357.764742537423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96</v>
      </c>
      <c r="B11" s="23"/>
      <c r="C11" s="23"/>
      <c r="D11" s="23"/>
      <c r="E11" s="23"/>
      <c r="F11" s="230"/>
      <c r="G11" s="93" t="s">
        <v>97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98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Trichobel</v>
      </c>
      <c r="C14" s="4"/>
      <c r="D14" s="4"/>
      <c r="E14" s="4"/>
      <c r="F14" s="230"/>
      <c r="G14" s="23"/>
      <c r="H14" s="36" t="s">
        <v>99</v>
      </c>
      <c r="I14" s="36" t="s">
        <v>100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0" t="s">
        <v>101</v>
      </c>
      <c r="H15" s="190">
        <v>1</v>
      </c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46</v>
      </c>
      <c r="B16" s="48" t="s">
        <v>102</v>
      </c>
      <c r="C16" s="48" t="s">
        <v>103</v>
      </c>
      <c r="D16" s="36" t="s">
        <v>104</v>
      </c>
      <c r="E16" s="36" t="s">
        <v>105</v>
      </c>
      <c r="F16" s="230"/>
      <c r="G16" s="280"/>
      <c r="H16" s="190"/>
      <c r="I16" s="191"/>
      <c r="J16" s="202"/>
      <c r="K16" s="208"/>
      <c r="L16" s="277" t="s">
        <v>106</v>
      </c>
      <c r="M16" s="27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107</v>
      </c>
      <c r="C17" s="198" t="s">
        <v>107</v>
      </c>
      <c r="D17" s="197" t="s">
        <v>107</v>
      </c>
      <c r="E17" s="193"/>
      <c r="F17" s="230"/>
      <c r="G17" s="280"/>
      <c r="J17" s="202"/>
      <c r="K17" s="208"/>
      <c r="L17" s="259" t="s">
        <v>108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107</v>
      </c>
      <c r="C18" s="198" t="s">
        <v>107</v>
      </c>
      <c r="D18" s="197" t="s">
        <v>107</v>
      </c>
      <c r="E18" s="193"/>
      <c r="F18" s="230"/>
      <c r="G18" s="280"/>
      <c r="J18" s="202"/>
      <c r="K18" s="208"/>
      <c r="L18" s="259" t="s">
        <v>103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107</v>
      </c>
      <c r="C19" s="198" t="s">
        <v>107</v>
      </c>
      <c r="D19" s="197" t="s">
        <v>107</v>
      </c>
      <c r="E19" s="193"/>
      <c r="F19" s="230"/>
      <c r="G19" s="280"/>
      <c r="H19" s="212" t="s">
        <v>99</v>
      </c>
      <c r="I19" s="212" t="s">
        <v>109</v>
      </c>
      <c r="J19" s="93"/>
      <c r="K19" s="173"/>
      <c r="L19" s="277" t="s">
        <v>110</v>
      </c>
      <c r="M19" s="27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107</v>
      </c>
      <c r="C20" s="198" t="s">
        <v>107</v>
      </c>
      <c r="D20" s="197" t="s">
        <v>107</v>
      </c>
      <c r="E20" s="193"/>
      <c r="F20" s="230"/>
      <c r="G20" s="280"/>
      <c r="H20" s="190">
        <v>1</v>
      </c>
      <c r="I20" s="191">
        <v>4037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107</v>
      </c>
      <c r="C21" s="198" t="s">
        <v>107</v>
      </c>
      <c r="D21" s="197" t="s">
        <v>107</v>
      </c>
      <c r="E21" s="193"/>
      <c r="F21" s="230"/>
      <c r="H21" s="190">
        <v>3</v>
      </c>
      <c r="I21" s="191">
        <v>300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107</v>
      </c>
      <c r="C22" s="198" t="s">
        <v>107</v>
      </c>
      <c r="D22" s="197" t="s">
        <v>107</v>
      </c>
      <c r="E22" s="193"/>
      <c r="F22" s="230"/>
      <c r="H22" s="190">
        <v>5</v>
      </c>
      <c r="I22" s="191">
        <v>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22</v>
      </c>
      <c r="B23" s="181">
        <f>'Données projet'!D36</f>
        <v>320.3</v>
      </c>
      <c r="C23" s="193">
        <v>42</v>
      </c>
      <c r="D23" s="182">
        <f>B23*C23</f>
        <v>13452.6</v>
      </c>
      <c r="E23" s="193">
        <v>60</v>
      </c>
      <c r="F23" s="230"/>
      <c r="H23" s="190"/>
      <c r="I23" s="191"/>
      <c r="K23" s="208"/>
      <c r="L23" s="279" t="s">
        <v>111</v>
      </c>
      <c r="M23" s="279"/>
      <c r="N23" s="279"/>
      <c r="O23" s="23"/>
      <c r="P23" s="23"/>
      <c r="Q23" s="234"/>
      <c r="R23" s="23"/>
      <c r="S23" s="36" t="s">
        <v>112</v>
      </c>
      <c r="T23" s="29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3354.3089844729257</v>
      </c>
      <c r="U23" s="292"/>
      <c r="V23" s="29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113</v>
      </c>
      <c r="T24" s="293">
        <f ca="1">'Scénario référence'!$B$8*$M$30*'Données projet'!$C$5+('Scénario référence'!B9+'Scénario référence'!B10+'Scénario référence'!F8+'Scénario référence'!F9)*$N$19/(1+M4)^N16*'Données projet'!$C$5</f>
        <v>7451.350080385223</v>
      </c>
      <c r="U24" s="293"/>
      <c r="V24" s="29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114</v>
      </c>
      <c r="M25" s="130"/>
      <c r="N25" s="130"/>
      <c r="O25" s="130"/>
      <c r="P25" s="192">
        <v>120</v>
      </c>
      <c r="Q25" s="234"/>
      <c r="R25" s="23"/>
      <c r="S25" s="186" t="s">
        <v>115</v>
      </c>
      <c r="T25" s="294">
        <f ca="1">T23-T24</f>
        <v>-4097.0410959122974</v>
      </c>
      <c r="U25" s="294"/>
      <c r="V25" s="29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1" t="s">
        <v>116</v>
      </c>
      <c r="M26" s="282"/>
      <c r="N26" s="282"/>
      <c r="O26" s="282"/>
      <c r="P26" s="283"/>
      <c r="Q26" s="234"/>
      <c r="R26" s="23"/>
      <c r="S26" s="186" t="s">
        <v>117</v>
      </c>
      <c r="T26" s="291" t="str">
        <f ca="1">IF(T25&lt;0,"Votre projet est additionnel","Votre projet n'est pas additionnel")</f>
        <v>Votre projet est additionnel</v>
      </c>
      <c r="U26" s="291"/>
      <c r="V26" s="29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4"/>
      <c r="M27" s="285"/>
      <c r="N27" s="285"/>
      <c r="O27" s="285"/>
      <c r="P27" s="286"/>
      <c r="Q27" s="234"/>
      <c r="R27" s="23"/>
      <c r="S27" s="290" t="s">
        <v>118</v>
      </c>
      <c r="T27" s="290"/>
      <c r="U27" s="290"/>
      <c r="V27" s="29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119</v>
      </c>
      <c r="M30" s="184">
        <f ca="1">SUM(OFFSET($P$33,0,0,MIN('Données projet'!$E$9:$E$18)+1,1))</f>
        <v>1774.130971520291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99</v>
      </c>
      <c r="P32" s="85" t="s">
        <v>104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46</v>
      </c>
      <c r="B47" s="48" t="s">
        <v>102</v>
      </c>
      <c r="C47" s="48" t="s">
        <v>103</v>
      </c>
      <c r="D47" s="36" t="s">
        <v>104</v>
      </c>
      <c r="E47" s="36" t="s">
        <v>105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107</v>
      </c>
      <c r="C48" s="198" t="s">
        <v>107</v>
      </c>
      <c r="D48" s="197" t="s">
        <v>107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107</v>
      </c>
      <c r="C49" s="198" t="s">
        <v>107</v>
      </c>
      <c r="D49" s="197" t="s">
        <v>107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107</v>
      </c>
      <c r="C50" s="198" t="s">
        <v>107</v>
      </c>
      <c r="D50" s="197" t="s">
        <v>107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107</v>
      </c>
      <c r="C51" s="198" t="s">
        <v>107</v>
      </c>
      <c r="D51" s="197" t="s">
        <v>107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107</v>
      </c>
      <c r="C52" s="198" t="s">
        <v>107</v>
      </c>
      <c r="D52" s="197" t="s">
        <v>107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107</v>
      </c>
      <c r="C53" s="198" t="s">
        <v>107</v>
      </c>
      <c r="D53" s="197" t="s">
        <v>107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str">
        <f>IF(O55+1&lt;=MIN('Données projet'!$E$9:$E$18),O55+1,"STOP")</f>
        <v>STOP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46</v>
      </c>
      <c r="B78" s="48" t="s">
        <v>102</v>
      </c>
      <c r="C78" s="48" t="s">
        <v>103</v>
      </c>
      <c r="D78" s="36" t="s">
        <v>104</v>
      </c>
      <c r="E78" s="36" t="s">
        <v>105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107</v>
      </c>
      <c r="C79" s="198" t="s">
        <v>107</v>
      </c>
      <c r="D79" s="197" t="s">
        <v>107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107</v>
      </c>
      <c r="C80" s="198" t="s">
        <v>107</v>
      </c>
      <c r="D80" s="197" t="s">
        <v>107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107</v>
      </c>
      <c r="C81" s="198" t="s">
        <v>107</v>
      </c>
      <c r="D81" s="197" t="s">
        <v>107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107</v>
      </c>
      <c r="C82" s="198" t="s">
        <v>107</v>
      </c>
      <c r="D82" s="197" t="s">
        <v>107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107</v>
      </c>
      <c r="C83" s="198" t="s">
        <v>107</v>
      </c>
      <c r="D83" s="197" t="s">
        <v>107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107</v>
      </c>
      <c r="C84" s="198" t="s">
        <v>107</v>
      </c>
      <c r="D84" s="197" t="s">
        <v>107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46</v>
      </c>
      <c r="B109" s="48" t="s">
        <v>102</v>
      </c>
      <c r="C109" s="48" t="s">
        <v>103</v>
      </c>
      <c r="D109" s="36" t="s">
        <v>104</v>
      </c>
      <c r="E109" s="36" t="s">
        <v>105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107</v>
      </c>
      <c r="C110" s="198" t="s">
        <v>107</v>
      </c>
      <c r="D110" s="197" t="s">
        <v>107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107</v>
      </c>
      <c r="C111" s="198" t="s">
        <v>107</v>
      </c>
      <c r="D111" s="197" t="s">
        <v>107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107</v>
      </c>
      <c r="C112" s="198" t="s">
        <v>107</v>
      </c>
      <c r="D112" s="197" t="s">
        <v>107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107</v>
      </c>
      <c r="C113" s="198" t="s">
        <v>107</v>
      </c>
      <c r="D113" s="197" t="s">
        <v>107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107</v>
      </c>
      <c r="C114" s="198" t="s">
        <v>107</v>
      </c>
      <c r="D114" s="197" t="s">
        <v>107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107</v>
      </c>
      <c r="C115" s="198" t="s">
        <v>107</v>
      </c>
      <c r="D115" s="197" t="s">
        <v>107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46</v>
      </c>
      <c r="B140" s="48" t="s">
        <v>102</v>
      </c>
      <c r="C140" s="48" t="s">
        <v>103</v>
      </c>
      <c r="D140" s="36" t="s">
        <v>104</v>
      </c>
      <c r="E140" s="36" t="s">
        <v>105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107</v>
      </c>
      <c r="C141" s="198" t="s">
        <v>107</v>
      </c>
      <c r="D141" s="197" t="s">
        <v>107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107</v>
      </c>
      <c r="C142" s="198" t="s">
        <v>107</v>
      </c>
      <c r="D142" s="197" t="s">
        <v>107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107</v>
      </c>
      <c r="C143" s="198" t="s">
        <v>107</v>
      </c>
      <c r="D143" s="197" t="s">
        <v>107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107</v>
      </c>
      <c r="C144" s="198" t="s">
        <v>107</v>
      </c>
      <c r="D144" s="197" t="s">
        <v>107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107</v>
      </c>
      <c r="C145" s="198" t="s">
        <v>107</v>
      </c>
      <c r="D145" s="197" t="s">
        <v>107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107</v>
      </c>
      <c r="C146" s="198" t="s">
        <v>107</v>
      </c>
      <c r="D146" s="197" t="s">
        <v>107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46</v>
      </c>
      <c r="B171" s="48" t="s">
        <v>102</v>
      </c>
      <c r="C171" s="48" t="s">
        <v>103</v>
      </c>
      <c r="D171" s="36" t="s">
        <v>104</v>
      </c>
      <c r="E171" s="36" t="s">
        <v>105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107</v>
      </c>
      <c r="C172" s="198" t="s">
        <v>107</v>
      </c>
      <c r="D172" s="197" t="s">
        <v>107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107</v>
      </c>
      <c r="C173" s="198" t="s">
        <v>107</v>
      </c>
      <c r="D173" s="197" t="s">
        <v>107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107</v>
      </c>
      <c r="C174" s="198" t="s">
        <v>107</v>
      </c>
      <c r="D174" s="197" t="s">
        <v>107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107</v>
      </c>
      <c r="C175" s="198" t="s">
        <v>107</v>
      </c>
      <c r="D175" s="197" t="s">
        <v>107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107</v>
      </c>
      <c r="C176" s="198" t="s">
        <v>107</v>
      </c>
      <c r="D176" s="197" t="s">
        <v>107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107</v>
      </c>
      <c r="C177" s="198" t="s">
        <v>107</v>
      </c>
      <c r="D177" s="197" t="s">
        <v>107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46</v>
      </c>
      <c r="B202" s="48" t="s">
        <v>102</v>
      </c>
      <c r="C202" s="48" t="s">
        <v>103</v>
      </c>
      <c r="D202" s="36" t="s">
        <v>104</v>
      </c>
      <c r="E202" s="36" t="s">
        <v>105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107</v>
      </c>
      <c r="C203" s="198" t="s">
        <v>107</v>
      </c>
      <c r="D203" s="197" t="s">
        <v>107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107</v>
      </c>
      <c r="C204" s="198" t="s">
        <v>107</v>
      </c>
      <c r="D204" s="197" t="s">
        <v>107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107</v>
      </c>
      <c r="C205" s="198" t="s">
        <v>107</v>
      </c>
      <c r="D205" s="197" t="s">
        <v>107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107</v>
      </c>
      <c r="C206" s="198" t="s">
        <v>107</v>
      </c>
      <c r="D206" s="197" t="s">
        <v>107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107</v>
      </c>
      <c r="C207" s="198" t="s">
        <v>107</v>
      </c>
      <c r="D207" s="197" t="s">
        <v>107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107</v>
      </c>
      <c r="C208" s="198" t="s">
        <v>107</v>
      </c>
      <c r="D208" s="197" t="s">
        <v>107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46</v>
      </c>
      <c r="B233" s="48" t="s">
        <v>102</v>
      </c>
      <c r="C233" s="48" t="s">
        <v>103</v>
      </c>
      <c r="D233" s="36" t="s">
        <v>104</v>
      </c>
      <c r="E233" s="36" t="s">
        <v>105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107</v>
      </c>
      <c r="C234" s="198" t="s">
        <v>107</v>
      </c>
      <c r="D234" s="197" t="s">
        <v>107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107</v>
      </c>
      <c r="C235" s="198" t="s">
        <v>107</v>
      </c>
      <c r="D235" s="197" t="s">
        <v>107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107</v>
      </c>
      <c r="C236" s="198" t="s">
        <v>107</v>
      </c>
      <c r="D236" s="197" t="s">
        <v>107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107</v>
      </c>
      <c r="C237" s="198" t="s">
        <v>107</v>
      </c>
      <c r="D237" s="197" t="s">
        <v>107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107</v>
      </c>
      <c r="C238" s="198" t="s">
        <v>107</v>
      </c>
      <c r="D238" s="197" t="s">
        <v>107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107</v>
      </c>
      <c r="C239" s="198" t="s">
        <v>107</v>
      </c>
      <c r="D239" s="197" t="s">
        <v>107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46</v>
      </c>
      <c r="B264" s="48" t="s">
        <v>102</v>
      </c>
      <c r="C264" s="48" t="s">
        <v>103</v>
      </c>
      <c r="D264" s="36" t="s">
        <v>104</v>
      </c>
      <c r="E264" s="36" t="s">
        <v>105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107</v>
      </c>
      <c r="C265" s="198" t="s">
        <v>107</v>
      </c>
      <c r="D265" s="197" t="s">
        <v>107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107</v>
      </c>
      <c r="C266" s="198" t="s">
        <v>107</v>
      </c>
      <c r="D266" s="197" t="s">
        <v>107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107</v>
      </c>
      <c r="C267" s="198" t="s">
        <v>107</v>
      </c>
      <c r="D267" s="197" t="s">
        <v>107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107</v>
      </c>
      <c r="C268" s="198" t="s">
        <v>107</v>
      </c>
      <c r="D268" s="197" t="s">
        <v>107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107</v>
      </c>
      <c r="C269" s="198" t="s">
        <v>107</v>
      </c>
      <c r="D269" s="197" t="s">
        <v>107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107</v>
      </c>
      <c r="C270" s="198" t="s">
        <v>107</v>
      </c>
      <c r="D270" s="197" t="s">
        <v>107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46</v>
      </c>
      <c r="B295" s="48" t="s">
        <v>102</v>
      </c>
      <c r="C295" s="48" t="s">
        <v>103</v>
      </c>
      <c r="D295" s="36" t="s">
        <v>104</v>
      </c>
      <c r="E295" s="36" t="s">
        <v>105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107</v>
      </c>
      <c r="C296" s="198" t="s">
        <v>107</v>
      </c>
      <c r="D296" s="197" t="s">
        <v>107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107</v>
      </c>
      <c r="C297" s="198" t="s">
        <v>107</v>
      </c>
      <c r="D297" s="197" t="s">
        <v>107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107</v>
      </c>
      <c r="C298" s="198" t="s">
        <v>107</v>
      </c>
      <c r="D298" s="197" t="s">
        <v>107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107</v>
      </c>
      <c r="C299" s="198" t="s">
        <v>107</v>
      </c>
      <c r="D299" s="197" t="s">
        <v>107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107</v>
      </c>
      <c r="C300" s="198" t="s">
        <v>107</v>
      </c>
      <c r="D300" s="197" t="s">
        <v>107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107</v>
      </c>
      <c r="C301" s="198" t="s">
        <v>107</v>
      </c>
      <c r="D301" s="197" t="s">
        <v>107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98" t="s">
        <v>120</v>
      </c>
      <c r="C1" s="299"/>
      <c r="D1" s="299"/>
      <c r="E1" s="299"/>
      <c r="F1" s="299"/>
      <c r="G1" s="299"/>
      <c r="H1" s="300"/>
      <c r="I1" s="295" t="str">
        <f>IF('Données projet'!$B$9="","",'Données projet'!$B$9)</f>
        <v>Peuplier Trichobel</v>
      </c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7"/>
      <c r="AD1" s="296" t="str">
        <f>IF('Données projet'!$B$10="","",'Données projet'!$B$10)</f>
        <v/>
      </c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7"/>
      <c r="AY1" s="295" t="str">
        <f>IF('Données projet'!$B$11="","",'Données projet'!$B$11)</f>
        <v/>
      </c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  <c r="BS1" s="297"/>
      <c r="BT1" s="295" t="str">
        <f>IF('Données projet'!$B$12="","",'Données projet'!$B$12)</f>
        <v/>
      </c>
      <c r="BU1" s="296"/>
      <c r="BV1" s="296"/>
      <c r="BW1" s="296"/>
      <c r="BX1" s="296"/>
      <c r="BY1" s="296"/>
      <c r="BZ1" s="296"/>
      <c r="CA1" s="296"/>
      <c r="CB1" s="296"/>
      <c r="CC1" s="296"/>
      <c r="CD1" s="296"/>
      <c r="CE1" s="296"/>
      <c r="CF1" s="296"/>
      <c r="CG1" s="296"/>
      <c r="CH1" s="296"/>
      <c r="CI1" s="296"/>
      <c r="CJ1" s="296"/>
      <c r="CK1" s="296"/>
      <c r="CL1" s="296"/>
      <c r="CM1" s="296"/>
      <c r="CN1" s="297"/>
      <c r="CO1" s="295" t="str">
        <f>IF('Données projet'!$B$13="","",'Données projet'!$B$13)</f>
        <v/>
      </c>
      <c r="CP1" s="296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DC1" s="296"/>
      <c r="DD1" s="296"/>
      <c r="DE1" s="296"/>
      <c r="DF1" s="296"/>
      <c r="DG1" s="296"/>
      <c r="DH1" s="296"/>
      <c r="DI1" s="297"/>
      <c r="DJ1" s="295" t="str">
        <f>IF('Données projet'!$B$14="","",'Données projet'!$B$14)</f>
        <v/>
      </c>
      <c r="DK1" s="296"/>
      <c r="DL1" s="296"/>
      <c r="DM1" s="296"/>
      <c r="DN1" s="296"/>
      <c r="DO1" s="296"/>
      <c r="DP1" s="296"/>
      <c r="DQ1" s="296"/>
      <c r="DR1" s="296"/>
      <c r="DS1" s="296"/>
      <c r="DT1" s="296"/>
      <c r="DU1" s="296"/>
      <c r="DV1" s="296"/>
      <c r="DW1" s="296"/>
      <c r="DX1" s="296"/>
      <c r="DY1" s="296"/>
      <c r="DZ1" s="296"/>
      <c r="EA1" s="296"/>
      <c r="EB1" s="296"/>
      <c r="EC1" s="296"/>
      <c r="ED1" s="297"/>
      <c r="EE1" s="295" t="str">
        <f>IF('Données projet'!$B$15="","",'Données projet'!$B$15)</f>
        <v/>
      </c>
      <c r="EF1" s="296"/>
      <c r="EG1" s="296"/>
      <c r="EH1" s="296"/>
      <c r="EI1" s="296"/>
      <c r="EJ1" s="296"/>
      <c r="EK1" s="296"/>
      <c r="EL1" s="296"/>
      <c r="EM1" s="296"/>
      <c r="EN1" s="296"/>
      <c r="EO1" s="296"/>
      <c r="EP1" s="296"/>
      <c r="EQ1" s="296"/>
      <c r="ER1" s="296"/>
      <c r="ES1" s="296"/>
      <c r="ET1" s="296"/>
      <c r="EU1" s="296"/>
      <c r="EV1" s="296"/>
      <c r="EW1" s="296"/>
      <c r="EX1" s="296"/>
      <c r="EY1" s="297"/>
      <c r="EZ1" s="295" t="str">
        <f>IF('Données projet'!$B$16="","",'Données projet'!$B$16)</f>
        <v/>
      </c>
      <c r="FA1" s="296"/>
      <c r="FB1" s="296"/>
      <c r="FC1" s="296"/>
      <c r="FD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FS1" s="296"/>
      <c r="FT1" s="297"/>
      <c r="FU1" s="295" t="str">
        <f>IF('Données projet'!$B$17="","",'Données projet'!$B$17)</f>
        <v/>
      </c>
      <c r="FV1" s="296"/>
      <c r="FW1" s="296"/>
      <c r="FX1" s="296"/>
      <c r="FY1" s="296"/>
      <c r="FZ1" s="296"/>
      <c r="GA1" s="296"/>
      <c r="GB1" s="296"/>
      <c r="GC1" s="296"/>
      <c r="GD1" s="296"/>
      <c r="GE1" s="296"/>
      <c r="GF1" s="296"/>
      <c r="GG1" s="296"/>
      <c r="GH1" s="296"/>
      <c r="GI1" s="296"/>
      <c r="GJ1" s="296"/>
      <c r="GK1" s="296"/>
      <c r="GL1" s="296"/>
      <c r="GM1" s="296"/>
      <c r="GN1" s="296"/>
      <c r="GO1" s="297"/>
      <c r="GP1" s="295" t="str">
        <f>IF('Données projet'!$B$18="","",'Données projet'!$B$18)</f>
        <v/>
      </c>
      <c r="GQ1" s="296"/>
      <c r="GR1" s="296"/>
      <c r="GS1" s="296"/>
      <c r="GT1" s="296"/>
      <c r="GU1" s="296"/>
      <c r="GV1" s="296"/>
      <c r="GW1" s="296"/>
      <c r="GX1" s="296"/>
      <c r="GY1" s="296"/>
      <c r="GZ1" s="296"/>
      <c r="HA1" s="296"/>
      <c r="HB1" s="296"/>
      <c r="HC1" s="296"/>
      <c r="HD1" s="296"/>
      <c r="HE1" s="296"/>
      <c r="HF1" s="296"/>
      <c r="HG1" s="296"/>
      <c r="HH1" s="296"/>
      <c r="HI1" s="296"/>
      <c r="HJ1" s="297"/>
    </row>
    <row r="2" spans="1:218" ht="58.5" thickBot="1" x14ac:dyDescent="0.4">
      <c r="A2" s="71" t="s">
        <v>99</v>
      </c>
      <c r="B2" s="72" t="s">
        <v>121</v>
      </c>
      <c r="C2" s="5" t="s">
        <v>122</v>
      </c>
      <c r="D2" s="5" t="s">
        <v>123</v>
      </c>
      <c r="E2" s="5" t="s">
        <v>124</v>
      </c>
      <c r="F2" s="5" t="s">
        <v>125</v>
      </c>
      <c r="G2" s="5" t="s">
        <v>126</v>
      </c>
      <c r="H2" s="66" t="s">
        <v>127</v>
      </c>
      <c r="I2" s="68" t="s">
        <v>124</v>
      </c>
      <c r="J2" s="69" t="s">
        <v>125</v>
      </c>
      <c r="K2" s="6" t="s">
        <v>128</v>
      </c>
      <c r="L2" s="6" t="s">
        <v>129</v>
      </c>
      <c r="M2" s="6" t="s">
        <v>129</v>
      </c>
      <c r="N2" s="6" t="s">
        <v>130</v>
      </c>
      <c r="O2" s="6" t="s">
        <v>131</v>
      </c>
      <c r="P2" s="6" t="s">
        <v>132</v>
      </c>
      <c r="Q2" s="6" t="s">
        <v>126</v>
      </c>
      <c r="R2" s="6" t="s">
        <v>133</v>
      </c>
      <c r="S2" s="6" t="s">
        <v>134</v>
      </c>
      <c r="T2" s="6" t="s">
        <v>135</v>
      </c>
      <c r="U2" s="7" t="s">
        <v>136</v>
      </c>
      <c r="V2" s="8" t="s">
        <v>137</v>
      </c>
      <c r="W2" s="7" t="s">
        <v>50</v>
      </c>
      <c r="X2" s="7" t="s">
        <v>51</v>
      </c>
      <c r="Y2" s="7" t="s">
        <v>138</v>
      </c>
      <c r="Z2" s="8" t="s">
        <v>139</v>
      </c>
      <c r="AA2" s="8" t="s">
        <v>140</v>
      </c>
      <c r="AB2" s="8" t="s">
        <v>141</v>
      </c>
      <c r="AC2" s="9" t="s">
        <v>142</v>
      </c>
      <c r="AD2" s="69" t="s">
        <v>124</v>
      </c>
      <c r="AE2" s="69" t="s">
        <v>125</v>
      </c>
      <c r="AF2" s="6" t="s">
        <v>128</v>
      </c>
      <c r="AG2" s="6" t="s">
        <v>129</v>
      </c>
      <c r="AH2" s="6" t="s">
        <v>129</v>
      </c>
      <c r="AI2" s="6" t="s">
        <v>130</v>
      </c>
      <c r="AJ2" s="6" t="s">
        <v>131</v>
      </c>
      <c r="AK2" s="6" t="s">
        <v>132</v>
      </c>
      <c r="AL2" s="6" t="s">
        <v>126</v>
      </c>
      <c r="AM2" s="6" t="s">
        <v>133</v>
      </c>
      <c r="AN2" s="6" t="s">
        <v>134</v>
      </c>
      <c r="AO2" s="6" t="s">
        <v>135</v>
      </c>
      <c r="AP2" s="7" t="s">
        <v>136</v>
      </c>
      <c r="AQ2" s="8" t="s">
        <v>137</v>
      </c>
      <c r="AR2" s="7" t="s">
        <v>50</v>
      </c>
      <c r="AS2" s="7" t="s">
        <v>51</v>
      </c>
      <c r="AT2" s="8" t="s">
        <v>143</v>
      </c>
      <c r="AU2" s="8" t="s">
        <v>139</v>
      </c>
      <c r="AV2" s="8" t="s">
        <v>140</v>
      </c>
      <c r="AW2" s="8" t="s">
        <v>141</v>
      </c>
      <c r="AX2" s="8" t="s">
        <v>142</v>
      </c>
      <c r="AY2" s="68" t="s">
        <v>124</v>
      </c>
      <c r="AZ2" s="69" t="s">
        <v>125</v>
      </c>
      <c r="BA2" s="6" t="s">
        <v>128</v>
      </c>
      <c r="BB2" s="6" t="s">
        <v>129</v>
      </c>
      <c r="BC2" s="6" t="s">
        <v>129</v>
      </c>
      <c r="BD2" s="6" t="s">
        <v>130</v>
      </c>
      <c r="BE2" s="6" t="s">
        <v>131</v>
      </c>
      <c r="BF2" s="6" t="s">
        <v>132</v>
      </c>
      <c r="BG2" s="6" t="s">
        <v>126</v>
      </c>
      <c r="BH2" s="6" t="s">
        <v>133</v>
      </c>
      <c r="BI2" s="6" t="s">
        <v>134</v>
      </c>
      <c r="BJ2" s="6" t="s">
        <v>135</v>
      </c>
      <c r="BK2" s="7" t="s">
        <v>136</v>
      </c>
      <c r="BL2" s="8" t="s">
        <v>137</v>
      </c>
      <c r="BM2" s="7" t="s">
        <v>50</v>
      </c>
      <c r="BN2" s="7" t="s">
        <v>51</v>
      </c>
      <c r="BO2" s="8" t="s">
        <v>143</v>
      </c>
      <c r="BP2" s="8" t="s">
        <v>139</v>
      </c>
      <c r="BQ2" s="8" t="s">
        <v>140</v>
      </c>
      <c r="BR2" s="8" t="s">
        <v>141</v>
      </c>
      <c r="BS2" s="9" t="s">
        <v>142</v>
      </c>
      <c r="BT2" s="68" t="s">
        <v>124</v>
      </c>
      <c r="BU2" s="69" t="s">
        <v>125</v>
      </c>
      <c r="BV2" s="6" t="s">
        <v>128</v>
      </c>
      <c r="BW2" s="6" t="s">
        <v>129</v>
      </c>
      <c r="BX2" s="6" t="s">
        <v>129</v>
      </c>
      <c r="BY2" s="6" t="s">
        <v>130</v>
      </c>
      <c r="BZ2" s="6" t="s">
        <v>131</v>
      </c>
      <c r="CA2" s="6" t="s">
        <v>132</v>
      </c>
      <c r="CB2" s="6" t="s">
        <v>126</v>
      </c>
      <c r="CC2" s="6" t="s">
        <v>133</v>
      </c>
      <c r="CD2" s="6" t="s">
        <v>134</v>
      </c>
      <c r="CE2" s="6" t="s">
        <v>135</v>
      </c>
      <c r="CF2" s="7" t="s">
        <v>136</v>
      </c>
      <c r="CG2" s="8" t="s">
        <v>137</v>
      </c>
      <c r="CH2" s="7" t="s">
        <v>50</v>
      </c>
      <c r="CI2" s="7" t="s">
        <v>51</v>
      </c>
      <c r="CJ2" s="8" t="s">
        <v>143</v>
      </c>
      <c r="CK2" s="8" t="s">
        <v>139</v>
      </c>
      <c r="CL2" s="8" t="s">
        <v>140</v>
      </c>
      <c r="CM2" s="8" t="s">
        <v>141</v>
      </c>
      <c r="CN2" s="9" t="s">
        <v>142</v>
      </c>
      <c r="CO2" s="68" t="s">
        <v>124</v>
      </c>
      <c r="CP2" s="69" t="s">
        <v>125</v>
      </c>
      <c r="CQ2" s="6" t="s">
        <v>128</v>
      </c>
      <c r="CR2" s="6" t="s">
        <v>129</v>
      </c>
      <c r="CS2" s="6" t="s">
        <v>129</v>
      </c>
      <c r="CT2" s="6" t="s">
        <v>130</v>
      </c>
      <c r="CU2" s="6" t="s">
        <v>131</v>
      </c>
      <c r="CV2" s="6" t="s">
        <v>132</v>
      </c>
      <c r="CW2" s="6" t="s">
        <v>126</v>
      </c>
      <c r="CX2" s="6" t="s">
        <v>133</v>
      </c>
      <c r="CY2" s="6" t="s">
        <v>134</v>
      </c>
      <c r="CZ2" s="6" t="s">
        <v>135</v>
      </c>
      <c r="DA2" s="7" t="s">
        <v>136</v>
      </c>
      <c r="DB2" s="8" t="s">
        <v>137</v>
      </c>
      <c r="DC2" s="7" t="s">
        <v>50</v>
      </c>
      <c r="DD2" s="7" t="s">
        <v>51</v>
      </c>
      <c r="DE2" s="8" t="s">
        <v>143</v>
      </c>
      <c r="DF2" s="8" t="s">
        <v>139</v>
      </c>
      <c r="DG2" s="8" t="s">
        <v>140</v>
      </c>
      <c r="DH2" s="8" t="s">
        <v>141</v>
      </c>
      <c r="DI2" s="9" t="s">
        <v>142</v>
      </c>
      <c r="DJ2" s="68" t="s">
        <v>124</v>
      </c>
      <c r="DK2" s="69" t="s">
        <v>125</v>
      </c>
      <c r="DL2" s="6" t="s">
        <v>128</v>
      </c>
      <c r="DM2" s="6" t="s">
        <v>129</v>
      </c>
      <c r="DN2" s="6" t="s">
        <v>129</v>
      </c>
      <c r="DO2" s="6" t="s">
        <v>130</v>
      </c>
      <c r="DP2" s="6" t="s">
        <v>131</v>
      </c>
      <c r="DQ2" s="6" t="s">
        <v>132</v>
      </c>
      <c r="DR2" s="6" t="s">
        <v>126</v>
      </c>
      <c r="DS2" s="6" t="s">
        <v>133</v>
      </c>
      <c r="DT2" s="6" t="s">
        <v>134</v>
      </c>
      <c r="DU2" s="6" t="s">
        <v>135</v>
      </c>
      <c r="DV2" s="7" t="s">
        <v>136</v>
      </c>
      <c r="DW2" s="8" t="s">
        <v>137</v>
      </c>
      <c r="DX2" s="7" t="s">
        <v>50</v>
      </c>
      <c r="DY2" s="7" t="s">
        <v>51</v>
      </c>
      <c r="DZ2" s="8" t="s">
        <v>143</v>
      </c>
      <c r="EA2" s="8" t="s">
        <v>139</v>
      </c>
      <c r="EB2" s="8" t="s">
        <v>140</v>
      </c>
      <c r="EC2" s="8" t="s">
        <v>141</v>
      </c>
      <c r="ED2" s="9" t="s">
        <v>142</v>
      </c>
      <c r="EE2" s="68" t="s">
        <v>124</v>
      </c>
      <c r="EF2" s="69" t="s">
        <v>125</v>
      </c>
      <c r="EG2" s="6" t="s">
        <v>128</v>
      </c>
      <c r="EH2" s="6" t="s">
        <v>129</v>
      </c>
      <c r="EI2" s="6" t="s">
        <v>129</v>
      </c>
      <c r="EJ2" s="6" t="s">
        <v>130</v>
      </c>
      <c r="EK2" s="6" t="s">
        <v>131</v>
      </c>
      <c r="EL2" s="6" t="s">
        <v>132</v>
      </c>
      <c r="EM2" s="6" t="s">
        <v>126</v>
      </c>
      <c r="EN2" s="6" t="s">
        <v>133</v>
      </c>
      <c r="EO2" s="6" t="s">
        <v>134</v>
      </c>
      <c r="EP2" s="6" t="s">
        <v>135</v>
      </c>
      <c r="EQ2" s="7" t="s">
        <v>136</v>
      </c>
      <c r="ER2" s="8" t="s">
        <v>137</v>
      </c>
      <c r="ES2" s="7" t="s">
        <v>50</v>
      </c>
      <c r="ET2" s="7" t="s">
        <v>51</v>
      </c>
      <c r="EU2" s="8" t="s">
        <v>143</v>
      </c>
      <c r="EV2" s="8" t="s">
        <v>139</v>
      </c>
      <c r="EW2" s="8" t="s">
        <v>140</v>
      </c>
      <c r="EX2" s="8" t="s">
        <v>141</v>
      </c>
      <c r="EY2" s="9" t="s">
        <v>142</v>
      </c>
      <c r="EZ2" s="68" t="s">
        <v>124</v>
      </c>
      <c r="FA2" s="69" t="s">
        <v>125</v>
      </c>
      <c r="FB2" s="6" t="s">
        <v>128</v>
      </c>
      <c r="FC2" s="6" t="s">
        <v>129</v>
      </c>
      <c r="FD2" s="6" t="s">
        <v>129</v>
      </c>
      <c r="FE2" s="6" t="s">
        <v>130</v>
      </c>
      <c r="FF2" s="6" t="s">
        <v>131</v>
      </c>
      <c r="FG2" s="6" t="s">
        <v>132</v>
      </c>
      <c r="FH2" s="6" t="s">
        <v>126</v>
      </c>
      <c r="FI2" s="6" t="s">
        <v>133</v>
      </c>
      <c r="FJ2" s="6" t="s">
        <v>134</v>
      </c>
      <c r="FK2" s="6" t="s">
        <v>135</v>
      </c>
      <c r="FL2" s="7" t="s">
        <v>136</v>
      </c>
      <c r="FM2" s="8" t="s">
        <v>137</v>
      </c>
      <c r="FN2" s="7" t="s">
        <v>50</v>
      </c>
      <c r="FO2" s="7" t="s">
        <v>51</v>
      </c>
      <c r="FP2" s="8" t="s">
        <v>144</v>
      </c>
      <c r="FQ2" s="8" t="s">
        <v>139</v>
      </c>
      <c r="FR2" s="8" t="s">
        <v>140</v>
      </c>
      <c r="FS2" s="8" t="s">
        <v>141</v>
      </c>
      <c r="FT2" s="9" t="s">
        <v>142</v>
      </c>
      <c r="FU2" s="68" t="s">
        <v>124</v>
      </c>
      <c r="FV2" s="69" t="s">
        <v>125</v>
      </c>
      <c r="FW2" s="6" t="s">
        <v>128</v>
      </c>
      <c r="FX2" s="6" t="s">
        <v>129</v>
      </c>
      <c r="FY2" s="6" t="s">
        <v>129</v>
      </c>
      <c r="FZ2" s="6" t="s">
        <v>130</v>
      </c>
      <c r="GA2" s="6" t="s">
        <v>131</v>
      </c>
      <c r="GB2" s="6" t="s">
        <v>132</v>
      </c>
      <c r="GC2" s="6" t="s">
        <v>126</v>
      </c>
      <c r="GD2" s="6" t="s">
        <v>133</v>
      </c>
      <c r="GE2" s="6" t="s">
        <v>134</v>
      </c>
      <c r="GF2" s="6" t="s">
        <v>135</v>
      </c>
      <c r="GG2" s="7" t="s">
        <v>136</v>
      </c>
      <c r="GH2" s="8" t="s">
        <v>137</v>
      </c>
      <c r="GI2" s="7" t="s">
        <v>50</v>
      </c>
      <c r="GJ2" s="7" t="s">
        <v>51</v>
      </c>
      <c r="GK2" s="8" t="s">
        <v>143</v>
      </c>
      <c r="GL2" s="8" t="s">
        <v>139</v>
      </c>
      <c r="GM2" s="8" t="s">
        <v>140</v>
      </c>
      <c r="GN2" s="8" t="s">
        <v>141</v>
      </c>
      <c r="GO2" s="8" t="s">
        <v>142</v>
      </c>
      <c r="GP2" s="68" t="s">
        <v>124</v>
      </c>
      <c r="GQ2" s="69" t="s">
        <v>125</v>
      </c>
      <c r="GR2" s="6" t="s">
        <v>128</v>
      </c>
      <c r="GS2" s="6" t="s">
        <v>129</v>
      </c>
      <c r="GT2" s="6" t="s">
        <v>129</v>
      </c>
      <c r="GU2" s="6" t="s">
        <v>130</v>
      </c>
      <c r="GV2" s="6" t="s">
        <v>131</v>
      </c>
      <c r="GW2" s="6" t="s">
        <v>132</v>
      </c>
      <c r="GX2" s="6" t="s">
        <v>126</v>
      </c>
      <c r="GY2" s="6" t="s">
        <v>133</v>
      </c>
      <c r="GZ2" s="6" t="s">
        <v>134</v>
      </c>
      <c r="HA2" s="6" t="s">
        <v>135</v>
      </c>
      <c r="HB2" s="7" t="s">
        <v>136</v>
      </c>
      <c r="HC2" s="8" t="s">
        <v>137</v>
      </c>
      <c r="HD2" s="7" t="s">
        <v>50</v>
      </c>
      <c r="HE2" s="7" t="s">
        <v>51</v>
      </c>
      <c r="HF2" s="8" t="s">
        <v>143</v>
      </c>
      <c r="HG2" s="8" t="s">
        <v>139</v>
      </c>
      <c r="HH2" s="8" t="s">
        <v>140</v>
      </c>
      <c r="HI2" s="8" t="s">
        <v>141</v>
      </c>
      <c r="HJ2" s="9" t="s">
        <v>142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74.96601334162861</v>
      </c>
      <c r="T3" s="59">
        <f>IF('Données projet'!E9&gt;30,$R$33-$H$33,LOOKUP('Données projet'!$E$9,$A$3:$A$203,R3:R203)-LOOKUP('Données projet'!$E$9,$A$3:$A$203,$H$3:$H$203))</f>
        <v>372.48258675228851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14.55909090909091</v>
      </c>
      <c r="N4" s="13">
        <f>IF('Données projet'!$A$36&gt;35,N3+M4-V3,IF(A4&lt;'Données projet'!$A$36,$K$205^A4,IF(A4='Données projet'!$A$36,'Données projet'!$B$36,N3+M4-V3)))</f>
        <v>1.2998371697361266</v>
      </c>
      <c r="O4" s="13">
        <f>N4*VLOOKUP('Données projet'!$B$9,Paramètres!$A$1:$I$89,3,0)*VLOOKUP('Données projet'!$B$9,Paramètres!$A$1:$I$89,5,0)</f>
        <v>0.62049027134523738</v>
      </c>
      <c r="P4" s="13">
        <f>EXP(-1.0587+0.8836*LN(O4)+0.284)</f>
        <v>0.30228228063460794</v>
      </c>
      <c r="Q4" s="20">
        <f t="shared" ref="Q4:Q34" si="2">(O4+P4)*0.475*44/12</f>
        <v>1.6071621946982304</v>
      </c>
      <c r="R4" s="59">
        <f t="shared" si="0"/>
        <v>169.41959614762206</v>
      </c>
      <c r="S4" s="59">
        <f ca="1">AVERAGE(OFFSET($R$3,0,0,'Données projet'!$E$9+1,1))-AVERAGE(OFFSET($H$3,0,0,'Données projet'!$E$9+1,1))</f>
        <v>74.96601334162861</v>
      </c>
      <c r="T4" s="59">
        <f>$T$3</f>
        <v>372.48258675228851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14.55909090909091</v>
      </c>
      <c r="N5" s="13">
        <f>IF('Données projet'!$A$36&gt;35,N4+M5-V4,IF(A5&lt;'Données projet'!$A$36,$K$205^A5,IF(A5='Données projet'!$A$36,'Données projet'!$B$36,N4+M5-V4)))</f>
        <v>1.6895766678276241</v>
      </c>
      <c r="O5" s="13">
        <f>N5*VLOOKUP('Données projet'!$B$9,Paramètres!$A$1:$I$89,3,0)*VLOOKUP('Données projet'!$B$9,Paramètres!$A$1:$I$89,5,0)</f>
        <v>0.80653631815419469</v>
      </c>
      <c r="P5" s="13">
        <f t="shared" ref="P5:P68" si="33">EXP(-1.0587+0.8836*LN(O5)+0.284)</f>
        <v>0.38110528196567439</v>
      </c>
      <c r="Q5" s="20">
        <f t="shared" si="2"/>
        <v>2.0684757868754384</v>
      </c>
      <c r="R5" s="59">
        <f t="shared" si="0"/>
        <v>172.66575707437627</v>
      </c>
      <c r="S5" s="59">
        <f ca="1">AVERAGE(OFFSET($R$3,0,0,'Données projet'!$E$9+1,1))-AVERAGE(OFFSET($H$3,0,0,'Données projet'!$E$9+1,1))</f>
        <v>74.96601334162861</v>
      </c>
      <c r="T5" s="59">
        <f t="shared" ref="T5:T68" si="34">$T$3</f>
        <v>372.48258675228851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14.55909090909091</v>
      </c>
      <c r="N6" s="13">
        <f>IF('Données projet'!$A$36&gt;35,N5+M6-V5,IF(A6&lt;'Données projet'!$A$36,$K$205^A6,IF(A6='Données projet'!$A$36,'Données projet'!$B$36,N5+M6-V5)))</f>
        <v>2.1961745539612547</v>
      </c>
      <c r="O6" s="13">
        <f>N6*VLOOKUP('Données projet'!$B$9,Paramètres!$A$1:$I$89,3,0)*VLOOKUP('Données projet'!$B$9,Paramètres!$A$1:$I$89,5,0)</f>
        <v>1.0483658850789446</v>
      </c>
      <c r="P6" s="13">
        <f t="shared" si="33"/>
        <v>0.48048213622451968</v>
      </c>
      <c r="Q6" s="20">
        <f t="shared" si="2"/>
        <v>2.6627436371035338</v>
      </c>
      <c r="R6" s="59">
        <f t="shared" si="0"/>
        <v>176.01776420698843</v>
      </c>
      <c r="S6" s="59">
        <f ca="1">AVERAGE(OFFSET($R$3,0,0,'Données projet'!$E$9+1,1))-AVERAGE(OFFSET($H$3,0,0,'Données projet'!$E$9+1,1))</f>
        <v>74.96601334162861</v>
      </c>
      <c r="T6" s="59">
        <f t="shared" si="34"/>
        <v>372.48258675228851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14.55909090909091</v>
      </c>
      <c r="N7" s="13">
        <f>IF('Données projet'!$A$36&gt;35,N6+M7-V6,IF(A7&lt;'Données projet'!$A$36,$K$205^A7,IF(A7='Données projet'!$A$36,'Données projet'!$B$36,N6+M7-V6)))</f>
        <v>2.8546693164674974</v>
      </c>
      <c r="O7" s="13">
        <f>N7*VLOOKUP('Données projet'!$B$9,Paramètres!$A$1:$I$89,3,0)*VLOOKUP('Données projet'!$B$9,Paramètres!$A$1:$I$89,5,0)</f>
        <v>1.3627049449089246</v>
      </c>
      <c r="P7" s="13">
        <f t="shared" si="33"/>
        <v>0.6057724575217811</v>
      </c>
      <c r="Q7" s="20">
        <f t="shared" si="2"/>
        <v>3.4284314759001457</v>
      </c>
      <c r="R7" s="59">
        <f t="shared" si="0"/>
        <v>179.51455354007709</v>
      </c>
      <c r="S7" s="59">
        <f ca="1">AVERAGE(OFFSET($R$3,0,0,'Données projet'!$E$9+1,1))-AVERAGE(OFFSET($H$3,0,0,'Données projet'!$E$9+1,1))</f>
        <v>74.96601334162861</v>
      </c>
      <c r="T7" s="59">
        <f t="shared" si="34"/>
        <v>372.48258675228851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14.55909090909091</v>
      </c>
      <c r="N8" s="13">
        <f>IF('Données projet'!$A$36&gt;35,N7+M8-V7,IF(A8&lt;'Données projet'!$A$36,$K$205^A8,IF(A8='Données projet'!$A$36,'Données projet'!$B$36,N7+M8-V7)))</f>
        <v>3.7106052848496751</v>
      </c>
      <c r="O8" s="13">
        <f>N8*VLOOKUP('Données projet'!$B$9,Paramètres!$A$1:$I$89,3,0)*VLOOKUP('Données projet'!$B$9,Paramètres!$A$1:$I$89,5,0)</f>
        <v>1.771294538775841</v>
      </c>
      <c r="P8" s="13">
        <f t="shared" si="33"/>
        <v>0.76373343070657862</v>
      </c>
      <c r="Q8" s="20">
        <f t="shared" si="2"/>
        <v>4.4151737135152134</v>
      </c>
      <c r="R8" s="59">
        <f t="shared" si="0"/>
        <v>183.20622158996255</v>
      </c>
      <c r="S8" s="59">
        <f ca="1">AVERAGE(OFFSET($R$3,0,0,'Données projet'!$E$9+1,1))-AVERAGE(OFFSET($H$3,0,0,'Données projet'!$E$9+1,1))</f>
        <v>74.96601334162861</v>
      </c>
      <c r="T8" s="59">
        <f t="shared" si="34"/>
        <v>372.48258675228851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14.55909090909091</v>
      </c>
      <c r="N9" s="13">
        <f>IF('Données projet'!$A$36&gt;35,N8+M9-V8,IF(A9&lt;'Données projet'!$A$36,$K$205^A9,IF(A9='Données projet'!$A$36,'Données projet'!$B$36,N8+M9-V8)))</f>
        <v>4.8231826714669159</v>
      </c>
      <c r="O9" s="13">
        <f>N9*VLOOKUP('Données projet'!$B$9,Paramètres!$A$1:$I$89,3,0)*VLOOKUP('Données projet'!$B$9,Paramètres!$A$1:$I$89,5,0)</f>
        <v>2.3023944800514471</v>
      </c>
      <c r="P9" s="13">
        <f t="shared" si="33"/>
        <v>0.962884241328961</v>
      </c>
      <c r="Q9" s="20">
        <f t="shared" si="2"/>
        <v>5.6870271064042113</v>
      </c>
      <c r="R9" s="59">
        <f t="shared" si="0"/>
        <v>187.15727920266318</v>
      </c>
      <c r="S9" s="59">
        <f ca="1">AVERAGE(OFFSET($R$3,0,0,'Données projet'!$E$9+1,1))-AVERAGE(OFFSET($H$3,0,0,'Données projet'!$E$9+1,1))</f>
        <v>74.96601334162861</v>
      </c>
      <c r="T9" s="59">
        <f t="shared" si="34"/>
        <v>372.48258675228851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14.55909090909091</v>
      </c>
      <c r="N10" s="13">
        <f>IF('Données projet'!$A$36&gt;35,N9+M10-V9,IF(A10&lt;'Données projet'!$A$36,$K$205^A10,IF(A10='Données projet'!$A$36,'Données projet'!$B$36,N9+M10-V9)))</f>
        <v>6.2693521127998864</v>
      </c>
      <c r="O10" s="13">
        <f>N10*VLOOKUP('Données projet'!$B$9,Paramètres!$A$1:$I$89,3,0)*VLOOKUP('Données projet'!$B$9,Paramètres!$A$1:$I$89,5,0)</f>
        <v>2.9927379245661538</v>
      </c>
      <c r="P10" s="13">
        <f t="shared" si="33"/>
        <v>1.2139655342072517</v>
      </c>
      <c r="Q10" s="20">
        <f t="shared" si="2"/>
        <v>7.3266751906970145</v>
      </c>
      <c r="R10" s="59">
        <f t="shared" si="0"/>
        <v>191.45085612643325</v>
      </c>
      <c r="S10" s="59">
        <f ca="1">AVERAGE(OFFSET($R$3,0,0,'Données projet'!$E$9+1,1))-AVERAGE(OFFSET($H$3,0,0,'Données projet'!$E$9+1,1))</f>
        <v>74.96601334162861</v>
      </c>
      <c r="T10" s="59">
        <f t="shared" si="34"/>
        <v>372.48258675228851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14.55909090909091</v>
      </c>
      <c r="N11" s="13">
        <f>IF('Données projet'!$A$36&gt;35,N10+M11-V10,IF(A11&lt;'Données projet'!$A$36,$K$205^A11,IF(A11='Données projet'!$A$36,'Données projet'!$B$36,N10+M11-V10)))</f>
        <v>8.1491369063810097</v>
      </c>
      <c r="O11" s="13">
        <f>N11*VLOOKUP('Données projet'!$B$9,Paramètres!$A$1:$I$89,3,0)*VLOOKUP('Données projet'!$B$9,Paramètres!$A$1:$I$89,5,0)</f>
        <v>3.890071993630039</v>
      </c>
      <c r="P11" s="13">
        <f t="shared" si="33"/>
        <v>1.5305186802196469</v>
      </c>
      <c r="Q11" s="20">
        <f t="shared" si="2"/>
        <v>9.4408620902882028</v>
      </c>
      <c r="R11" s="59">
        <f t="shared" si="0"/>
        <v>196.19413495650875</v>
      </c>
      <c r="S11" s="59">
        <f ca="1">AVERAGE(OFFSET($R$3,0,0,'Données projet'!$E$9+1,1))-AVERAGE(OFFSET($H$3,0,0,'Données projet'!$E$9+1,1))</f>
        <v>74.96601334162861</v>
      </c>
      <c r="T11" s="59">
        <f t="shared" si="34"/>
        <v>372.48258675228851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14.55909090909091</v>
      </c>
      <c r="N12" s="13">
        <f>IF('Données projet'!$A$36&gt;35,N11+M12-V11,IF(A12&lt;'Données projet'!$A$36,$K$205^A12,IF(A12='Données projet'!$A$36,'Données projet'!$B$36,N11+M12-V11)))</f>
        <v>10.592551052182506</v>
      </c>
      <c r="O12" s="13">
        <f>N12*VLOOKUP('Données projet'!$B$9,Paramètres!$A$1:$I$89,3,0)*VLOOKUP('Données projet'!$B$9,Paramètres!$A$1:$I$89,5,0)</f>
        <v>5.0564601702698404</v>
      </c>
      <c r="P12" s="13">
        <f t="shared" si="33"/>
        <v>1.9296160924626173</v>
      </c>
      <c r="Q12" s="20">
        <f t="shared" si="2"/>
        <v>12.167416157592363</v>
      </c>
      <c r="R12" s="59">
        <f t="shared" si="0"/>
        <v>201.52537491014843</v>
      </c>
      <c r="S12" s="59">
        <f ca="1">AVERAGE(OFFSET($R$3,0,0,'Données projet'!$E$9+1,1))-AVERAGE(OFFSET($H$3,0,0,'Données projet'!$E$9+1,1))</f>
        <v>74.96601334162861</v>
      </c>
      <c r="T12" s="59">
        <f t="shared" si="34"/>
        <v>372.48258675228851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14.55909090909091</v>
      </c>
      <c r="N13" s="13">
        <f>IF('Données projet'!$A$36&gt;35,N12+M13-V12,IF(A13&lt;'Données projet'!$A$36,$K$205^A13,IF(A13='Données projet'!$A$36,'Données projet'!$B$36,N12+M13-V12)))</f>
        <v>13.768591579954339</v>
      </c>
      <c r="O13" s="13">
        <f>N13*VLOOKUP('Données projet'!$B$9,Paramètres!$A$1:$I$89,3,0)*VLOOKUP('Données projet'!$B$9,Paramètres!$A$1:$I$89,5,0)</f>
        <v>6.5725748766070042</v>
      </c>
      <c r="P13" s="13">
        <f t="shared" si="33"/>
        <v>2.4327819793459478</v>
      </c>
      <c r="Q13" s="20">
        <f t="shared" si="2"/>
        <v>15.684329857451388</v>
      </c>
      <c r="R13" s="59">
        <f t="shared" si="0"/>
        <v>207.62299184249628</v>
      </c>
      <c r="S13" s="59">
        <f ca="1">AVERAGE(OFFSET($R$3,0,0,'Données projet'!$E$9+1,1))-AVERAGE(OFFSET($H$3,0,0,'Données projet'!$E$9+1,1))</f>
        <v>74.96601334162861</v>
      </c>
      <c r="T13" s="59">
        <f t="shared" si="34"/>
        <v>372.48258675228851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14.55909090909091</v>
      </c>
      <c r="N14" s="13">
        <f>IF('Données projet'!$A$36&gt;35,N13+M14-V13,IF(A14&lt;'Données projet'!$A$36,$K$205^A14,IF(A14='Données projet'!$A$36,'Données projet'!$B$36,N13+M14-V13)))</f>
        <v>17.896927110540513</v>
      </c>
      <c r="O14" s="13">
        <f>N14*VLOOKUP('Données projet'!$B$9,Paramètres!$A$1:$I$89,3,0)*VLOOKUP('Données projet'!$B$9,Paramètres!$A$1:$I$89,5,0)</f>
        <v>8.5432771254876183</v>
      </c>
      <c r="P14" s="13">
        <f t="shared" si="33"/>
        <v>3.067153192880538</v>
      </c>
      <c r="Q14" s="20">
        <f t="shared" si="2"/>
        <v>20.221499471157873</v>
      </c>
      <c r="R14" s="59">
        <f t="shared" si="0"/>
        <v>214.717298080272</v>
      </c>
      <c r="S14" s="59">
        <f ca="1">AVERAGE(OFFSET($R$3,0,0,'Données projet'!$E$9+1,1))-AVERAGE(OFFSET($H$3,0,0,'Données projet'!$E$9+1,1))</f>
        <v>74.96601334162861</v>
      </c>
      <c r="T14" s="59">
        <f t="shared" si="34"/>
        <v>372.48258675228851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14.55909090909091</v>
      </c>
      <c r="N15" s="13">
        <f>IF('Données projet'!$A$36&gt;35,N14+M15-V14,IF(A15&lt;'Données projet'!$A$36,$K$205^A15,IF(A15='Données projet'!$A$36,'Données projet'!$B$36,N14+M15-V14)))</f>
        <v>23.263091082338732</v>
      </c>
      <c r="O15" s="13">
        <f>N15*VLOOKUP('Données projet'!$B$9,Paramètres!$A$1:$I$89,3,0)*VLOOKUP('Données projet'!$B$9,Paramètres!$A$1:$I$89,5,0)</f>
        <v>11.104869159065219</v>
      </c>
      <c r="P15" s="13">
        <f t="shared" si="33"/>
        <v>3.8669427792812185</v>
      </c>
      <c r="Q15" s="20">
        <f t="shared" si="2"/>
        <v>26.075905792620045</v>
      </c>
      <c r="R15" s="59">
        <f t="shared" si="0"/>
        <v>223.10568324535291</v>
      </c>
      <c r="S15" s="59">
        <f ca="1">AVERAGE(OFFSET($R$3,0,0,'Données projet'!$E$9+1,1))-AVERAGE(OFFSET($H$3,0,0,'Données projet'!$E$9+1,1))</f>
        <v>74.96601334162861</v>
      </c>
      <c r="T15" s="59">
        <f t="shared" si="34"/>
        <v>372.48258675228851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14.55909090909091</v>
      </c>
      <c r="N16" s="13">
        <f>IF('Données projet'!$A$36&gt;35,N15+M16-V15,IF(A16&lt;'Données projet'!$A$36,$K$205^A16,IF(A16='Données projet'!$A$36,'Données projet'!$B$36,N15+M16-V15)))</f>
        <v>30.238230471780906</v>
      </c>
      <c r="O16" s="13">
        <f>N16*VLOOKUP('Données projet'!$B$9,Paramètres!$A$1:$I$89,3,0)*VLOOKUP('Données projet'!$B$9,Paramètres!$A$1:$I$89,5,0)</f>
        <v>14.434521698009334</v>
      </c>
      <c r="P16" s="13">
        <f t="shared" si="33"/>
        <v>4.8752851644138815</v>
      </c>
      <c r="Q16" s="20">
        <f t="shared" si="2"/>
        <v>33.631246952053765</v>
      </c>
      <c r="R16" s="59">
        <f t="shared" si="0"/>
        <v>233.17224720367258</v>
      </c>
      <c r="S16" s="59">
        <f ca="1">AVERAGE(OFFSET($R$3,0,0,'Données projet'!$E$9+1,1))-AVERAGE(OFFSET($H$3,0,0,'Données projet'!$E$9+1,1))</f>
        <v>74.96601334162861</v>
      </c>
      <c r="T16" s="59">
        <f t="shared" si="34"/>
        <v>372.48258675228851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14.55909090909091</v>
      </c>
      <c r="N17" s="13">
        <f>IF('Données projet'!$A$36&gt;35,N16+M17-V16,IF(A17&lt;'Données projet'!$A$36,$K$205^A17,IF(A17='Données projet'!$A$36,'Données projet'!$B$36,N16+M17-V16)))</f>
        <v>39.304775914268397</v>
      </c>
      <c r="O17" s="13">
        <f>N17*VLOOKUP('Données projet'!$B$9,Paramètres!$A$1:$I$89,3,0)*VLOOKUP('Données projet'!$B$9,Paramètres!$A$1:$I$89,5,0)</f>
        <v>18.762527830435161</v>
      </c>
      <c r="P17" s="13">
        <f t="shared" si="33"/>
        <v>6.1465624890296739</v>
      </c>
      <c r="Q17" s="20">
        <f t="shared" si="2"/>
        <v>43.38333230640125</v>
      </c>
      <c r="R17" s="59">
        <f t="shared" si="0"/>
        <v>245.41319407867445</v>
      </c>
      <c r="S17" s="59">
        <f ca="1">AVERAGE(OFFSET($R$3,0,0,'Données projet'!$E$9+1,1))-AVERAGE(OFFSET($H$3,0,0,'Données projet'!$E$9+1,1))</f>
        <v>74.96601334162861</v>
      </c>
      <c r="T17" s="59">
        <f t="shared" si="34"/>
        <v>372.48258675228851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14.55909090909091</v>
      </c>
      <c r="N18" s="13">
        <f>IF('Données projet'!$A$36&gt;35,N17+M18-V17,IF(A18&lt;'Données projet'!$A$36,$K$205^A18,IF(A18='Données projet'!$A$36,'Données projet'!$B$36,N17+M18-V17)))</f>
        <v>51.089808681515315</v>
      </c>
      <c r="O18" s="13">
        <f>N18*VLOOKUP('Données projet'!$B$9,Paramètres!$A$1:$I$89,3,0)*VLOOKUP('Données projet'!$B$9,Paramètres!$A$1:$I$89,5,0)</f>
        <v>24.38823107220815</v>
      </c>
      <c r="P18" s="13">
        <f t="shared" si="33"/>
        <v>7.7493375582038704</v>
      </c>
      <c r="Q18" s="20">
        <f t="shared" si="2"/>
        <v>55.972932031300928</v>
      </c>
      <c r="R18" s="59">
        <f t="shared" si="0"/>
        <v>260.46968196418197</v>
      </c>
      <c r="S18" s="59">
        <f ca="1">AVERAGE(OFFSET($R$3,0,0,'Données projet'!$E$9+1,1))-AVERAGE(OFFSET($H$3,0,0,'Données projet'!$E$9+1,1))</f>
        <v>74.96601334162861</v>
      </c>
      <c r="T18" s="59">
        <f t="shared" si="34"/>
        <v>372.48258675228851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14.55909090909091</v>
      </c>
      <c r="N19" s="13">
        <f>IF('Données projet'!$A$36&gt;35,N18+M19-V18,IF(A19&lt;'Données projet'!$A$36,$K$205^A19,IF(A19='Données projet'!$A$36,'Données projet'!$B$36,N18+M19-V18)))</f>
        <v>66.408432318941053</v>
      </c>
      <c r="O19" s="13">
        <f>N19*VLOOKUP('Données projet'!$B$9,Paramètres!$A$1:$I$89,3,0)*VLOOKUP('Données projet'!$B$9,Paramètres!$A$1:$I$89,5,0)</f>
        <v>31.700729251769701</v>
      </c>
      <c r="P19" s="13">
        <f t="shared" si="33"/>
        <v>9.770051585446307</v>
      </c>
      <c r="Q19" s="20">
        <f t="shared" si="2"/>
        <v>72.22827662481788</v>
      </c>
      <c r="R19" s="59">
        <f t="shared" si="0"/>
        <v>279.17032254693197</v>
      </c>
      <c r="S19" s="59">
        <f ca="1">AVERAGE(OFFSET($R$3,0,0,'Données projet'!$E$9+1,1))-AVERAGE(OFFSET($H$3,0,0,'Données projet'!$E$9+1,1))</f>
        <v>74.96601334162861</v>
      </c>
      <c r="T19" s="59">
        <f t="shared" si="34"/>
        <v>372.48258675228851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14.55909090909091</v>
      </c>
      <c r="N20" s="13">
        <f>IF('Données projet'!$A$36&gt;35,N19+M20-V19,IF(A20&lt;'Données projet'!$A$36,$K$205^A20,IF(A20='Données projet'!$A$36,'Données projet'!$B$36,N19+M20-V19)))</f>
        <v>86.32014871206546</v>
      </c>
      <c r="O20" s="13">
        <f>N20*VLOOKUP('Données projet'!$B$9,Paramètres!$A$1:$I$89,3,0)*VLOOKUP('Données projet'!$B$9,Paramètres!$A$1:$I$89,5,0)</f>
        <v>41.205786189191571</v>
      </c>
      <c r="P20" s="13">
        <f t="shared" si="33"/>
        <v>12.317686159022612</v>
      </c>
      <c r="Q20" s="20">
        <f t="shared" si="2"/>
        <v>93.220047673139689</v>
      </c>
      <c r="R20" s="59">
        <f t="shared" si="0"/>
        <v>302.58617198901243</v>
      </c>
      <c r="S20" s="59">
        <f ca="1">AVERAGE(OFFSET($R$3,0,0,'Données projet'!$E$9+1,1))-AVERAGE(OFFSET($H$3,0,0,'Données projet'!$E$9+1,1))</f>
        <v>74.96601334162861</v>
      </c>
      <c r="T20" s="59">
        <f t="shared" si="34"/>
        <v>372.48258675228851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14.55909090909091</v>
      </c>
      <c r="N21" s="13">
        <f>IF('Données projet'!$A$36&gt;35,N20+M21-V20,IF(A21&lt;'Données projet'!$A$36,$K$205^A21,IF(A21='Données projet'!$A$36,'Données projet'!$B$36,N20+M21-V20)))</f>
        <v>112.20213779309272</v>
      </c>
      <c r="O21" s="13">
        <f>N21*VLOOKUP('Données projet'!$B$9,Paramètres!$A$1:$I$89,3,0)*VLOOKUP('Données projet'!$B$9,Paramètres!$A$1:$I$89,5,0)</f>
        <v>53.560812496910742</v>
      </c>
      <c r="P21" s="13">
        <f t="shared" si="33"/>
        <v>15.5296408606676</v>
      </c>
      <c r="Q21" s="20">
        <f t="shared" si="2"/>
        <v>120.33253959778227</v>
      </c>
      <c r="R21" s="59">
        <f t="shared" si="0"/>
        <v>332.10189278978538</v>
      </c>
      <c r="S21" s="59">
        <f ca="1">AVERAGE(OFFSET($R$3,0,0,'Données projet'!$E$9+1,1))-AVERAGE(OFFSET($H$3,0,0,'Données projet'!$E$9+1,1))</f>
        <v>74.96601334162861</v>
      </c>
      <c r="T21" s="59">
        <f t="shared" si="34"/>
        <v>372.48258675228851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14.55909090909091</v>
      </c>
      <c r="N22" s="13">
        <f>IF('Données projet'!$A$36&gt;35,N21+M22-V21,IF(A22&lt;'Données projet'!$A$36,$K$205^A22,IF(A22='Données projet'!$A$36,'Données projet'!$B$36,N21+M22-V21)))</f>
        <v>145.84450922731654</v>
      </c>
      <c r="O22" s="13">
        <f>N22*VLOOKUP('Données projet'!$B$9,Paramètres!$A$1:$I$89,3,0)*VLOOKUP('Données projet'!$B$9,Paramètres!$A$1:$I$89,5,0)</f>
        <v>69.620334924751816</v>
      </c>
      <c r="P22" s="13">
        <f t="shared" si="33"/>
        <v>19.579143529701128</v>
      </c>
      <c r="Q22" s="20">
        <f t="shared" si="2"/>
        <v>155.3557583081722</v>
      </c>
      <c r="R22" s="59">
        <f t="shared" si="0"/>
        <v>369.5078525511957</v>
      </c>
      <c r="S22" s="59">
        <f ca="1">AVERAGE(OFFSET($R$3,0,0,'Données projet'!$E$9+1,1))-AVERAGE(OFFSET($H$3,0,0,'Données projet'!$E$9+1,1))</f>
        <v>74.96601334162861</v>
      </c>
      <c r="T22" s="59">
        <f t="shared" si="34"/>
        <v>372.48258675228851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14.55909090909091</v>
      </c>
      <c r="N23" s="13">
        <f>IF('Données projet'!$A$36&gt;35,N22+M23-V22,IF(A23&lt;'Données projet'!$A$36,$K$205^A23,IF(A23='Données projet'!$A$36,'Données projet'!$B$36,N22+M23-V22)))</f>
        <v>189.57411409558952</v>
      </c>
      <c r="O23" s="13">
        <f>N23*VLOOKUP('Données projet'!$B$9,Paramètres!$A$1:$I$89,3,0)*VLOOKUP('Données projet'!$B$9,Paramètres!$A$1:$I$89,5,0)</f>
        <v>90.495099104670615</v>
      </c>
      <c r="P23" s="13">
        <f t="shared" si="33"/>
        <v>24.684592824521896</v>
      </c>
      <c r="Q23" s="20">
        <f t="shared" si="2"/>
        <v>200.60463011001028</v>
      </c>
      <c r="R23" s="59">
        <f t="shared" si="0"/>
        <v>417.119332996906</v>
      </c>
      <c r="S23" s="59">
        <f ca="1">AVERAGE(OFFSET($R$3,0,0,'Données projet'!$E$9+1,1))-AVERAGE(OFFSET($H$3,0,0,'Données projet'!$E$9+1,1))</f>
        <v>74.96601334162861</v>
      </c>
      <c r="T23" s="59">
        <f t="shared" si="34"/>
        <v>372.48258675228851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14.55909090909091</v>
      </c>
      <c r="N24" s="13">
        <f>IF('Données projet'!$A$36&gt;35,N23+M24-V23,IF(A24&lt;'Données projet'!$A$36,$K$205^A24,IF(A24='Données projet'!$A$36,'Données projet'!$B$36,N23+M24-V23)))</f>
        <v>246.41547992124464</v>
      </c>
      <c r="O24" s="13">
        <f>N24*VLOOKUP('Données projet'!$B$9,Paramètres!$A$1:$I$89,3,0)*VLOOKUP('Données projet'!$B$9,Paramètres!$A$1:$I$89,5,0)</f>
        <v>117.62889349520533</v>
      </c>
      <c r="P24" s="13">
        <f t="shared" si="33"/>
        <v>31.121336946536982</v>
      </c>
      <c r="Q24" s="20">
        <f t="shared" si="2"/>
        <v>259.07331801936783</v>
      </c>
      <c r="R24" s="59">
        <f t="shared" si="0"/>
        <v>477.93084639524221</v>
      </c>
      <c r="S24" s="59">
        <f ca="1">AVERAGE(OFFSET($R$3,0,0,'Données projet'!$E$9+1,1))-AVERAGE(OFFSET($H$3,0,0,'Données projet'!$E$9+1,1))</f>
        <v>74.96601334162861</v>
      </c>
      <c r="T24" s="59">
        <f t="shared" si="34"/>
        <v>372.48258675228851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320.3</v>
      </c>
      <c r="L25" s="12">
        <f>VLOOKUP(A25,'Données projet'!$A$35:$I$55,9,0)</f>
        <v>14.55909090909091</v>
      </c>
      <c r="M25" s="12">
        <f t="array" ref="M25">INDEX(L:L,MIN(IF(ISNUMBER(L25:L221),ROW(L25:L221),"")))</f>
        <v>14.55909090909091</v>
      </c>
      <c r="N25" s="13">
        <f>IF('Données projet'!$A$36&gt;35,N24+M25-V24,IF(A25&lt;'Données projet'!$A$36,$K$205^A25,IF(A25='Données projet'!$A$36,'Données projet'!$B$36,N24+M25-V24)))</f>
        <v>320.3</v>
      </c>
      <c r="O25" s="13">
        <f>N25*VLOOKUP('Données projet'!$B$9,Paramètres!$A$1:$I$89,3,0)*VLOOKUP('Données projet'!$B$9,Paramètres!$A$1:$I$89,5,0)</f>
        <v>152.89840800000002</v>
      </c>
      <c r="P25" s="13">
        <f t="shared" si="33"/>
        <v>39.236523779226879</v>
      </c>
      <c r="Q25" s="20">
        <f t="shared" si="2"/>
        <v>334.63500618215346</v>
      </c>
      <c r="R25" s="59">
        <f t="shared" si="0"/>
        <v>555.81592008562188</v>
      </c>
      <c r="S25" s="59">
        <f ca="1">AVERAGE(OFFSET($R$3,0,0,'Données projet'!$E$9+1,1))-AVERAGE(OFFSET($H$3,0,0,'Données projet'!$E$9+1,1))</f>
        <v>74.96601334162861</v>
      </c>
      <c r="T25" s="59">
        <f t="shared" si="34"/>
        <v>372.48258675228851</v>
      </c>
      <c r="U25" s="15" t="str">
        <f>IF(ISNA(VLOOKUP(A25,'Données projet'!$A$35:$I$55,3,0)),0,VLOOKUP(A25,'Données projet'!$A$35:$I$55,3,0))</f>
        <v>CR</v>
      </c>
      <c r="V25" s="15">
        <f>IF(ISNA(VLOOKUP(A25,'Données projet'!$A$35:$I$55,4,0)),0,VLOOKUP(A25,'Données projet'!$A$35:$I$55,4,0))</f>
        <v>320.3</v>
      </c>
      <c r="W25" s="16">
        <f>IF(ISNA(VLOOKUP(A25,'Données projet'!$A$35:$I$55,5,0)),0%,VLOOKUP(A25,'Données projet'!$A$35:$I$55,5,0)*VLOOKUP('Données projet'!$B$9,Paramètres!$A$1:$I$89,7,0))</f>
        <v>0.46199999999999997</v>
      </c>
      <c r="X25" s="16">
        <f>IF(ISNA(VLOOKUP(A25,'Données projet'!$A$35:$I$55,6,0)),0%,VLOOKUP(A25,'Données projet'!$A$35:$I$55,6,0)*VLOOKUP('Données projet'!$B$9,Paramètres!$A$1:$I$89,7,0))</f>
        <v>6.6000000000000003E-2</v>
      </c>
      <c r="Y25" s="16">
        <f>IF(ISNA(VLOOKUP(A25,'Données projet'!$A$35:$I$55,7,0)),0%,VLOOKUP(A25,'Données projet'!$A$35:$I$55,7,0))</f>
        <v>0.1</v>
      </c>
      <c r="Z25" s="21">
        <f>EXP(-LN(2)/35)*Z24+(1-EXP(-LN(2)/35))/(LN(2)/35)*V25*W25*VLOOKUP('Données projet'!$B$9,Paramètres!$A$1:$I$89,3,0)*0.475*44/12</f>
        <v>78.089393438245665</v>
      </c>
      <c r="AA25" s="21">
        <f>EXP(-LN(2)/25)*AA24+(1-EXP(-LN(2)/25))/(LN(2)/25)*Calculateur!V25*Calculateur!X25*VLOOKUP('Données projet'!$B$9,Paramètres!$A$1:$I$89,3,0)*0.475*44/12</f>
        <v>11.111703677412528</v>
      </c>
      <c r="AB25" s="21">
        <f>EXP(-LN(2)/2)*AB24+(1-EXP(-LN(2)/2))/(LN(2)/2)*V25*Y25*VLOOKUP('Données projet'!$B$9,Paramètres!$A$1:$I$89,3,0)*0.475*44/12</f>
        <v>14.426376314831581</v>
      </c>
      <c r="AC25" s="22">
        <f t="shared" si="3"/>
        <v>103.62747343048979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74.96601334162861</v>
      </c>
      <c r="T26" s="59">
        <f t="shared" si="34"/>
        <v>372.48258675228851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76.558108062748616</v>
      </c>
      <c r="AA26" s="21">
        <f>EXP(-LN(2)/25)*AA25+(1-EXP(-LN(2)/25))/(LN(2)/25)*Calculateur!V26*Calculateur!X26*VLOOKUP('Données projet'!$B$9,Paramètres!$A$1:$I$89,3,0)*0.475*44/12</f>
        <v>10.807853556014582</v>
      </c>
      <c r="AB26" s="21">
        <f>EXP(-LN(2)/2)*AB25+(1-EXP(-LN(2)/2))/(LN(2)/2)*V26*Y26*VLOOKUP('Données projet'!$B$9,Paramètres!$A$1:$I$89,3,0)*0.475*44/12</f>
        <v>10.200988520166407</v>
      </c>
      <c r="AC26" s="22">
        <f t="shared" si="3"/>
        <v>97.566950138929599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74.96601334162861</v>
      </c>
      <c r="T27" s="59">
        <f t="shared" si="34"/>
        <v>372.48258675228851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75.056850259473208</v>
      </c>
      <c r="AA27" s="21">
        <f>EXP(-LN(2)/25)*AA26+(1-EXP(-LN(2)/25))/(LN(2)/25)*Calculateur!V27*Calculateur!X27*VLOOKUP('Données projet'!$B$9,Paramètres!$A$1:$I$89,3,0)*0.475*44/12</f>
        <v>10.512312232165046</v>
      </c>
      <c r="AB27" s="21">
        <f>EXP(-LN(2)/2)*AB26+(1-EXP(-LN(2)/2))/(LN(2)/2)*V27*Y27*VLOOKUP('Données projet'!$B$9,Paramètres!$A$1:$I$89,3,0)*0.475*44/12</f>
        <v>7.2131881574157912</v>
      </c>
      <c r="AC27" s="22">
        <f t="shared" si="3"/>
        <v>92.782350649054038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74.96601334162861</v>
      </c>
      <c r="T28" s="59">
        <f t="shared" si="34"/>
        <v>372.48258675228851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73.585031206043183</v>
      </c>
      <c r="AA28" s="21">
        <f>EXP(-LN(2)/25)*AA27+(1-EXP(-LN(2)/25))/(LN(2)/25)*Calculateur!V28*Calculateur!X28*VLOOKUP('Données projet'!$B$9,Paramètres!$A$1:$I$89,3,0)*0.475*44/12</f>
        <v>10.224852501358018</v>
      </c>
      <c r="AB28" s="21">
        <f>EXP(-LN(2)/2)*AB27+(1-EXP(-LN(2)/2))/(LN(2)/2)*V28*Y28*VLOOKUP('Données projet'!$B$9,Paramètres!$A$1:$I$89,3,0)*0.475*44/12</f>
        <v>5.1004942600832042</v>
      </c>
      <c r="AC28" s="22">
        <f t="shared" si="3"/>
        <v>88.910377967484408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74.96601334162861</v>
      </c>
      <c r="T29" s="59">
        <f t="shared" si="34"/>
        <v>372.48258675228851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72.142073626529935</v>
      </c>
      <c r="AA29" s="21">
        <f>EXP(-LN(2)/25)*AA28+(1-EXP(-LN(2)/25))/(LN(2)/25)*Calculateur!V29*Calculateur!X29*VLOOKUP('Données projet'!$B$9,Paramètres!$A$1:$I$89,3,0)*0.475*44/12</f>
        <v>9.9452533720067589</v>
      </c>
      <c r="AB29" s="21">
        <f>EXP(-LN(2)/2)*AB28+(1-EXP(-LN(2)/2))/(LN(2)/2)*V29*Y29*VLOOKUP('Données projet'!$B$9,Paramètres!$A$1:$I$89,3,0)*0.475*44/12</f>
        <v>3.6065940787078961</v>
      </c>
      <c r="AC29" s="22">
        <f t="shared" si="3"/>
        <v>85.693921077244596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74.96601334162861</v>
      </c>
      <c r="T30" s="59">
        <f t="shared" si="34"/>
        <v>372.48258675228851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70.727411565033734</v>
      </c>
      <c r="AA30" s="21">
        <f>EXP(-LN(2)/25)*AA29+(1-EXP(-LN(2)/25))/(LN(2)/25)*Calculateur!V30*Calculateur!X30*VLOOKUP('Données projet'!$B$9,Paramètres!$A$1:$I$89,3,0)*0.475*44/12</f>
        <v>9.6732998955510894</v>
      </c>
      <c r="AB30" s="21">
        <f>EXP(-LN(2)/2)*AB29+(1-EXP(-LN(2)/2))/(LN(2)/2)*V30*Y30*VLOOKUP('Données projet'!$B$9,Paramètres!$A$1:$I$89,3,0)*0.475*44/12</f>
        <v>2.5502471300416025</v>
      </c>
      <c r="AC30" s="22">
        <f t="shared" si="3"/>
        <v>82.950958590626428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74.96601334162861</v>
      </c>
      <c r="T31" s="59">
        <f t="shared" si="34"/>
        <v>372.48258675228851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69.340490163704814</v>
      </c>
      <c r="AA31" s="21">
        <f>EXP(-LN(2)/25)*AA30+(1-EXP(-LN(2)/25))/(LN(2)/25)*Calculateur!V31*Calculateur!X31*VLOOKUP('Données projet'!$B$9,Paramètres!$A$1:$I$89,3,0)*0.475*44/12</f>
        <v>9.4087830012105123</v>
      </c>
      <c r="AB31" s="21">
        <f>EXP(-LN(2)/2)*AB30+(1-EXP(-LN(2)/2))/(LN(2)/2)*V31*Y31*VLOOKUP('Données projet'!$B$9,Paramètres!$A$1:$I$89,3,0)*0.475*44/12</f>
        <v>1.8032970393539485</v>
      </c>
      <c r="AC31" s="22">
        <f t="shared" si="3"/>
        <v>80.552570204269273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74.96601334162861</v>
      </c>
      <c r="T32" s="59">
        <f t="shared" si="34"/>
        <v>372.48258675228851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67.980765445117427</v>
      </c>
      <c r="AA32" s="21">
        <f>EXP(-LN(2)/25)*AA31+(1-EXP(-LN(2)/25))/(LN(2)/25)*Calculateur!V32*Calculateur!X32*VLOOKUP('Données projet'!$B$9,Paramètres!$A$1:$I$89,3,0)*0.475*44/12</f>
        <v>9.1514993352560161</v>
      </c>
      <c r="AB32" s="21">
        <f>EXP(-LN(2)/2)*AB31+(1-EXP(-LN(2)/2))/(LN(2)/2)*V32*Y32*VLOOKUP('Données projet'!$B$9,Paramètres!$A$1:$I$89,3,0)*0.475*44/12</f>
        <v>1.2751235650208015</v>
      </c>
      <c r="AC32" s="22">
        <f t="shared" si="3"/>
        <v>78.407388345394253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74.96601334162861</v>
      </c>
      <c r="T33" s="59">
        <f t="shared" si="34"/>
        <v>372.48258675228851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66.647704098911348</v>
      </c>
      <c r="AA33" s="21">
        <f>EXP(-LN(2)/25)*AA32+(1-EXP(-LN(2)/25))/(LN(2)/25)*Calculateur!V33*Calculateur!X33*VLOOKUP('Données projet'!$B$9,Paramètres!$A$1:$I$89,3,0)*0.475*44/12</f>
        <v>8.9012511046770069</v>
      </c>
      <c r="AB33" s="21">
        <f>EXP(-LN(2)/2)*AB32+(1-EXP(-LN(2)/2))/(LN(2)/2)*V33*Y33*VLOOKUP('Données projet'!$B$9,Paramètres!$A$1:$I$89,3,0)*0.475*44/12</f>
        <v>0.90164851967697435</v>
      </c>
      <c r="AC33" s="22">
        <f t="shared" si="3"/>
        <v>76.450603723265317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74.96601334162861</v>
      </c>
      <c r="T34" s="59">
        <f t="shared" si="34"/>
        <v>372.48258675228851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65.34078327261723</v>
      </c>
      <c r="AA34" s="21">
        <f>EXP(-LN(2)/25)*AA33+(1-EXP(-LN(2)/25))/(LN(2)/25)*Calculateur!V34*Calculateur!X34*VLOOKUP('Données projet'!$B$9,Paramètres!$A$1:$I$89,3,0)*0.475*44/12</f>
        <v>8.6578459251231621</v>
      </c>
      <c r="AB34" s="21">
        <f>EXP(-LN(2)/2)*AB33+(1-EXP(-LN(2)/2))/(LN(2)/2)*V34*Y34*VLOOKUP('Données projet'!$B$9,Paramètres!$A$1:$I$89,3,0)*0.475*44/12</f>
        <v>0.63756178251040085</v>
      </c>
      <c r="AC34" s="22">
        <f t="shared" si="3"/>
        <v>74.636190980250802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74.96601334162861</v>
      </c>
      <c r="T35" s="59">
        <f t="shared" si="34"/>
        <v>372.48258675228851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64.059490366583759</v>
      </c>
      <c r="AA35" s="21">
        <f>EXP(-LN(2)/25)*AA34+(1-EXP(-LN(2)/25))/(LN(2)/25)*Calculateur!V35*Calculateur!X35*VLOOKUP('Données projet'!$B$9,Paramètres!$A$1:$I$89,3,0)*0.475*44/12</f>
        <v>8.4210966730043406</v>
      </c>
      <c r="AB35" s="21">
        <f>EXP(-LN(2)/2)*AB34+(1-EXP(-LN(2)/2))/(LN(2)/2)*V35*Y35*VLOOKUP('Données projet'!$B$9,Paramètres!$A$1:$I$89,3,0)*0.475*44/12</f>
        <v>0.45082425983848723</v>
      </c>
      <c r="AC35" s="22">
        <f t="shared" si="3"/>
        <v>72.931411299426586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74.96601334162861</v>
      </c>
      <c r="T36" s="59">
        <f t="shared" si="34"/>
        <v>372.48258675228851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62.803322832926092</v>
      </c>
      <c r="AA36" s="21">
        <f>EXP(-LN(2)/25)*AA35+(1-EXP(-LN(2)/25))/(LN(2)/25)*Calculateur!V36*Calculateur!X36*VLOOKUP('Données projet'!$B$9,Paramètres!$A$1:$I$89,3,0)*0.475*44/12</f>
        <v>8.190821341634809</v>
      </c>
      <c r="AB36" s="21">
        <f>EXP(-LN(2)/2)*AB35+(1-EXP(-LN(2)/2))/(LN(2)/2)*V36*Y36*VLOOKUP('Données projet'!$B$9,Paramètres!$A$1:$I$89,3,0)*0.475*44/12</f>
        <v>0.31878089125520048</v>
      </c>
      <c r="AC36" s="22">
        <f t="shared" si="3"/>
        <v>71.312925065816103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74.96601334162861</v>
      </c>
      <c r="T37" s="59">
        <f t="shared" si="34"/>
        <v>372.48258675228851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61.571787978416914</v>
      </c>
      <c r="AA37" s="21">
        <f>EXP(-LN(2)/25)*AA36+(1-EXP(-LN(2)/25))/(LN(2)/25)*Calculateur!V37*Calculateur!X37*VLOOKUP('Données projet'!$B$9,Paramètres!$A$1:$I$89,3,0)*0.475*44/12</f>
        <v>7.9668429013112307</v>
      </c>
      <c r="AB37" s="21">
        <f>EXP(-LN(2)/2)*AB36+(1-EXP(-LN(2)/2))/(LN(2)/2)*V37*Y37*VLOOKUP('Données projet'!$B$9,Paramètres!$A$1:$I$89,3,0)*0.475*44/12</f>
        <v>0.22541212991924367</v>
      </c>
      <c r="AC37" s="22">
        <f t="shared" si="3"/>
        <v>69.764043009647395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74.96601334162861</v>
      </c>
      <c r="T38" s="59">
        <f t="shared" si="34"/>
        <v>372.48258675228851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60.364402771242567</v>
      </c>
      <c r="AA38" s="21">
        <f>EXP(-LN(2)/25)*AA37+(1-EXP(-LN(2)/25))/(LN(2)/25)*Calculateur!V38*Calculateur!X38*VLOOKUP('Données projet'!$B$9,Paramètres!$A$1:$I$89,3,0)*0.475*44/12</f>
        <v>7.7489891632168151</v>
      </c>
      <c r="AB38" s="21">
        <f>EXP(-LN(2)/2)*AB37+(1-EXP(-LN(2)/2))/(LN(2)/2)*V38*Y38*VLOOKUP('Données projet'!$B$9,Paramètres!$A$1:$I$89,3,0)*0.475*44/12</f>
        <v>0.15939044562760027</v>
      </c>
      <c r="AC38" s="22">
        <f t="shared" si="3"/>
        <v>68.27278238008698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74.96601334162861</v>
      </c>
      <c r="T39" s="59">
        <f t="shared" si="34"/>
        <v>372.48258675228851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59.180693651548651</v>
      </c>
      <c r="AA39" s="21">
        <f>EXP(-LN(2)/25)*AA38+(1-EXP(-LN(2)/25))/(LN(2)/25)*Calculateur!V39*Calculateur!X39*VLOOKUP('Données projet'!$B$9,Paramètres!$A$1:$I$89,3,0)*0.475*44/12</f>
        <v>7.5370926470470216</v>
      </c>
      <c r="AB39" s="21">
        <f>EXP(-LN(2)/2)*AB38+(1-EXP(-LN(2)/2))/(LN(2)/2)*V39*Y39*VLOOKUP('Données projet'!$B$9,Paramètres!$A$1:$I$89,3,0)*0.475*44/12</f>
        <v>0.11270606495962185</v>
      </c>
      <c r="AC39" s="22">
        <f t="shared" si="3"/>
        <v>66.830492363555294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74.96601334162861</v>
      </c>
      <c r="T40" s="59">
        <f t="shared" si="34"/>
        <v>372.48258675228851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58.020196345700661</v>
      </c>
      <c r="AA40" s="21">
        <f>EXP(-LN(2)/25)*AA39+(1-EXP(-LN(2)/25))/(LN(2)/25)*Calculateur!V40*Calculateur!X40*VLOOKUP('Données projet'!$B$9,Paramètres!$A$1:$I$89,3,0)*0.475*44/12</f>
        <v>7.3309904522550449</v>
      </c>
      <c r="AB40" s="21">
        <f>EXP(-LN(2)/2)*AB39+(1-EXP(-LN(2)/2))/(LN(2)/2)*V40*Y40*VLOOKUP('Données projet'!$B$9,Paramètres!$A$1:$I$89,3,0)*0.475*44/12</f>
        <v>7.9695222813800148E-2</v>
      </c>
      <c r="AC40" s="22">
        <f t="shared" si="3"/>
        <v>65.430882020769502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74.96601334162861</v>
      </c>
      <c r="T41" s="59">
        <f t="shared" si="34"/>
        <v>372.48258675228851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56.882455684186887</v>
      </c>
      <c r="AA41" s="21">
        <f>EXP(-LN(2)/25)*AA40+(1-EXP(-LN(2)/25))/(LN(2)/25)*Calculateur!V41*Calculateur!X41*VLOOKUP('Données projet'!$B$9,Paramètres!$A$1:$I$89,3,0)*0.475*44/12</f>
        <v>7.1305241328180982</v>
      </c>
      <c r="AB41" s="21">
        <f>EXP(-LN(2)/2)*AB40+(1-EXP(-LN(2)/2))/(LN(2)/2)*V41*Y41*VLOOKUP('Données projet'!$B$9,Paramètres!$A$1:$I$89,3,0)*0.475*44/12</f>
        <v>5.6353032479810938E-2</v>
      </c>
      <c r="AC41" s="22">
        <f t="shared" si="3"/>
        <v>64.069332849484795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74.96601334162861</v>
      </c>
      <c r="T42" s="59">
        <f t="shared" si="34"/>
        <v>372.48258675228851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55.767025423092115</v>
      </c>
      <c r="AA42" s="21">
        <f>EXP(-LN(2)/25)*AA41+(1-EXP(-LN(2)/25))/(LN(2)/25)*Calculateur!V42*Calculateur!X42*VLOOKUP('Données projet'!$B$9,Paramètres!$A$1:$I$89,3,0)*0.475*44/12</f>
        <v>6.9355395754282201</v>
      </c>
      <c r="AB42" s="21">
        <f>EXP(-LN(2)/2)*AB41+(1-EXP(-LN(2)/2))/(LN(2)/2)*V42*Y42*VLOOKUP('Données projet'!$B$9,Paramètres!$A$1:$I$89,3,0)*0.475*44/12</f>
        <v>3.9847611406900081E-2</v>
      </c>
      <c r="AC42" s="22">
        <f t="shared" si="3"/>
        <v>62.742412609927236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74.96601334162861</v>
      </c>
      <c r="T43" s="59">
        <f t="shared" si="34"/>
        <v>372.48258675228851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54.673468069072129</v>
      </c>
      <c r="AA43" s="21">
        <f>EXP(-LN(2)/25)*AA42+(1-EXP(-LN(2)/25))/(LN(2)/25)*Calculateur!V43*Calculateur!X43*VLOOKUP('Données projet'!$B$9,Paramètres!$A$1:$I$89,3,0)*0.475*44/12</f>
        <v>6.7458868810139609</v>
      </c>
      <c r="AB43" s="21">
        <f>EXP(-LN(2)/2)*AB42+(1-EXP(-LN(2)/2))/(LN(2)/2)*V43*Y43*VLOOKUP('Données projet'!$B$9,Paramètres!$A$1:$I$89,3,0)*0.475*44/12</f>
        <v>2.8176516239905473E-2</v>
      </c>
      <c r="AC43" s="22">
        <f t="shared" si="3"/>
        <v>61.447531466325991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74.96601334162861</v>
      </c>
      <c r="T44" s="59">
        <f t="shared" si="34"/>
        <v>372.48258675228851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53.60135470776035</v>
      </c>
      <c r="AA44" s="21">
        <f>EXP(-LN(2)/25)*AA43+(1-EXP(-LN(2)/25))/(LN(2)/25)*Calculateur!V44*Calculateur!X44*VLOOKUP('Données projet'!$B$9,Paramètres!$A$1:$I$89,3,0)*0.475*44/12</f>
        <v>6.561420249501861</v>
      </c>
      <c r="AB44" s="21">
        <f>EXP(-LN(2)/2)*AB43+(1-EXP(-LN(2)/2))/(LN(2)/2)*V44*Y44*VLOOKUP('Données projet'!$B$9,Paramètres!$A$1:$I$89,3,0)*0.475*44/12</f>
        <v>1.9923805703450044E-2</v>
      </c>
      <c r="AC44" s="22">
        <f t="shared" si="3"/>
        <v>60.182698762965664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74.96601334162861</v>
      </c>
      <c r="T45" s="59">
        <f t="shared" si="34"/>
        <v>372.48258675228851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52.550264835539316</v>
      </c>
      <c r="AA45" s="21">
        <f>EXP(-LN(2)/25)*AA44+(1-EXP(-LN(2)/25))/(LN(2)/25)*Calculateur!V45*Calculateur!X45*VLOOKUP('Données projet'!$B$9,Paramètres!$A$1:$I$89,3,0)*0.475*44/12</f>
        <v>6.3819978677291376</v>
      </c>
      <c r="AB45" s="21">
        <f>EXP(-LN(2)/2)*AB44+(1-EXP(-LN(2)/2))/(LN(2)/2)*V45*Y45*VLOOKUP('Données projet'!$B$9,Paramètres!$A$1:$I$89,3,0)*0.475*44/12</f>
        <v>1.4088258119952738E-2</v>
      </c>
      <c r="AC45" s="22">
        <f t="shared" si="3"/>
        <v>58.946350961388411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74.96601334162861</v>
      </c>
      <c r="T46" s="59">
        <f t="shared" si="34"/>
        <v>372.48258675228851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51.519786194611022</v>
      </c>
      <c r="AA46" s="21">
        <f>EXP(-LN(2)/25)*AA45+(1-EXP(-LN(2)/25))/(LN(2)/25)*Calculateur!V46*Calculateur!X46*VLOOKUP('Données projet'!$B$9,Paramètres!$A$1:$I$89,3,0)*0.475*44/12</f>
        <v>6.2074818004214025</v>
      </c>
      <c r="AB46" s="21">
        <f>EXP(-LN(2)/2)*AB45+(1-EXP(-LN(2)/2))/(LN(2)/2)*V46*Y46*VLOOKUP('Données projet'!$B$9,Paramètres!$A$1:$I$89,3,0)*0.475*44/12</f>
        <v>9.961902851725022E-3</v>
      </c>
      <c r="AC46" s="22">
        <f t="shared" si="3"/>
        <v>57.737229897884156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74.96601334162861</v>
      </c>
      <c r="T47" s="59">
        <f t="shared" si="34"/>
        <v>372.48258675228851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50.50951461130142</v>
      </c>
      <c r="AA47" s="21">
        <f>EXP(-LN(2)/25)*AA46+(1-EXP(-LN(2)/25))/(LN(2)/25)*Calculateur!V47*Calculateur!X47*VLOOKUP('Données projet'!$B$9,Paramètres!$A$1:$I$89,3,0)*0.475*44/12</f>
        <v>6.037737884151599</v>
      </c>
      <c r="AB47" s="21">
        <f>EXP(-LN(2)/2)*AB46+(1-EXP(-LN(2)/2))/(LN(2)/2)*V47*Y47*VLOOKUP('Données projet'!$B$9,Paramètres!$A$1:$I$89,3,0)*0.475*44/12</f>
        <v>7.044129059976369E-3</v>
      </c>
      <c r="AC47" s="22">
        <f t="shared" si="3"/>
        <v>56.554296624512993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74.96601334162861</v>
      </c>
      <c r="T48" s="59">
        <f t="shared" si="34"/>
        <v>372.48258675228851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49.519053837535701</v>
      </c>
      <c r="AA48" s="21">
        <f>EXP(-LN(2)/25)*AA47+(1-EXP(-LN(2)/25))/(LN(2)/25)*Calculateur!V48*Calculateur!X48*VLOOKUP('Données projet'!$B$9,Paramètres!$A$1:$I$89,3,0)*0.475*44/12</f>
        <v>5.8726356241986375</v>
      </c>
      <c r="AB48" s="21">
        <f>EXP(-LN(2)/2)*AB47+(1-EXP(-LN(2)/2))/(LN(2)/2)*V48*Y48*VLOOKUP('Données projet'!$B$9,Paramètres!$A$1:$I$89,3,0)*0.475*44/12</f>
        <v>4.980951425862511E-3</v>
      </c>
      <c r="AC48" s="22">
        <f t="shared" si="3"/>
        <v>55.396670413160201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74.96601334162861</v>
      </c>
      <c r="T49" s="59">
        <f t="shared" si="34"/>
        <v>372.48258675228851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48.548015395422105</v>
      </c>
      <c r="AA49" s="21">
        <f>EXP(-LN(2)/25)*AA48+(1-EXP(-LN(2)/25))/(LN(2)/25)*Calculateur!V49*Calculateur!X49*VLOOKUP('Données projet'!$B$9,Paramètres!$A$1:$I$89,3,0)*0.475*44/12</f>
        <v>5.7120480942264402</v>
      </c>
      <c r="AB49" s="21">
        <f>EXP(-LN(2)/2)*AB48+(1-EXP(-LN(2)/2))/(LN(2)/2)*V49*Y49*VLOOKUP('Données projet'!$B$9,Paramètres!$A$1:$I$89,3,0)*0.475*44/12</f>
        <v>3.5220645299881845E-3</v>
      </c>
      <c r="AC49" s="22">
        <f t="shared" si="3"/>
        <v>54.263585554178533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74.96601334162861</v>
      </c>
      <c r="T50" s="59">
        <f t="shared" si="34"/>
        <v>372.48258675228851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47.59601842488339</v>
      </c>
      <c r="AA50" s="21">
        <f>EXP(-LN(2)/25)*AA49+(1-EXP(-LN(2)/25))/(LN(2)/25)*Calculateur!V50*Calculateur!X50*VLOOKUP('Données projet'!$B$9,Paramètres!$A$1:$I$89,3,0)*0.475*44/12</f>
        <v>5.5558518387062641</v>
      </c>
      <c r="AB50" s="21">
        <f>EXP(-LN(2)/2)*AB49+(1-EXP(-LN(2)/2))/(LN(2)/2)*V50*Y50*VLOOKUP('Données projet'!$B$9,Paramètres!$A$1:$I$89,3,0)*0.475*44/12</f>
        <v>2.4904757129312555E-3</v>
      </c>
      <c r="AC50" s="22">
        <f t="shared" si="3"/>
        <v>53.154360739302589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74.96601334162861</v>
      </c>
      <c r="T51" s="59">
        <f t="shared" si="34"/>
        <v>372.48258675228851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46.662689534276119</v>
      </c>
      <c r="AA51" s="21">
        <f>EXP(-LN(2)/25)*AA50+(1-EXP(-LN(2)/25))/(LN(2)/25)*Calculateur!V51*Calculateur!X51*VLOOKUP('Données projet'!$B$9,Paramètres!$A$1:$I$89,3,0)*0.475*44/12</f>
        <v>5.4039267780072908</v>
      </c>
      <c r="AB51" s="21">
        <f>EXP(-LN(2)/2)*AB50+(1-EXP(-LN(2)/2))/(LN(2)/2)*V51*Y51*VLOOKUP('Données projet'!$B$9,Paramètres!$A$1:$I$89,3,0)*0.475*44/12</f>
        <v>1.7610322649940923E-3</v>
      </c>
      <c r="AC51" s="22">
        <f t="shared" si="3"/>
        <v>52.068377344548402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74.96601334162861</v>
      </c>
      <c r="T52" s="59">
        <f t="shared" si="34"/>
        <v>372.48258675228851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45.747662653939244</v>
      </c>
      <c r="AA52" s="21">
        <f>EXP(-LN(2)/25)*AA51+(1-EXP(-LN(2)/25))/(LN(2)/25)*Calculateur!V52*Calculateur!X52*VLOOKUP('Données projet'!$B$9,Paramètres!$A$1:$I$89,3,0)*0.475*44/12</f>
        <v>5.256156116082523</v>
      </c>
      <c r="AB52" s="21">
        <f>EXP(-LN(2)/2)*AB51+(1-EXP(-LN(2)/2))/(LN(2)/2)*V52*Y52*VLOOKUP('Données projet'!$B$9,Paramètres!$A$1:$I$89,3,0)*0.475*44/12</f>
        <v>1.2452378564656278E-3</v>
      </c>
      <c r="AC52" s="22">
        <f t="shared" si="3"/>
        <v>51.005064007878232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74.96601334162861</v>
      </c>
      <c r="T53" s="59">
        <f t="shared" si="34"/>
        <v>372.48258675228851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44.850578892614493</v>
      </c>
      <c r="AA53" s="21">
        <f>EXP(-LN(2)/25)*AA52+(1-EXP(-LN(2)/25))/(LN(2)/25)*Calculateur!V53*Calculateur!X53*VLOOKUP('Données projet'!$B$9,Paramètres!$A$1:$I$89,3,0)*0.475*44/12</f>
        <v>5.1124262506790092</v>
      </c>
      <c r="AB53" s="21">
        <f>EXP(-LN(2)/2)*AB52+(1-EXP(-LN(2)/2))/(LN(2)/2)*V53*Y53*VLOOKUP('Données projet'!$B$9,Paramètres!$A$1:$I$89,3,0)*0.475*44/12</f>
        <v>8.8051613249704613E-4</v>
      </c>
      <c r="AC53" s="22">
        <f t="shared" si="3"/>
        <v>49.963885659425998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74.96601334162861</v>
      </c>
      <c r="T54" s="59">
        <f t="shared" si="34"/>
        <v>372.48258675228851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43.971086396682253</v>
      </c>
      <c r="AA54" s="21">
        <f>EXP(-LN(2)/25)*AA53+(1-EXP(-LN(2)/25))/(LN(2)/25)*Calculateur!V54*Calculateur!X54*VLOOKUP('Données projet'!$B$9,Paramètres!$A$1:$I$89,3,0)*0.475*44/12</f>
        <v>4.9726266860033794</v>
      </c>
      <c r="AB54" s="21">
        <f>EXP(-LN(2)/2)*AB53+(1-EXP(-LN(2)/2))/(LN(2)/2)*V54*Y54*VLOOKUP('Données projet'!$B$9,Paramètres!$A$1:$I$89,3,0)*0.475*44/12</f>
        <v>6.2261892823281388E-4</v>
      </c>
      <c r="AC54" s="22">
        <f t="shared" si="3"/>
        <v>48.944335701613866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74.96601334162861</v>
      </c>
      <c r="T55" s="59">
        <f t="shared" si="34"/>
        <v>372.48258675228851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43.108840212157787</v>
      </c>
      <c r="AA55" s="21">
        <f>EXP(-LN(2)/25)*AA54+(1-EXP(-LN(2)/25))/(LN(2)/25)*Calculateur!V55*Calculateur!X55*VLOOKUP('Données projet'!$B$9,Paramètres!$A$1:$I$89,3,0)*0.475*44/12</f>
        <v>4.8366499477755447</v>
      </c>
      <c r="AB55" s="21">
        <f>EXP(-LN(2)/2)*AB54+(1-EXP(-LN(2)/2))/(LN(2)/2)*V55*Y55*VLOOKUP('Données projet'!$B$9,Paramètres!$A$1:$I$89,3,0)*0.475*44/12</f>
        <v>4.4025806624852306E-4</v>
      </c>
      <c r="AC55" s="22">
        <f t="shared" si="3"/>
        <v>47.945930417999577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74.96601334162861</v>
      </c>
      <c r="T56" s="59">
        <f t="shared" si="34"/>
        <v>372.48258675228851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42.263502149393602</v>
      </c>
      <c r="AA56" s="21">
        <f>EXP(-LN(2)/25)*AA55+(1-EXP(-LN(2)/25))/(LN(2)/25)*Calculateur!V56*Calculateur!X56*VLOOKUP('Données projet'!$B$9,Paramètres!$A$1:$I$89,3,0)*0.475*44/12</f>
        <v>4.7043915006052561</v>
      </c>
      <c r="AB56" s="21">
        <f>EXP(-LN(2)/2)*AB55+(1-EXP(-LN(2)/2))/(LN(2)/2)*V56*Y56*VLOOKUP('Données projet'!$B$9,Paramètres!$A$1:$I$89,3,0)*0.475*44/12</f>
        <v>3.1130946411640694E-4</v>
      </c>
      <c r="AC56" s="22">
        <f t="shared" si="3"/>
        <v>46.968204959462973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74.96601334162861</v>
      </c>
      <c r="T57" s="59">
        <f t="shared" si="34"/>
        <v>372.48258675228851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41.434740650434918</v>
      </c>
      <c r="AA57" s="21">
        <f>EXP(-LN(2)/25)*AA56+(1-EXP(-LN(2)/25))/(LN(2)/25)*Calculateur!V57*Calculateur!X57*VLOOKUP('Données projet'!$B$9,Paramètres!$A$1:$I$89,3,0)*0.475*44/12</f>
        <v>4.5757496676280081</v>
      </c>
      <c r="AB57" s="21">
        <f>EXP(-LN(2)/2)*AB56+(1-EXP(-LN(2)/2))/(LN(2)/2)*V57*Y57*VLOOKUP('Données projet'!$B$9,Paramètres!$A$1:$I$89,3,0)*0.475*44/12</f>
        <v>2.2012903312426153E-4</v>
      </c>
      <c r="AC57" s="22">
        <f t="shared" si="3"/>
        <v>46.010710447096052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74.96601334162861</v>
      </c>
      <c r="T58" s="59">
        <f t="shared" si="34"/>
        <v>372.48258675228851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40.622230658976214</v>
      </c>
      <c r="AA58" s="21">
        <f>EXP(-LN(2)/25)*AA57+(1-EXP(-LN(2)/25))/(LN(2)/25)*Calculateur!V58*Calculateur!X58*VLOOKUP('Données projet'!$B$9,Paramètres!$A$1:$I$89,3,0)*0.475*44/12</f>
        <v>4.4506255523385034</v>
      </c>
      <c r="AB58" s="21">
        <f>EXP(-LN(2)/2)*AB57+(1-EXP(-LN(2)/2))/(LN(2)/2)*V58*Y58*VLOOKUP('Données projet'!$B$9,Paramètres!$A$1:$I$89,3,0)*0.475*44/12</f>
        <v>1.5565473205820347E-4</v>
      </c>
      <c r="AC58" s="22">
        <f t="shared" si="3"/>
        <v>45.07301186604677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74.96601334162861</v>
      </c>
      <c r="T59" s="59">
        <f t="shared" si="34"/>
        <v>372.48258675228851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39.825653492867858</v>
      </c>
      <c r="AA59" s="21">
        <f>EXP(-LN(2)/25)*AA58+(1-EXP(-LN(2)/25))/(LN(2)/25)*Calculateur!V59*Calculateur!X59*VLOOKUP('Données projet'!$B$9,Paramètres!$A$1:$I$89,3,0)*0.475*44/12</f>
        <v>4.328922962561581</v>
      </c>
      <c r="AB59" s="21">
        <f>EXP(-LN(2)/2)*AB58+(1-EXP(-LN(2)/2))/(LN(2)/2)*V59*Y59*VLOOKUP('Données projet'!$B$9,Paramètres!$A$1:$I$89,3,0)*0.475*44/12</f>
        <v>1.1006451656213077E-4</v>
      </c>
      <c r="AC59" s="22">
        <f t="shared" si="3"/>
        <v>44.154686519945997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74.96601334162861</v>
      </c>
      <c r="T60" s="59">
        <f t="shared" si="34"/>
        <v>372.48258675228851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39.04469671912279</v>
      </c>
      <c r="AA60" s="21">
        <f>EXP(-LN(2)/25)*AA59+(1-EXP(-LN(2)/25))/(LN(2)/25)*Calculateur!V60*Calculateur!X60*VLOOKUP('Données projet'!$B$9,Paramètres!$A$1:$I$89,3,0)*0.475*44/12</f>
        <v>4.2105483365021703</v>
      </c>
      <c r="AB60" s="21">
        <f>EXP(-LN(2)/2)*AB59+(1-EXP(-LN(2)/2))/(LN(2)/2)*V60*Y60*VLOOKUP('Données projet'!$B$9,Paramètres!$A$1:$I$89,3,0)*0.475*44/12</f>
        <v>7.7827366029101735E-5</v>
      </c>
      <c r="AC60" s="22">
        <f t="shared" si="3"/>
        <v>43.255322882990988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74.96601334162861</v>
      </c>
      <c r="T61" s="59">
        <f t="shared" si="34"/>
        <v>372.48258675228851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38.279054031374265</v>
      </c>
      <c r="AA61" s="21">
        <f>EXP(-LN(2)/25)*AA60+(1-EXP(-LN(2)/25))/(LN(2)/25)*Calculateur!V61*Calculateur!X61*VLOOKUP('Données projet'!$B$9,Paramètres!$A$1:$I$89,3,0)*0.475*44/12</f>
        <v>4.0954106708174045</v>
      </c>
      <c r="AB61" s="21">
        <f>EXP(-LN(2)/2)*AB60+(1-EXP(-LN(2)/2))/(LN(2)/2)*V61*Y61*VLOOKUP('Données projet'!$B$9,Paramètres!$A$1:$I$89,3,0)*0.475*44/12</f>
        <v>5.5032258281065383E-5</v>
      </c>
      <c r="AC61" s="22">
        <f t="shared" si="3"/>
        <v>42.374519734449954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74.96601334162861</v>
      </c>
      <c r="T62" s="59">
        <f t="shared" si="34"/>
        <v>372.48258675228851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37.528425129736561</v>
      </c>
      <c r="AA62" s="21">
        <f>EXP(-LN(2)/25)*AA61+(1-EXP(-LN(2)/25))/(LN(2)/25)*Calculateur!V62*Calculateur!X62*VLOOKUP('Données projet'!$B$9,Paramètres!$A$1:$I$89,3,0)*0.475*44/12</f>
        <v>3.9834214506556154</v>
      </c>
      <c r="AB62" s="21">
        <f>EXP(-LN(2)/2)*AB61+(1-EXP(-LN(2)/2))/(LN(2)/2)*V62*Y62*VLOOKUP('Données projet'!$B$9,Paramètres!$A$1:$I$89,3,0)*0.475*44/12</f>
        <v>3.8913683014550867E-5</v>
      </c>
      <c r="AC62" s="22">
        <f t="shared" si="3"/>
        <v>41.511885494075187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74.96601334162861</v>
      </c>
      <c r="T63" s="59">
        <f t="shared" si="34"/>
        <v>372.48258675228851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36.792515603021549</v>
      </c>
      <c r="AA63" s="21">
        <f>EXP(-LN(2)/25)*AA62+(1-EXP(-LN(2)/25))/(LN(2)/25)*Calculateur!V63*Calculateur!X63*VLOOKUP('Données projet'!$B$9,Paramètres!$A$1:$I$89,3,0)*0.475*44/12</f>
        <v>3.8744945816084075</v>
      </c>
      <c r="AB63" s="21">
        <f>EXP(-LN(2)/2)*AB62+(1-EXP(-LN(2)/2))/(LN(2)/2)*V63*Y63*VLOOKUP('Données projet'!$B$9,Paramètres!$A$1:$I$89,3,0)*0.475*44/12</f>
        <v>2.7516129140532692E-5</v>
      </c>
      <c r="AC63" s="22">
        <f t="shared" si="3"/>
        <v>40.667037700759096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74.96601334162861</v>
      </c>
      <c r="T64" s="59">
        <f t="shared" si="34"/>
        <v>372.48258675228851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36.071036813264925</v>
      </c>
      <c r="AA64" s="21">
        <f>EXP(-LN(2)/25)*AA63+(1-EXP(-LN(2)/25))/(LN(2)/25)*Calculateur!V64*Calculateur!X64*VLOOKUP('Données projet'!$B$9,Paramètres!$A$1:$I$89,3,0)*0.475*44/12</f>
        <v>3.7685463235235108</v>
      </c>
      <c r="AB64" s="21">
        <f>EXP(-LN(2)/2)*AB63+(1-EXP(-LN(2)/2))/(LN(2)/2)*V64*Y64*VLOOKUP('Données projet'!$B$9,Paramètres!$A$1:$I$89,3,0)*0.475*44/12</f>
        <v>1.9456841507275434E-5</v>
      </c>
      <c r="AC64" s="22">
        <f t="shared" si="3"/>
        <v>39.839602593629941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74.96601334162861</v>
      </c>
      <c r="T65" s="59">
        <f t="shared" si="34"/>
        <v>372.48258675228851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35.363705782516824</v>
      </c>
      <c r="AA65" s="21">
        <f>EXP(-LN(2)/25)*AA64+(1-EXP(-LN(2)/25))/(LN(2)/25)*Calculateur!V65*Calculateur!X65*VLOOKUP('Données projet'!$B$9,Paramètres!$A$1:$I$89,3,0)*0.475*44/12</f>
        <v>3.6654952261275224</v>
      </c>
      <c r="AB65" s="21">
        <f>EXP(-LN(2)/2)*AB64+(1-EXP(-LN(2)/2))/(LN(2)/2)*V65*Y65*VLOOKUP('Données projet'!$B$9,Paramètres!$A$1:$I$89,3,0)*0.475*44/12</f>
        <v>1.3758064570266346E-5</v>
      </c>
      <c r="AC65" s="22">
        <f t="shared" si="3"/>
        <v>39.029214766708918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74.96601334162861</v>
      </c>
      <c r="T66" s="59">
        <f t="shared" si="34"/>
        <v>372.48258675228851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34.670245081852364</v>
      </c>
      <c r="AA66" s="21">
        <f>EXP(-LN(2)/25)*AA65+(1-EXP(-LN(2)/25))/(LN(2)/25)*Calculateur!V66*Calculateur!X66*VLOOKUP('Données projet'!$B$9,Paramètres!$A$1:$I$89,3,0)*0.475*44/12</f>
        <v>3.5652620664090491</v>
      </c>
      <c r="AB66" s="21">
        <f>EXP(-LN(2)/2)*AB65+(1-EXP(-LN(2)/2))/(LN(2)/2)*V66*Y66*VLOOKUP('Données projet'!$B$9,Paramètres!$A$1:$I$89,3,0)*0.475*44/12</f>
        <v>9.7284207536377168E-6</v>
      </c>
      <c r="AC66" s="22">
        <f t="shared" si="3"/>
        <v>38.235516876682169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74.96601334162861</v>
      </c>
      <c r="T67" s="59">
        <f t="shared" si="34"/>
        <v>372.48258675228851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33.990382722558671</v>
      </c>
      <c r="AA67" s="21">
        <f>EXP(-LN(2)/25)*AA66+(1-EXP(-LN(2)/25))/(LN(2)/25)*Calculateur!V67*Calculateur!X67*VLOOKUP('Données projet'!$B$9,Paramètres!$A$1:$I$89,3,0)*0.475*44/12</f>
        <v>3.46776978771411</v>
      </c>
      <c r="AB67" s="21">
        <f>EXP(-LN(2)/2)*AB66+(1-EXP(-LN(2)/2))/(LN(2)/2)*V67*Y67*VLOOKUP('Données projet'!$B$9,Paramètres!$A$1:$I$89,3,0)*0.475*44/12</f>
        <v>6.8790322851331729E-6</v>
      </c>
      <c r="AC67" s="22">
        <f t="shared" si="3"/>
        <v>37.458159389305067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74.96601334162861</v>
      </c>
      <c r="T68" s="59">
        <f t="shared" si="34"/>
        <v>372.48258675228851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33.323852049455631</v>
      </c>
      <c r="AA68" s="21">
        <f>EXP(-LN(2)/25)*AA67+(1-EXP(-LN(2)/25))/(LN(2)/25)*Calculateur!V68*Calculateur!X68*VLOOKUP('Données projet'!$B$9,Paramètres!$A$1:$I$89,3,0)*0.475*44/12</f>
        <v>3.3729434405069805</v>
      </c>
      <c r="AB68" s="21">
        <f>EXP(-LN(2)/2)*AB67+(1-EXP(-LN(2)/2))/(LN(2)/2)*V68*Y68*VLOOKUP('Données projet'!$B$9,Paramètres!$A$1:$I$89,3,0)*0.475*44/12</f>
        <v>4.8642103768188584E-6</v>
      </c>
      <c r="AC68" s="22">
        <f t="shared" ref="AC68:AC131" si="57">SUM(Z68:AB68)</f>
        <v>36.696800354172986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74.96601334162861</v>
      </c>
      <c r="T69" s="59">
        <f t="shared" ref="T69:T132" si="88">$T$3</f>
        <v>372.48258675228851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32.670391636308572</v>
      </c>
      <c r="AA69" s="21">
        <f>EXP(-LN(2)/25)*AA68+(1-EXP(-LN(2)/25))/(LN(2)/25)*Calculateur!V69*Calculateur!X69*VLOOKUP('Données projet'!$B$9,Paramètres!$A$1:$I$89,3,0)*0.475*44/12</f>
        <v>3.2807101247509305</v>
      </c>
      <c r="AB69" s="21">
        <f>EXP(-LN(2)/2)*AB68+(1-EXP(-LN(2)/2))/(LN(2)/2)*V69*Y69*VLOOKUP('Données projet'!$B$9,Paramètres!$A$1:$I$89,3,0)*0.475*44/12</f>
        <v>3.4395161425665864E-6</v>
      </c>
      <c r="AC69" s="22">
        <f t="shared" si="57"/>
        <v>35.951105200575647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74.96601334162861</v>
      </c>
      <c r="T70" s="59">
        <f t="shared" si="88"/>
        <v>372.48258675228851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32.029745183291837</v>
      </c>
      <c r="AA70" s="21">
        <f>EXP(-LN(2)/25)*AA69+(1-EXP(-LN(2)/25))/(LN(2)/25)*Calculateur!V70*Calculateur!X70*VLOOKUP('Données projet'!$B$9,Paramètres!$A$1:$I$89,3,0)*0.475*44/12</f>
        <v>3.1909989338645688</v>
      </c>
      <c r="AB70" s="21">
        <f>EXP(-LN(2)/2)*AB69+(1-EXP(-LN(2)/2))/(LN(2)/2)*V70*Y70*VLOOKUP('Données projet'!$B$9,Paramètres!$A$1:$I$89,3,0)*0.475*44/12</f>
        <v>2.4321051884094292E-6</v>
      </c>
      <c r="AC70" s="22">
        <f t="shared" si="57"/>
        <v>35.220746549261598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74.96601334162861</v>
      </c>
      <c r="T71" s="59">
        <f t="shared" si="88"/>
        <v>372.48258675228851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31.401661416463003</v>
      </c>
      <c r="AA71" s="21">
        <f>EXP(-LN(2)/25)*AA70+(1-EXP(-LN(2)/25))/(LN(2)/25)*Calculateur!V71*Calculateur!X71*VLOOKUP('Données projet'!$B$9,Paramètres!$A$1:$I$89,3,0)*0.475*44/12</f>
        <v>3.1037409002107013</v>
      </c>
      <c r="AB71" s="21">
        <f>EXP(-LN(2)/2)*AB70+(1-EXP(-LN(2)/2))/(LN(2)/2)*V71*Y71*VLOOKUP('Données projet'!$B$9,Paramètres!$A$1:$I$89,3,0)*0.475*44/12</f>
        <v>1.7197580712832932E-6</v>
      </c>
      <c r="AC71" s="22">
        <f t="shared" si="57"/>
        <v>34.505404036431777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74.96601334162861</v>
      </c>
      <c r="T72" s="59">
        <f t="shared" si="88"/>
        <v>372.48258675228851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30.785893989208414</v>
      </c>
      <c r="AA72" s="21">
        <f>EXP(-LN(2)/25)*AA71+(1-EXP(-LN(2)/25))/(LN(2)/25)*Calculateur!V72*Calculateur!X72*VLOOKUP('Données projet'!$B$9,Paramètres!$A$1:$I$89,3,0)*0.475*44/12</f>
        <v>3.0188689420757995</v>
      </c>
      <c r="AB72" s="21">
        <f>EXP(-LN(2)/2)*AB71+(1-EXP(-LN(2)/2))/(LN(2)/2)*V72*Y72*VLOOKUP('Données projet'!$B$9,Paramètres!$A$1:$I$89,3,0)*0.475*44/12</f>
        <v>1.2160525942047146E-6</v>
      </c>
      <c r="AC72" s="22">
        <f t="shared" si="57"/>
        <v>33.804764147336812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74.96601334162861</v>
      </c>
      <c r="T73" s="59">
        <f t="shared" si="88"/>
        <v>372.48258675228851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30.182201385621244</v>
      </c>
      <c r="AA73" s="21">
        <f>EXP(-LN(2)/25)*AA72+(1-EXP(-LN(2)/25))/(LN(2)/25)*Calculateur!V73*Calculateur!X73*VLOOKUP('Données projet'!$B$9,Paramètres!$A$1:$I$89,3,0)*0.475*44/12</f>
        <v>2.9363178120993187</v>
      </c>
      <c r="AB73" s="21">
        <f>EXP(-LN(2)/2)*AB72+(1-EXP(-LN(2)/2))/(LN(2)/2)*V73*Y73*VLOOKUP('Données projet'!$B$9,Paramètres!$A$1:$I$89,3,0)*0.475*44/12</f>
        <v>8.5987903564164661E-7</v>
      </c>
      <c r="AC73" s="22">
        <f t="shared" si="57"/>
        <v>33.118520057599603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74.96601334162861</v>
      </c>
      <c r="T74" s="59">
        <f t="shared" si="88"/>
        <v>372.48258675228851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29.590346825774287</v>
      </c>
      <c r="AA74" s="21">
        <f>EXP(-LN(2)/25)*AA73+(1-EXP(-LN(2)/25))/(LN(2)/25)*Calculateur!V74*Calculateur!X74*VLOOKUP('Données projet'!$B$9,Paramètres!$A$1:$I$89,3,0)*0.475*44/12</f>
        <v>2.8560240471132201</v>
      </c>
      <c r="AB74" s="21">
        <f>EXP(-LN(2)/2)*AB73+(1-EXP(-LN(2)/2))/(LN(2)/2)*V74*Y74*VLOOKUP('Données projet'!$B$9,Paramètres!$A$1:$I$89,3,0)*0.475*44/12</f>
        <v>6.080262971023573E-7</v>
      </c>
      <c r="AC74" s="22">
        <f t="shared" si="57"/>
        <v>32.446371480913804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74.96601334162861</v>
      </c>
      <c r="T75" s="59">
        <f t="shared" si="88"/>
        <v>372.48258675228851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29.010098172850292</v>
      </c>
      <c r="AA75" s="21">
        <f>EXP(-LN(2)/25)*AA74+(1-EXP(-LN(2)/25))/(LN(2)/25)*Calculateur!V75*Calculateur!X75*VLOOKUP('Données projet'!$B$9,Paramètres!$A$1:$I$89,3,0)*0.475*44/12</f>
        <v>2.777925919353132</v>
      </c>
      <c r="AB75" s="21">
        <f>EXP(-LN(2)/2)*AB74+(1-EXP(-LN(2)/2))/(LN(2)/2)*V75*Y75*VLOOKUP('Données projet'!$B$9,Paramètres!$A$1:$I$89,3,0)*0.475*44/12</f>
        <v>4.299395178208233E-7</v>
      </c>
      <c r="AC75" s="22">
        <f t="shared" si="57"/>
        <v>31.78802452214294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74.96601334162861</v>
      </c>
      <c r="T76" s="59">
        <f t="shared" si="88"/>
        <v>372.48258675228851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28.441227842093404</v>
      </c>
      <c r="AA76" s="21">
        <f>EXP(-LN(2)/25)*AA75+(1-EXP(-LN(2)/25))/(LN(2)/25)*Calculateur!V76*Calculateur!X76*VLOOKUP('Données projet'!$B$9,Paramètres!$A$1:$I$89,3,0)*0.475*44/12</f>
        <v>2.7019633890036454</v>
      </c>
      <c r="AB76" s="21">
        <f>EXP(-LN(2)/2)*AB75+(1-EXP(-LN(2)/2))/(LN(2)/2)*V76*Y76*VLOOKUP('Données projet'!$B$9,Paramètres!$A$1:$I$89,3,0)*0.475*44/12</f>
        <v>3.0401314855117865E-7</v>
      </c>
      <c r="AC76" s="22">
        <f t="shared" si="57"/>
        <v>31.143191535110198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74.96601334162861</v>
      </c>
      <c r="T77" s="59">
        <f t="shared" si="88"/>
        <v>372.48258675228851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27.883512711546018</v>
      </c>
      <c r="AA77" s="21">
        <f>EXP(-LN(2)/25)*AA76+(1-EXP(-LN(2)/25))/(LN(2)/25)*Calculateur!V77*Calculateur!X77*VLOOKUP('Données projet'!$B$9,Paramètres!$A$1:$I$89,3,0)*0.475*44/12</f>
        <v>2.6280780580412615</v>
      </c>
      <c r="AB77" s="21">
        <f>EXP(-LN(2)/2)*AB76+(1-EXP(-LN(2)/2))/(LN(2)/2)*V77*Y77*VLOOKUP('Données projet'!$B$9,Paramètres!$A$1:$I$89,3,0)*0.475*44/12</f>
        <v>2.1496975891041165E-7</v>
      </c>
      <c r="AC77" s="22">
        <f t="shared" si="57"/>
        <v>30.511590984557039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74.96601334162861</v>
      </c>
      <c r="T78" s="59">
        <f t="shared" si="88"/>
        <v>372.48258675228851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27.336734034536025</v>
      </c>
      <c r="AA78" s="21">
        <f>EXP(-LN(2)/25)*AA77+(1-EXP(-LN(2)/25))/(LN(2)/25)*Calculateur!V78*Calculateur!X78*VLOOKUP('Données projet'!$B$9,Paramètres!$A$1:$I$89,3,0)*0.475*44/12</f>
        <v>2.5562131253395046</v>
      </c>
      <c r="AB78" s="21">
        <f>EXP(-LN(2)/2)*AB77+(1-EXP(-LN(2)/2))/(LN(2)/2)*V78*Y78*VLOOKUP('Données projet'!$B$9,Paramètres!$A$1:$I$89,3,0)*0.475*44/12</f>
        <v>1.5200657427558933E-7</v>
      </c>
      <c r="AC78" s="22">
        <f t="shared" si="57"/>
        <v>29.892947311882104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74.96601334162861</v>
      </c>
      <c r="T79" s="59">
        <f t="shared" si="88"/>
        <v>372.48258675228851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26.800677353880136</v>
      </c>
      <c r="AA79" s="21">
        <f>EXP(-LN(2)/25)*AA78+(1-EXP(-LN(2)/25))/(LN(2)/25)*Calculateur!V79*Calculateur!X79*VLOOKUP('Données projet'!$B$9,Paramètres!$A$1:$I$89,3,0)*0.475*44/12</f>
        <v>2.4863133430016897</v>
      </c>
      <c r="AB79" s="21">
        <f>EXP(-LN(2)/2)*AB78+(1-EXP(-LN(2)/2))/(LN(2)/2)*V79*Y79*VLOOKUP('Données projet'!$B$9,Paramètres!$A$1:$I$89,3,0)*0.475*44/12</f>
        <v>1.0748487945520583E-7</v>
      </c>
      <c r="AC79" s="22">
        <f t="shared" si="57"/>
        <v>29.286990804366706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74.96601334162861</v>
      </c>
      <c r="T80" s="59">
        <f t="shared" si="88"/>
        <v>372.48258675228851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26.275132417769619</v>
      </c>
      <c r="AA80" s="21">
        <f>EXP(-LN(2)/25)*AA79+(1-EXP(-LN(2)/25))/(LN(2)/25)*Calculateur!V80*Calculateur!X80*VLOOKUP('Données projet'!$B$9,Paramètres!$A$1:$I$89,3,0)*0.475*44/12</f>
        <v>2.4183249738877723</v>
      </c>
      <c r="AB80" s="21">
        <f>EXP(-LN(2)/2)*AB79+(1-EXP(-LN(2)/2))/(LN(2)/2)*V80*Y80*VLOOKUP('Données projet'!$B$9,Paramètres!$A$1:$I$89,3,0)*0.475*44/12</f>
        <v>7.6003287137794663E-8</v>
      </c>
      <c r="AC80" s="22">
        <f t="shared" si="57"/>
        <v>28.693457467660675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74.96601334162861</v>
      </c>
      <c r="T81" s="59">
        <f t="shared" si="88"/>
        <v>372.48258675228851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25.759893097305472</v>
      </c>
      <c r="AA81" s="21">
        <f>EXP(-LN(2)/25)*AA80+(1-EXP(-LN(2)/25))/(LN(2)/25)*Calculateur!V81*Calculateur!X81*VLOOKUP('Données projet'!$B$9,Paramètres!$A$1:$I$89,3,0)*0.475*44/12</f>
        <v>2.3521957503026281</v>
      </c>
      <c r="AB81" s="21">
        <f>EXP(-LN(2)/2)*AB80+(1-EXP(-LN(2)/2))/(LN(2)/2)*V81*Y81*VLOOKUP('Données projet'!$B$9,Paramètres!$A$1:$I$89,3,0)*0.475*44/12</f>
        <v>5.3742439727602913E-8</v>
      </c>
      <c r="AC81" s="22">
        <f t="shared" si="57"/>
        <v>28.112088901350539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74.96601334162861</v>
      </c>
      <c r="T82" s="59">
        <f t="shared" si="88"/>
        <v>372.48258675228851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25.254757305650671</v>
      </c>
      <c r="AA82" s="21">
        <f>EXP(-LN(2)/25)*AA81+(1-EXP(-LN(2)/25))/(LN(2)/25)*Calculateur!V82*Calculateur!X82*VLOOKUP('Données projet'!$B$9,Paramètres!$A$1:$I$89,3,0)*0.475*44/12</f>
        <v>2.287874833814004</v>
      </c>
      <c r="AB82" s="21">
        <f>EXP(-LN(2)/2)*AB81+(1-EXP(-LN(2)/2))/(LN(2)/2)*V82*Y82*VLOOKUP('Données projet'!$B$9,Paramètres!$A$1:$I$89,3,0)*0.475*44/12</f>
        <v>3.8001643568897331E-8</v>
      </c>
      <c r="AC82" s="22">
        <f t="shared" si="57"/>
        <v>27.54263217746632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74.96601334162861</v>
      </c>
      <c r="T83" s="59">
        <f t="shared" si="88"/>
        <v>372.48258675228851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24.759526918767811</v>
      </c>
      <c r="AA83" s="21">
        <f>EXP(-LN(2)/25)*AA82+(1-EXP(-LN(2)/25))/(LN(2)/25)*Calculateur!V83*Calculateur!X83*VLOOKUP('Données projet'!$B$9,Paramètres!$A$1:$I$89,3,0)*0.475*44/12</f>
        <v>2.2253127761692517</v>
      </c>
      <c r="AB83" s="21">
        <f>EXP(-LN(2)/2)*AB82+(1-EXP(-LN(2)/2))/(LN(2)/2)*V83*Y83*VLOOKUP('Données projet'!$B$9,Paramètres!$A$1:$I$89,3,0)*0.475*44/12</f>
        <v>2.6871219863801457E-8</v>
      </c>
      <c r="AC83" s="22">
        <f t="shared" si="57"/>
        <v>26.984839721808282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74.96601334162861</v>
      </c>
      <c r="T84" s="59">
        <f t="shared" si="88"/>
        <v>372.48258675228851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24.274007697711014</v>
      </c>
      <c r="AA84" s="21">
        <f>EXP(-LN(2)/25)*AA83+(1-EXP(-LN(2)/25))/(LN(2)/25)*Calculateur!V84*Calculateur!X84*VLOOKUP('Données projet'!$B$9,Paramètres!$A$1:$I$89,3,0)*0.475*44/12</f>
        <v>2.1644614812807905</v>
      </c>
      <c r="AB84" s="21">
        <f>EXP(-LN(2)/2)*AB83+(1-EXP(-LN(2)/2))/(LN(2)/2)*V84*Y84*VLOOKUP('Données projet'!$B$9,Paramètres!$A$1:$I$89,3,0)*0.475*44/12</f>
        <v>1.9000821784448666E-8</v>
      </c>
      <c r="AC84" s="22">
        <f t="shared" si="57"/>
        <v>26.438469197992625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74.96601334162861</v>
      </c>
      <c r="T85" s="59">
        <f t="shared" si="88"/>
        <v>372.48258675228851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23.798009212441656</v>
      </c>
      <c r="AA85" s="21">
        <f>EXP(-LN(2)/25)*AA84+(1-EXP(-LN(2)/25))/(LN(2)/25)*Calculateur!V85*Calculateur!X85*VLOOKUP('Données projet'!$B$9,Paramètres!$A$1:$I$89,3,0)*0.475*44/12</f>
        <v>2.1052741682510852</v>
      </c>
      <c r="AB85" s="21">
        <f>EXP(-LN(2)/2)*AB84+(1-EXP(-LN(2)/2))/(LN(2)/2)*V85*Y85*VLOOKUP('Données projet'!$B$9,Paramètres!$A$1:$I$89,3,0)*0.475*44/12</f>
        <v>1.3435609931900728E-8</v>
      </c>
      <c r="AC85" s="22">
        <f t="shared" si="57"/>
        <v>25.903283394128351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74.96601334162861</v>
      </c>
      <c r="T86" s="59">
        <f t="shared" si="88"/>
        <v>372.48258675228851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23.331344767138024</v>
      </c>
      <c r="AA86" s="21">
        <f>EXP(-LN(2)/25)*AA85+(1-EXP(-LN(2)/25))/(LN(2)/25)*Calculateur!V86*Calculateur!X86*VLOOKUP('Données projet'!$B$9,Paramètres!$A$1:$I$89,3,0)*0.475*44/12</f>
        <v>2.0477053354087023</v>
      </c>
      <c r="AB86" s="21">
        <f>EXP(-LN(2)/2)*AB85+(1-EXP(-LN(2)/2))/(LN(2)/2)*V86*Y86*VLOOKUP('Données projet'!$B$9,Paramètres!$A$1:$I$89,3,0)*0.475*44/12</f>
        <v>9.5004108922243328E-9</v>
      </c>
      <c r="AC86" s="22">
        <f t="shared" si="57"/>
        <v>25.379050112047139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74.96601334162861</v>
      </c>
      <c r="T87" s="59">
        <f t="shared" si="88"/>
        <v>372.48258675228851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22.87383132696959</v>
      </c>
      <c r="AA87" s="21">
        <f>EXP(-LN(2)/25)*AA86+(1-EXP(-LN(2)/25))/(LN(2)/25)*Calculateur!V87*Calculateur!X87*VLOOKUP('Données projet'!$B$9,Paramètres!$A$1:$I$89,3,0)*0.475*44/12</f>
        <v>1.9917107253278077</v>
      </c>
      <c r="AB87" s="21">
        <f>EXP(-LN(2)/2)*AB86+(1-EXP(-LN(2)/2))/(LN(2)/2)*V87*Y87*VLOOKUP('Données projet'!$B$9,Paramètres!$A$1:$I$89,3,0)*0.475*44/12</f>
        <v>6.7178049659503641E-9</v>
      </c>
      <c r="AC87" s="22">
        <f t="shared" si="57"/>
        <v>24.865542059015201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74.96601334162861</v>
      </c>
      <c r="T88" s="59">
        <f t="shared" si="88"/>
        <v>372.48258675228851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22.425289446307215</v>
      </c>
      <c r="AA88" s="21">
        <f>EXP(-LN(2)/25)*AA87+(1-EXP(-LN(2)/25))/(LN(2)/25)*Calculateur!V88*Calculateur!X88*VLOOKUP('Données projet'!$B$9,Paramètres!$A$1:$I$89,3,0)*0.475*44/12</f>
        <v>1.9372472908042038</v>
      </c>
      <c r="AB88" s="21">
        <f>EXP(-LN(2)/2)*AB87+(1-EXP(-LN(2)/2))/(LN(2)/2)*V88*Y88*VLOOKUP('Données projet'!$B$9,Paramètres!$A$1:$I$89,3,0)*0.475*44/12</f>
        <v>4.7502054461121664E-9</v>
      </c>
      <c r="AC88" s="22">
        <f t="shared" si="57"/>
        <v>24.362536741861625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74.96601334162861</v>
      </c>
      <c r="T89" s="59">
        <f t="shared" si="88"/>
        <v>372.48258675228851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21.985543198341094</v>
      </c>
      <c r="AA89" s="21">
        <f>EXP(-LN(2)/25)*AA88+(1-EXP(-LN(2)/25))/(LN(2)/25)*Calculateur!V89*Calculateur!X89*VLOOKUP('Données projet'!$B$9,Paramètres!$A$1:$I$89,3,0)*0.475*44/12</f>
        <v>1.8842731617617554</v>
      </c>
      <c r="AB89" s="21">
        <f>EXP(-LN(2)/2)*AB88+(1-EXP(-LN(2)/2))/(LN(2)/2)*V89*Y89*VLOOKUP('Données projet'!$B$9,Paramètres!$A$1:$I$89,3,0)*0.475*44/12</f>
        <v>3.3589024829751821E-9</v>
      </c>
      <c r="AC89" s="22">
        <f t="shared" si="57"/>
        <v>23.869816363461752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74.96601334162861</v>
      </c>
      <c r="T90" s="59">
        <f t="shared" si="88"/>
        <v>372.48258675228851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21.554420106078862</v>
      </c>
      <c r="AA90" s="21">
        <f>EXP(-LN(2)/25)*AA89+(1-EXP(-LN(2)/25))/(LN(2)/25)*Calculateur!V90*Calculateur!X90*VLOOKUP('Données projet'!$B$9,Paramètres!$A$1:$I$89,3,0)*0.475*44/12</f>
        <v>1.8327476130637612</v>
      </c>
      <c r="AB90" s="21">
        <f>EXP(-LN(2)/2)*AB89+(1-EXP(-LN(2)/2))/(LN(2)/2)*V90*Y90*VLOOKUP('Données projet'!$B$9,Paramètres!$A$1:$I$89,3,0)*0.475*44/12</f>
        <v>2.3751027230560832E-9</v>
      </c>
      <c r="AC90" s="22">
        <f t="shared" si="57"/>
        <v>23.387167721517727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74.96601334162861</v>
      </c>
      <c r="T91" s="59">
        <f t="shared" si="88"/>
        <v>372.48258675228851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21.131751074696773</v>
      </c>
      <c r="AA91" s="21">
        <f>EXP(-LN(2)/25)*AA90+(1-EXP(-LN(2)/25))/(LN(2)/25)*Calculateur!V91*Calculateur!X91*VLOOKUP('Données projet'!$B$9,Paramètres!$A$1:$I$89,3,0)*0.475*44/12</f>
        <v>1.7826310332045245</v>
      </c>
      <c r="AB91" s="21">
        <f>EXP(-LN(2)/2)*AB90+(1-EXP(-LN(2)/2))/(LN(2)/2)*V91*Y91*VLOOKUP('Données projet'!$B$9,Paramètres!$A$1:$I$89,3,0)*0.475*44/12</f>
        <v>1.679451241487591E-9</v>
      </c>
      <c r="AC91" s="22">
        <f t="shared" si="57"/>
        <v>22.914382109580746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74.96601334162861</v>
      </c>
      <c r="T92" s="59">
        <f t="shared" si="88"/>
        <v>372.48258675228851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20.717370325217431</v>
      </c>
      <c r="AA92" s="21">
        <f>EXP(-LN(2)/25)*AA91+(1-EXP(-LN(2)/25))/(LN(2)/25)*Calculateur!V92*Calculateur!X92*VLOOKUP('Données projet'!$B$9,Paramètres!$A$1:$I$89,3,0)*0.475*44/12</f>
        <v>1.733884893857055</v>
      </c>
      <c r="AB92" s="21">
        <f>EXP(-LN(2)/2)*AB91+(1-EXP(-LN(2)/2))/(LN(2)/2)*V92*Y92*VLOOKUP('Données projet'!$B$9,Paramètres!$A$1:$I$89,3,0)*0.475*44/12</f>
        <v>1.1875513615280416E-9</v>
      </c>
      <c r="AC92" s="22">
        <f t="shared" si="57"/>
        <v>22.451255220262038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74.96601334162861</v>
      </c>
      <c r="T93" s="59">
        <f t="shared" si="88"/>
        <v>372.48258675228851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20.311115329488079</v>
      </c>
      <c r="AA93" s="21">
        <f>EXP(-LN(2)/25)*AA92+(1-EXP(-LN(2)/25))/(LN(2)/25)*Calculateur!V93*Calculateur!X93*VLOOKUP('Données projet'!$B$9,Paramètres!$A$1:$I$89,3,0)*0.475*44/12</f>
        <v>1.6864717202534902</v>
      </c>
      <c r="AB93" s="21">
        <f>EXP(-LN(2)/2)*AB92+(1-EXP(-LN(2)/2))/(LN(2)/2)*V93*Y93*VLOOKUP('Données projet'!$B$9,Paramètres!$A$1:$I$89,3,0)*0.475*44/12</f>
        <v>8.3972562074379552E-10</v>
      </c>
      <c r="AC93" s="22">
        <f t="shared" si="57"/>
        <v>21.997587050581295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74.96601334162861</v>
      </c>
      <c r="T94" s="59">
        <f t="shared" si="88"/>
        <v>372.48258675228851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19.9128267464339</v>
      </c>
      <c r="AA94" s="21">
        <f>EXP(-LN(2)/25)*AA93+(1-EXP(-LN(2)/25))/(LN(2)/25)*Calculateur!V94*Calculateur!X94*VLOOKUP('Données projet'!$B$9,Paramètres!$A$1:$I$89,3,0)*0.475*44/12</f>
        <v>1.6403550623754652</v>
      </c>
      <c r="AB94" s="21">
        <f>EXP(-LN(2)/2)*AB93+(1-EXP(-LN(2)/2))/(LN(2)/2)*V94*Y94*VLOOKUP('Données projet'!$B$9,Paramètres!$A$1:$I$89,3,0)*0.475*44/12</f>
        <v>5.937756807640208E-10</v>
      </c>
      <c r="AC94" s="22">
        <f t="shared" si="57"/>
        <v>21.553181809403142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74.96601334162861</v>
      </c>
      <c r="T95" s="59">
        <f t="shared" si="88"/>
        <v>372.48258675228851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19.522348359561366</v>
      </c>
      <c r="AA95" s="21">
        <f>EXP(-LN(2)/25)*AA94+(1-EXP(-LN(2)/25))/(LN(2)/25)*Calculateur!V95*Calculateur!X95*VLOOKUP('Données projet'!$B$9,Paramètres!$A$1:$I$89,3,0)*0.475*44/12</f>
        <v>1.5954994669322844</v>
      </c>
      <c r="AB95" s="21">
        <f>EXP(-LN(2)/2)*AB94+(1-EXP(-LN(2)/2))/(LN(2)/2)*V95*Y95*VLOOKUP('Données projet'!$B$9,Paramètres!$A$1:$I$89,3,0)*0.475*44/12</f>
        <v>4.1986281037189776E-10</v>
      </c>
      <c r="AC95" s="22">
        <f t="shared" si="57"/>
        <v>21.117847826913515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74.96601334162861</v>
      </c>
      <c r="T96" s="59">
        <f t="shared" si="88"/>
        <v>372.48258675228851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19.139527015687104</v>
      </c>
      <c r="AA96" s="21">
        <f>EXP(-LN(2)/25)*AA95+(1-EXP(-LN(2)/25))/(LN(2)/25)*Calculateur!V96*Calculateur!X96*VLOOKUP('Données projet'!$B$9,Paramètres!$A$1:$I$89,3,0)*0.475*44/12</f>
        <v>1.5518704501053506</v>
      </c>
      <c r="AB96" s="21">
        <f>EXP(-LN(2)/2)*AB95+(1-EXP(-LN(2)/2))/(LN(2)/2)*V96*Y96*VLOOKUP('Données projet'!$B$9,Paramètres!$A$1:$I$89,3,0)*0.475*44/12</f>
        <v>2.968878403820104E-10</v>
      </c>
      <c r="AC96" s="22">
        <f t="shared" si="57"/>
        <v>20.691397466089342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74.96601334162861</v>
      </c>
      <c r="T97" s="59">
        <f t="shared" si="88"/>
        <v>372.48258675228851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18.764212564868252</v>
      </c>
      <c r="AA97" s="21">
        <f>EXP(-LN(2)/25)*AA96+(1-EXP(-LN(2)/25))/(LN(2)/25)*Calculateur!V97*Calculateur!X97*VLOOKUP('Données projet'!$B$9,Paramètres!$A$1:$I$89,3,0)*0.475*44/12</f>
        <v>1.5094344710378997</v>
      </c>
      <c r="AB97" s="21">
        <f>EXP(-LN(2)/2)*AB96+(1-EXP(-LN(2)/2))/(LN(2)/2)*V97*Y97*VLOOKUP('Données projet'!$B$9,Paramètres!$A$1:$I$89,3,0)*0.475*44/12</f>
        <v>2.0993140518594888E-10</v>
      </c>
      <c r="AC97" s="22">
        <f t="shared" si="57"/>
        <v>20.273647036116081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74.96601334162861</v>
      </c>
      <c r="T98" s="59">
        <f t="shared" si="88"/>
        <v>372.48258675228851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18.396257801510746</v>
      </c>
      <c r="AA98" s="21">
        <f>EXP(-LN(2)/25)*AA97+(1-EXP(-LN(2)/25))/(LN(2)/25)*Calculateur!V98*Calculateur!X98*VLOOKUP('Données projet'!$B$9,Paramètres!$A$1:$I$89,3,0)*0.475*44/12</f>
        <v>1.4681589060496594</v>
      </c>
      <c r="AB98" s="21">
        <f>EXP(-LN(2)/2)*AB97+(1-EXP(-LN(2)/2))/(LN(2)/2)*V98*Y98*VLOOKUP('Données projet'!$B$9,Paramètres!$A$1:$I$89,3,0)*0.475*44/12</f>
        <v>1.484439201910052E-10</v>
      </c>
      <c r="AC98" s="22">
        <f t="shared" si="57"/>
        <v>19.864416707708848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74.96601334162861</v>
      </c>
      <c r="T99" s="59">
        <f t="shared" si="88"/>
        <v>372.48258675228851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18.035518406632438</v>
      </c>
      <c r="AA99" s="21">
        <f>EXP(-LN(2)/25)*AA98+(1-EXP(-LN(2)/25))/(LN(2)/25)*Calculateur!V99*Calculateur!X99*VLOOKUP('Données projet'!$B$9,Paramètres!$A$1:$I$89,3,0)*0.475*44/12</f>
        <v>1.4280120235566101</v>
      </c>
      <c r="AB99" s="21">
        <f>EXP(-LN(2)/2)*AB98+(1-EXP(-LN(2)/2))/(LN(2)/2)*V99*Y99*VLOOKUP('Données projet'!$B$9,Paramètres!$A$1:$I$89,3,0)*0.475*44/12</f>
        <v>1.0496570259297444E-10</v>
      </c>
      <c r="AC99" s="22">
        <f t="shared" si="57"/>
        <v>19.463530430294014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74.96601334162861</v>
      </c>
      <c r="T100" s="59">
        <f t="shared" si="88"/>
        <v>372.48258675228851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17.681852891258387</v>
      </c>
      <c r="AA100" s="21">
        <f>EXP(-LN(2)/25)*AA99+(1-EXP(-LN(2)/25))/(LN(2)/25)*Calculateur!V100*Calculateur!X100*VLOOKUP('Données projet'!$B$9,Paramètres!$A$1:$I$89,3,0)*0.475*44/12</f>
        <v>1.388962959676566</v>
      </c>
      <c r="AB100" s="21">
        <f>EXP(-LN(2)/2)*AB99+(1-EXP(-LN(2)/2))/(LN(2)/2)*V100*Y100*VLOOKUP('Données projet'!$B$9,Paramètres!$A$1:$I$89,3,0)*0.475*44/12</f>
        <v>7.42219600955026E-11</v>
      </c>
      <c r="AC100" s="22">
        <f t="shared" si="57"/>
        <v>19.070815851009176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74.96601334162861</v>
      </c>
      <c r="T101" s="59">
        <f t="shared" si="88"/>
        <v>372.48258675228851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17.335122540926157</v>
      </c>
      <c r="AA101" s="21">
        <f>EXP(-LN(2)/25)*AA100+(1-EXP(-LN(2)/25))/(LN(2)/25)*Calculateur!V101*Calculateur!X101*VLOOKUP('Données projet'!$B$9,Paramètres!$A$1:$I$89,3,0)*0.475*44/12</f>
        <v>1.3509816945018227</v>
      </c>
      <c r="AB101" s="21">
        <f>EXP(-LN(2)/2)*AB100+(1-EXP(-LN(2)/2))/(LN(2)/2)*V101*Y101*VLOOKUP('Données projet'!$B$9,Paramètres!$A$1:$I$89,3,0)*0.475*44/12</f>
        <v>5.248285129648722E-11</v>
      </c>
      <c r="AC101" s="22">
        <f t="shared" si="57"/>
        <v>18.686104235480464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74.96601334162861</v>
      </c>
      <c r="T102" s="59">
        <f t="shared" si="88"/>
        <v>372.48258675228851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16.995191361279311</v>
      </c>
      <c r="AA102" s="21">
        <f>EXP(-LN(2)/25)*AA101+(1-EXP(-LN(2)/25))/(LN(2)/25)*Calculateur!V102*Calculateur!X102*VLOOKUP('Données projet'!$B$9,Paramètres!$A$1:$I$89,3,0)*0.475*44/12</f>
        <v>1.3140390290206307</v>
      </c>
      <c r="AB102" s="21">
        <f>EXP(-LN(2)/2)*AB101+(1-EXP(-LN(2)/2))/(LN(2)/2)*V102*Y102*VLOOKUP('Données projet'!$B$9,Paramètres!$A$1:$I$89,3,0)*0.475*44/12</f>
        <v>3.71109800477513E-11</v>
      </c>
      <c r="AC102" s="22">
        <f t="shared" si="57"/>
        <v>18.309230390337053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74.96601334162861</v>
      </c>
      <c r="T103" s="59">
        <f t="shared" si="88"/>
        <v>372.48258675228851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16.661926024727791</v>
      </c>
      <c r="AA103" s="21">
        <f>EXP(-LN(2)/25)*AA102+(1-EXP(-LN(2)/25))/(LN(2)/25)*Calculateur!V103*Calculateur!X103*VLOOKUP('Données projet'!$B$9,Paramètres!$A$1:$I$89,3,0)*0.475*44/12</f>
        <v>1.2781065626697523</v>
      </c>
      <c r="AB103" s="21">
        <f>EXP(-LN(2)/2)*AB102+(1-EXP(-LN(2)/2))/(LN(2)/2)*V103*Y103*VLOOKUP('Données projet'!$B$9,Paramètres!$A$1:$I$89,3,0)*0.475*44/12</f>
        <v>2.624142564824361E-11</v>
      </c>
      <c r="AC103" s="22">
        <f t="shared" si="57"/>
        <v>17.940032587423783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74.96601334162861</v>
      </c>
      <c r="T104" s="59">
        <f t="shared" si="88"/>
        <v>372.48258675228851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16.335195818154265</v>
      </c>
      <c r="AA104" s="21">
        <f>EXP(-LN(2)/25)*AA103+(1-EXP(-LN(2)/25))/(LN(2)/25)*Calculateur!V104*Calculateur!X104*VLOOKUP('Données projet'!$B$9,Paramètres!$A$1:$I$89,3,0)*0.475*44/12</f>
        <v>1.2431566715008449</v>
      </c>
      <c r="AB104" s="21">
        <f>EXP(-LN(2)/2)*AB103+(1-EXP(-LN(2)/2))/(LN(2)/2)*V104*Y104*VLOOKUP('Données projet'!$B$9,Paramètres!$A$1:$I$89,3,0)*0.475*44/12</f>
        <v>1.855549002387565E-11</v>
      </c>
      <c r="AC104" s="22">
        <f t="shared" si="57"/>
        <v>17.578352489673666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74.96601334162861</v>
      </c>
      <c r="T105" s="59">
        <f t="shared" si="88"/>
        <v>372.48258675228851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16.014872591645897</v>
      </c>
      <c r="AA105" s="21">
        <f>EXP(-LN(2)/25)*AA104+(1-EXP(-LN(2)/25))/(LN(2)/25)*Calculateur!V105*Calculateur!X105*VLOOKUP('Données projet'!$B$9,Paramètres!$A$1:$I$89,3,0)*0.475*44/12</f>
        <v>1.2091624869438862</v>
      </c>
      <c r="AB105" s="21">
        <f>EXP(-LN(2)/2)*AB104+(1-EXP(-LN(2)/2))/(LN(2)/2)*V105*Y105*VLOOKUP('Données projet'!$B$9,Paramètres!$A$1:$I$89,3,0)*0.475*44/12</f>
        <v>1.3120712824121805E-11</v>
      </c>
      <c r="AC105" s="22">
        <f t="shared" si="57"/>
        <v>17.224035078602903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74.96601334162861</v>
      </c>
      <c r="T106" s="59">
        <f t="shared" si="88"/>
        <v>372.48258675228851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15.700830708231482</v>
      </c>
      <c r="AA106" s="21">
        <f>EXP(-LN(2)/25)*AA105+(1-EXP(-LN(2)/25))/(LN(2)/25)*Calculateur!V106*Calculateur!X106*VLOOKUP('Données projet'!$B$9,Paramètres!$A$1:$I$89,3,0)*0.475*44/12</f>
        <v>1.176097875151314</v>
      </c>
      <c r="AB106" s="21">
        <f>EXP(-LN(2)/2)*AB105+(1-EXP(-LN(2)/2))/(LN(2)/2)*V106*Y106*VLOOKUP('Données projet'!$B$9,Paramètres!$A$1:$I$89,3,0)*0.475*44/12</f>
        <v>9.277745011937825E-12</v>
      </c>
      <c r="AC106" s="22">
        <f t="shared" si="57"/>
        <v>16.876928583392072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74.96601334162861</v>
      </c>
      <c r="T107" s="59">
        <f t="shared" si="88"/>
        <v>372.48258675228851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15.392946994604188</v>
      </c>
      <c r="AA107" s="21">
        <f>EXP(-LN(2)/25)*AA106+(1-EXP(-LN(2)/25))/(LN(2)/25)*Calculateur!V107*Calculateur!X107*VLOOKUP('Données projet'!$B$9,Paramètres!$A$1:$I$89,3,0)*0.475*44/12</f>
        <v>1.143937416907002</v>
      </c>
      <c r="AB107" s="21">
        <f>EXP(-LN(2)/2)*AB106+(1-EXP(-LN(2)/2))/(LN(2)/2)*V107*Y107*VLOOKUP('Données projet'!$B$9,Paramètres!$A$1:$I$89,3,0)*0.475*44/12</f>
        <v>6.5603564120609025E-12</v>
      </c>
      <c r="AC107" s="22">
        <f t="shared" si="57"/>
        <v>16.53688441151775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74.96601334162861</v>
      </c>
      <c r="T108" s="59">
        <f t="shared" si="88"/>
        <v>372.48258675228851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15.091100692810603</v>
      </c>
      <c r="AA108" s="21">
        <f>EXP(-LN(2)/25)*AA107+(1-EXP(-LN(2)/25))/(LN(2)/25)*Calculateur!V108*Calculateur!X108*VLOOKUP('Données projet'!$B$9,Paramètres!$A$1:$I$89,3,0)*0.475*44/12</f>
        <v>1.1126563880846259</v>
      </c>
      <c r="AB108" s="21">
        <f>EXP(-LN(2)/2)*AB107+(1-EXP(-LN(2)/2))/(LN(2)/2)*V108*Y108*VLOOKUP('Données projet'!$B$9,Paramètres!$A$1:$I$89,3,0)*0.475*44/12</f>
        <v>4.6388725059689125E-12</v>
      </c>
      <c r="AC108" s="22">
        <f t="shared" si="57"/>
        <v>16.203757080899869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74.96601334162861</v>
      </c>
      <c r="T109" s="59">
        <f t="shared" si="88"/>
        <v>372.48258675228851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14.795173412887124</v>
      </c>
      <c r="AA109" s="21">
        <f>EXP(-LN(2)/25)*AA108+(1-EXP(-LN(2)/25))/(LN(2)/25)*Calculateur!V109*Calculateur!X109*VLOOKUP('Données projet'!$B$9,Paramètres!$A$1:$I$89,3,0)*0.475*44/12</f>
        <v>1.0822307406403953</v>
      </c>
      <c r="AB109" s="21">
        <f>EXP(-LN(2)/2)*AB108+(1-EXP(-LN(2)/2))/(LN(2)/2)*V109*Y109*VLOOKUP('Données projet'!$B$9,Paramètres!$A$1:$I$89,3,0)*0.475*44/12</f>
        <v>3.2801782060304512E-12</v>
      </c>
      <c r="AC109" s="22">
        <f t="shared" si="57"/>
        <v>15.877404153530799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74.96601334162861</v>
      </c>
      <c r="T110" s="59">
        <f t="shared" si="88"/>
        <v>372.48258675228851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14.505049086425126</v>
      </c>
      <c r="AA110" s="21">
        <f>EXP(-LN(2)/25)*AA109+(1-EXP(-LN(2)/25))/(LN(2)/25)*Calculateur!V110*Calculateur!X110*VLOOKUP('Données projet'!$B$9,Paramètres!$A$1:$I$89,3,0)*0.475*44/12</f>
        <v>1.0526370841255426</v>
      </c>
      <c r="AB110" s="21">
        <f>EXP(-LN(2)/2)*AB109+(1-EXP(-LN(2)/2))/(LN(2)/2)*V110*Y110*VLOOKUP('Données projet'!$B$9,Paramètres!$A$1:$I$89,3,0)*0.475*44/12</f>
        <v>2.3194362529844563E-12</v>
      </c>
      <c r="AC110" s="22">
        <f t="shared" si="57"/>
        <v>15.557686170552989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74.96601334162861</v>
      </c>
      <c r="T111" s="59">
        <f t="shared" si="88"/>
        <v>372.48258675228851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14.220613921046683</v>
      </c>
      <c r="AA111" s="21">
        <f>EXP(-LN(2)/25)*AA110+(1-EXP(-LN(2)/25))/(LN(2)/25)*Calculateur!V111*Calculateur!X111*VLOOKUP('Données projet'!$B$9,Paramètres!$A$1:$I$89,3,0)*0.475*44/12</f>
        <v>1.0238526677043511</v>
      </c>
      <c r="AB111" s="21">
        <f>EXP(-LN(2)/2)*AB110+(1-EXP(-LN(2)/2))/(LN(2)/2)*V111*Y111*VLOOKUP('Données projet'!$B$9,Paramètres!$A$1:$I$89,3,0)*0.475*44/12</f>
        <v>1.6400891030152256E-12</v>
      </c>
      <c r="AC111" s="22">
        <f t="shared" si="57"/>
        <v>15.244466588752674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74.96601334162861</v>
      </c>
      <c r="T112" s="59">
        <f t="shared" si="88"/>
        <v>372.48258675228851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13.941756355772991</v>
      </c>
      <c r="AA112" s="21">
        <f>EXP(-LN(2)/25)*AA111+(1-EXP(-LN(2)/25))/(LN(2)/25)*Calculateur!V112*Calculateur!X112*VLOOKUP('Données projet'!$B$9,Paramètres!$A$1:$I$89,3,0)*0.475*44/12</f>
        <v>0.99585536266390384</v>
      </c>
      <c r="AB112" s="21">
        <f>EXP(-LN(2)/2)*AB111+(1-EXP(-LN(2)/2))/(LN(2)/2)*V112*Y112*VLOOKUP('Données projet'!$B$9,Paramètres!$A$1:$I$89,3,0)*0.475*44/12</f>
        <v>1.1597181264922281E-12</v>
      </c>
      <c r="AC112" s="22">
        <f t="shared" si="57"/>
        <v>14.937611718438054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74.96601334162861</v>
      </c>
      <c r="T113" s="59">
        <f t="shared" si="88"/>
        <v>372.48258675228851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13.668367017267997</v>
      </c>
      <c r="AA113" s="21">
        <f>EXP(-LN(2)/25)*AA112+(1-EXP(-LN(2)/25))/(LN(2)/25)*Calculateur!V113*Calculateur!X113*VLOOKUP('Données projet'!$B$9,Paramètres!$A$1:$I$89,3,0)*0.475*44/12</f>
        <v>0.96862364540210188</v>
      </c>
      <c r="AB113" s="21">
        <f>EXP(-LN(2)/2)*AB112+(1-EXP(-LN(2)/2))/(LN(2)/2)*V113*Y113*VLOOKUP('Données projet'!$B$9,Paramètres!$A$1:$I$89,3,0)*0.475*44/12</f>
        <v>8.2004455150761281E-13</v>
      </c>
      <c r="AC113" s="22">
        <f t="shared" si="57"/>
        <v>14.63699066267092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74.96601334162861</v>
      </c>
      <c r="T114" s="59">
        <f t="shared" si="88"/>
        <v>372.48258675228851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13.400338676940054</v>
      </c>
      <c r="AA114" s="21">
        <f>EXP(-LN(2)/25)*AA113+(1-EXP(-LN(2)/25))/(LN(2)/25)*Calculateur!V114*Calculateur!X114*VLOOKUP('Données projet'!$B$9,Paramètres!$A$1:$I$89,3,0)*0.475*44/12</f>
        <v>0.94213658088087771</v>
      </c>
      <c r="AB114" s="21">
        <f>EXP(-LN(2)/2)*AB113+(1-EXP(-LN(2)/2))/(LN(2)/2)*V114*Y114*VLOOKUP('Données projet'!$B$9,Paramètres!$A$1:$I$89,3,0)*0.475*44/12</f>
        <v>5.7985906324611406E-13</v>
      </c>
      <c r="AC114" s="22">
        <f t="shared" si="57"/>
        <v>14.34247525782151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74.96601334162861</v>
      </c>
      <c r="T115" s="59">
        <f t="shared" si="88"/>
        <v>372.48258675228851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13.137566208884795</v>
      </c>
      <c r="AA115" s="21">
        <f>EXP(-LN(2)/25)*AA114+(1-EXP(-LN(2)/25))/(LN(2)/25)*Calculateur!V115*Calculateur!X115*VLOOKUP('Données projet'!$B$9,Paramètres!$A$1:$I$89,3,0)*0.475*44/12</f>
        <v>0.91637380653188061</v>
      </c>
      <c r="AB115" s="21">
        <f>EXP(-LN(2)/2)*AB114+(1-EXP(-LN(2)/2))/(LN(2)/2)*V115*Y115*VLOOKUP('Données projet'!$B$9,Paramètres!$A$1:$I$89,3,0)*0.475*44/12</f>
        <v>4.100222757538064E-13</v>
      </c>
      <c r="AC115" s="22">
        <f t="shared" si="57"/>
        <v>14.053940015417087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74.96601334162861</v>
      </c>
      <c r="T116" s="59">
        <f t="shared" si="88"/>
        <v>372.48258675228851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12.879946548652722</v>
      </c>
      <c r="AA116" s="21">
        <f>EXP(-LN(2)/25)*AA115+(1-EXP(-LN(2)/25))/(LN(2)/25)*Calculateur!V116*Calculateur!X116*VLOOKUP('Données projet'!$B$9,Paramètres!$A$1:$I$89,3,0)*0.475*44/12</f>
        <v>0.89131551660226227</v>
      </c>
      <c r="AB116" s="21">
        <f>EXP(-LN(2)/2)*AB115+(1-EXP(-LN(2)/2))/(LN(2)/2)*V116*Y116*VLOOKUP('Données projet'!$B$9,Paramètres!$A$1:$I$89,3,0)*0.475*44/12</f>
        <v>2.8992953162305703E-13</v>
      </c>
      <c r="AC116" s="22">
        <f t="shared" si="57"/>
        <v>13.771262065255273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74.96601334162861</v>
      </c>
      <c r="T117" s="59">
        <f t="shared" si="88"/>
        <v>372.48258675228851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12.627378652825321</v>
      </c>
      <c r="AA117" s="21">
        <f>EXP(-LN(2)/25)*AA116+(1-EXP(-LN(2)/25))/(LN(2)/25)*Calculateur!V117*Calculateur!X117*VLOOKUP('Données projet'!$B$9,Paramètres!$A$1:$I$89,3,0)*0.475*44/12</f>
        <v>0.86694244692852751</v>
      </c>
      <c r="AB117" s="21">
        <f>EXP(-LN(2)/2)*AB116+(1-EXP(-LN(2)/2))/(LN(2)/2)*V117*Y117*VLOOKUP('Données projet'!$B$9,Paramètres!$A$1:$I$89,3,0)*0.475*44/12</f>
        <v>2.050111378769032E-13</v>
      </c>
      <c r="AC117" s="22">
        <f t="shared" si="57"/>
        <v>13.494321099754053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74.96601334162861</v>
      </c>
      <c r="T118" s="59">
        <f t="shared" si="88"/>
        <v>372.48258675228851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12.379763459383891</v>
      </c>
      <c r="AA118" s="21">
        <f>EXP(-LN(2)/25)*AA117+(1-EXP(-LN(2)/25))/(LN(2)/25)*Calculateur!V118*Calculateur!X118*VLOOKUP('Données projet'!$B$9,Paramètres!$A$1:$I$89,3,0)*0.475*44/12</f>
        <v>0.84323586012674512</v>
      </c>
      <c r="AB118" s="21">
        <f>EXP(-LN(2)/2)*AB117+(1-EXP(-LN(2)/2))/(LN(2)/2)*V118*Y118*VLOOKUP('Données projet'!$B$9,Paramètres!$A$1:$I$89,3,0)*0.475*44/12</f>
        <v>1.4496476581152852E-13</v>
      </c>
      <c r="AC118" s="22">
        <f t="shared" si="57"/>
        <v>13.222999319510782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74.96601334162861</v>
      </c>
      <c r="T119" s="59">
        <f t="shared" si="88"/>
        <v>372.48258675228851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12.137003848855493</v>
      </c>
      <c r="AA119" s="21">
        <f>EXP(-LN(2)/25)*AA118+(1-EXP(-LN(2)/25))/(LN(2)/25)*Calculateur!V119*Calculateur!X119*VLOOKUP('Données projet'!$B$9,Paramètres!$A$1:$I$89,3,0)*0.475*44/12</f>
        <v>0.82017753118773262</v>
      </c>
      <c r="AB119" s="21">
        <f>EXP(-LN(2)/2)*AB118+(1-EXP(-LN(2)/2))/(LN(2)/2)*V119*Y119*VLOOKUP('Données projet'!$B$9,Paramètres!$A$1:$I$89,3,0)*0.475*44/12</f>
        <v>1.025055689384516E-13</v>
      </c>
      <c r="AC119" s="22">
        <f t="shared" si="57"/>
        <v>12.957181380043329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74.96601334162861</v>
      </c>
      <c r="T120" s="59">
        <f t="shared" si="88"/>
        <v>372.48258675228851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11.899004606220814</v>
      </c>
      <c r="AA120" s="21">
        <f>EXP(-LN(2)/25)*AA119+(1-EXP(-LN(2)/25))/(LN(2)/25)*Calculateur!V120*Calculateur!X120*VLOOKUP('Données projet'!$B$9,Paramètres!$A$1:$I$89,3,0)*0.475*44/12</f>
        <v>0.7977497334661422</v>
      </c>
      <c r="AB120" s="21">
        <f>EXP(-LN(2)/2)*AB119+(1-EXP(-LN(2)/2))/(LN(2)/2)*V120*Y120*VLOOKUP('Données projet'!$B$9,Paramètres!$A$1:$I$89,3,0)*0.475*44/12</f>
        <v>7.2482382905764258E-14</v>
      </c>
      <c r="AC120" s="22">
        <f t="shared" si="57"/>
        <v>12.696754339687029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74.96601334162861</v>
      </c>
      <c r="T121" s="59">
        <f t="shared" si="88"/>
        <v>372.48258675228851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11.665672383568998</v>
      </c>
      <c r="AA121" s="21">
        <f>EXP(-LN(2)/25)*AA120+(1-EXP(-LN(2)/25))/(LN(2)/25)*Calculateur!V121*Calculateur!X121*VLOOKUP('Données projet'!$B$9,Paramètres!$A$1:$I$89,3,0)*0.475*44/12</f>
        <v>0.77593522505267531</v>
      </c>
      <c r="AB121" s="21">
        <f>EXP(-LN(2)/2)*AB120+(1-EXP(-LN(2)/2))/(LN(2)/2)*V121*Y121*VLOOKUP('Données projet'!$B$9,Paramètres!$A$1:$I$89,3,0)*0.475*44/12</f>
        <v>5.1252784469225801E-14</v>
      </c>
      <c r="AC121" s="22">
        <f t="shared" si="57"/>
        <v>12.441607608621725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74.96601334162861</v>
      </c>
      <c r="T122" s="59">
        <f t="shared" si="88"/>
        <v>372.48258675228851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11.436915663484781</v>
      </c>
      <c r="AA122" s="21">
        <f>EXP(-LN(2)/25)*AA121+(1-EXP(-LN(2)/25))/(LN(2)/25)*Calculateur!V122*Calculateur!X122*VLOOKUP('Données projet'!$B$9,Paramètres!$A$1:$I$89,3,0)*0.475*44/12</f>
        <v>0.75471723551894987</v>
      </c>
      <c r="AB122" s="21">
        <f>EXP(-LN(2)/2)*AB121+(1-EXP(-LN(2)/2))/(LN(2)/2)*V122*Y122*VLOOKUP('Données projet'!$B$9,Paramètres!$A$1:$I$89,3,0)*0.475*44/12</f>
        <v>3.6241191452882129E-14</v>
      </c>
      <c r="AC122" s="22">
        <f t="shared" si="57"/>
        <v>12.191632899003766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74.96601334162861</v>
      </c>
      <c r="T123" s="59">
        <f t="shared" si="88"/>
        <v>372.48258675228851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11.212644723153593</v>
      </c>
      <c r="AA123" s="21">
        <f>EXP(-LN(2)/25)*AA122+(1-EXP(-LN(2)/25))/(LN(2)/25)*Calculateur!V123*Calculateur!X123*VLOOKUP('Données projet'!$B$9,Paramètres!$A$1:$I$89,3,0)*0.475*44/12</f>
        <v>0.73407945302482969</v>
      </c>
      <c r="AB123" s="21">
        <f>EXP(-LN(2)/2)*AB122+(1-EXP(-LN(2)/2))/(LN(2)/2)*V123*Y123*VLOOKUP('Données projet'!$B$9,Paramètres!$A$1:$I$89,3,0)*0.475*44/12</f>
        <v>2.56263922346129E-14</v>
      </c>
      <c r="AC123" s="22">
        <f t="shared" si="57"/>
        <v>11.946724176178448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74.96601334162861</v>
      </c>
      <c r="T124" s="59">
        <f t="shared" si="88"/>
        <v>372.48258675228851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10.992771599170533</v>
      </c>
      <c r="AA124" s="21">
        <f>EXP(-LN(2)/25)*AA123+(1-EXP(-LN(2)/25))/(LN(2)/25)*Calculateur!V124*Calculateur!X124*VLOOKUP('Données projet'!$B$9,Paramètres!$A$1:$I$89,3,0)*0.475*44/12</f>
        <v>0.71400601177830503</v>
      </c>
      <c r="AB124" s="21">
        <f>EXP(-LN(2)/2)*AB123+(1-EXP(-LN(2)/2))/(LN(2)/2)*V124*Y124*VLOOKUP('Données projet'!$B$9,Paramètres!$A$1:$I$89,3,0)*0.475*44/12</f>
        <v>1.8120595726441065E-14</v>
      </c>
      <c r="AC124" s="22">
        <f t="shared" si="57"/>
        <v>11.706777610948857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74.96601334162861</v>
      </c>
      <c r="T125" s="59">
        <f t="shared" si="88"/>
        <v>372.48258675228851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10.777210053039418</v>
      </c>
      <c r="AA125" s="21">
        <f>EXP(-LN(2)/25)*AA124+(1-EXP(-LN(2)/25))/(LN(2)/25)*Calculateur!V125*Calculateur!X125*VLOOKUP('Données projet'!$B$9,Paramètres!$A$1:$I$89,3,0)*0.475*44/12</f>
        <v>0.69448147983828301</v>
      </c>
      <c r="AB125" s="21">
        <f>EXP(-LN(2)/2)*AB124+(1-EXP(-LN(2)/2))/(LN(2)/2)*V125*Y125*VLOOKUP('Données projet'!$B$9,Paramètres!$A$1:$I$89,3,0)*0.475*44/12</f>
        <v>1.281319611730645E-14</v>
      </c>
      <c r="AC125" s="22">
        <f t="shared" si="57"/>
        <v>11.471691532877713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74.96601334162861</v>
      </c>
      <c r="T126" s="59">
        <f t="shared" si="88"/>
        <v>372.48258675228851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10.565875537348374</v>
      </c>
      <c r="AA126" s="21">
        <f>EXP(-LN(2)/25)*AA125+(1-EXP(-LN(2)/25))/(LN(2)/25)*Calculateur!V126*Calculateur!X126*VLOOKUP('Données projet'!$B$9,Paramètres!$A$1:$I$89,3,0)*0.475*44/12</f>
        <v>0.67549084725091135</v>
      </c>
      <c r="AB126" s="21">
        <f>EXP(-LN(2)/2)*AB125+(1-EXP(-LN(2)/2))/(LN(2)/2)*V126*Y126*VLOOKUP('Données projet'!$B$9,Paramètres!$A$1:$I$89,3,0)*0.475*44/12</f>
        <v>9.0602978632205323E-15</v>
      </c>
      <c r="AC126" s="22">
        <f t="shared" si="57"/>
        <v>11.241366384599294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74.96601334162861</v>
      </c>
      <c r="T127" s="59">
        <f t="shared" si="88"/>
        <v>372.48258675228851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10.358685162608705</v>
      </c>
      <c r="AA127" s="21">
        <f>EXP(-LN(2)/25)*AA126+(1-EXP(-LN(2)/25))/(LN(2)/25)*Calculateur!V127*Calculateur!X127*VLOOKUP('Données projet'!$B$9,Paramètres!$A$1:$I$89,3,0)*0.475*44/12</f>
        <v>0.65701951451031537</v>
      </c>
      <c r="AB127" s="21">
        <f>EXP(-LN(2)/2)*AB126+(1-EXP(-LN(2)/2))/(LN(2)/2)*V127*Y127*VLOOKUP('Données projet'!$B$9,Paramètres!$A$1:$I$89,3,0)*0.475*44/12</f>
        <v>6.4065980586532251E-15</v>
      </c>
      <c r="AC127" s="22">
        <f t="shared" si="57"/>
        <v>11.015704677119027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74.96601334162861</v>
      </c>
      <c r="T128" s="59">
        <f t="shared" si="88"/>
        <v>372.48258675228851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10.155557664744029</v>
      </c>
      <c r="AA128" s="21">
        <f>EXP(-LN(2)/25)*AA127+(1-EXP(-LN(2)/25))/(LN(2)/25)*Calculateur!V128*Calculateur!X128*VLOOKUP('Données projet'!$B$9,Paramètres!$A$1:$I$89,3,0)*0.475*44/12</f>
        <v>0.63905328133487616</v>
      </c>
      <c r="AB128" s="21">
        <f>EXP(-LN(2)/2)*AB127+(1-EXP(-LN(2)/2))/(LN(2)/2)*V128*Y128*VLOOKUP('Données projet'!$B$9,Paramètres!$A$1:$I$89,3,0)*0.475*44/12</f>
        <v>4.5301489316102661E-15</v>
      </c>
      <c r="AC128" s="22">
        <f t="shared" si="57"/>
        <v>10.79461094607891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74.96601334162861</v>
      </c>
      <c r="T129" s="59">
        <f t="shared" si="88"/>
        <v>372.48258675228851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9.9564133732169395</v>
      </c>
      <c r="AA129" s="21">
        <f>EXP(-LN(2)/25)*AA128+(1-EXP(-LN(2)/25))/(LN(2)/25)*Calculateur!V129*Calculateur!X129*VLOOKUP('Données projet'!$B$9,Paramètres!$A$1:$I$89,3,0)*0.475*44/12</f>
        <v>0.62157833575042243</v>
      </c>
      <c r="AB129" s="21">
        <f>EXP(-LN(2)/2)*AB128+(1-EXP(-LN(2)/2))/(LN(2)/2)*V129*Y129*VLOOKUP('Données projet'!$B$9,Paramètres!$A$1:$I$89,3,0)*0.475*44/12</f>
        <v>3.2032990293266125E-15</v>
      </c>
      <c r="AC129" s="22">
        <f t="shared" si="57"/>
        <v>10.577991708967366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74.96601334162861</v>
      </c>
      <c r="T130" s="59">
        <f t="shared" si="88"/>
        <v>372.48258675228851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9.7611741797806726</v>
      </c>
      <c r="AA130" s="21">
        <f>EXP(-LN(2)/25)*AA129+(1-EXP(-LN(2)/25))/(LN(2)/25)*Calculateur!V130*Calculateur!X130*VLOOKUP('Données projet'!$B$9,Paramètres!$A$1:$I$89,3,0)*0.475*44/12</f>
        <v>0.60458124347194309</v>
      </c>
      <c r="AB130" s="21">
        <f>EXP(-LN(2)/2)*AB129+(1-EXP(-LN(2)/2))/(LN(2)/2)*V130*Y130*VLOOKUP('Données projet'!$B$9,Paramètres!$A$1:$I$89,3,0)*0.475*44/12</f>
        <v>2.2650744658051331E-15</v>
      </c>
      <c r="AC130" s="22">
        <f t="shared" si="57"/>
        <v>10.365755423252617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74.96601334162861</v>
      </c>
      <c r="T131" s="59">
        <f t="shared" si="88"/>
        <v>372.48258675228851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9.5697635078435415</v>
      </c>
      <c r="AA131" s="21">
        <f>EXP(-LN(2)/25)*AA130+(1-EXP(-LN(2)/25))/(LN(2)/25)*Calculateur!V131*Calculateur!X131*VLOOKUP('Données projet'!$B$9,Paramètres!$A$1:$I$89,3,0)*0.475*44/12</f>
        <v>0.58804893757565702</v>
      </c>
      <c r="AB131" s="21">
        <f>EXP(-LN(2)/2)*AB130+(1-EXP(-LN(2)/2))/(LN(2)/2)*V131*Y131*VLOOKUP('Données projet'!$B$9,Paramètres!$A$1:$I$89,3,0)*0.475*44/12</f>
        <v>1.6016495146633063E-15</v>
      </c>
      <c r="AC131" s="22">
        <f t="shared" si="57"/>
        <v>10.1578124454192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74.96601334162861</v>
      </c>
      <c r="T132" s="59">
        <f t="shared" si="88"/>
        <v>372.48258675228851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9.3821062824341155</v>
      </c>
      <c r="AA132" s="21">
        <f>EXP(-LN(2)/25)*AA131+(1-EXP(-LN(2)/25))/(LN(2)/25)*Calculateur!V132*Calculateur!X132*VLOOKUP('Données projet'!$B$9,Paramètres!$A$1:$I$89,3,0)*0.475*44/12</f>
        <v>0.57196870845350101</v>
      </c>
      <c r="AB132" s="21">
        <f>EXP(-LN(2)/2)*AB131+(1-EXP(-LN(2)/2))/(LN(2)/2)*V132*Y132*VLOOKUP('Données projet'!$B$9,Paramètres!$A$1:$I$89,3,0)*0.475*44/12</f>
        <v>1.1325372329025665E-15</v>
      </c>
      <c r="AC132" s="22">
        <f t="shared" ref="AC132:AC153" si="111">SUM(Z132:AB132)</f>
        <v>9.9540749908876176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74.96601334162861</v>
      </c>
      <c r="T133" s="59">
        <f t="shared" ref="T133:T196" si="142">$T$3</f>
        <v>372.48258675228851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9.1981289007553624</v>
      </c>
      <c r="AA133" s="21">
        <f>EXP(-LN(2)/25)*AA132+(1-EXP(-LN(2)/25))/(LN(2)/25)*Calculateur!V133*Calculateur!X133*VLOOKUP('Données projet'!$B$9,Paramètres!$A$1:$I$89,3,0)*0.475*44/12</f>
        <v>0.55632819404231293</v>
      </c>
      <c r="AB133" s="21">
        <f>EXP(-LN(2)/2)*AB132+(1-EXP(-LN(2)/2))/(LN(2)/2)*V133*Y133*VLOOKUP('Données projet'!$B$9,Paramètres!$A$1:$I$89,3,0)*0.475*44/12</f>
        <v>8.0082475733165313E-16</v>
      </c>
      <c r="AC133" s="22">
        <f t="shared" si="111"/>
        <v>9.7544570947976759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74.96601334162861</v>
      </c>
      <c r="T134" s="59">
        <f t="shared" si="142"/>
        <v>372.48258675228851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9.0177592033162082</v>
      </c>
      <c r="AA134" s="21">
        <f>EXP(-LN(2)/25)*AA133+(1-EXP(-LN(2)/25))/(LN(2)/25)*Calculateur!V134*Calculateur!X134*VLOOKUP('Données projet'!$B$9,Paramètres!$A$1:$I$89,3,0)*0.475*44/12</f>
        <v>0.54111537032019763</v>
      </c>
      <c r="AB134" s="21">
        <f>EXP(-LN(2)/2)*AB133+(1-EXP(-LN(2)/2))/(LN(2)/2)*V134*Y134*VLOOKUP('Données projet'!$B$9,Paramètres!$A$1:$I$89,3,0)*0.475*44/12</f>
        <v>5.6626861645128327E-16</v>
      </c>
      <c r="AC134" s="22">
        <f t="shared" si="111"/>
        <v>9.5588745736364054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74.96601334162861</v>
      </c>
      <c r="T135" s="59">
        <f t="shared" si="142"/>
        <v>372.48258675228851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8.840926445629183</v>
      </c>
      <c r="AA135" s="21">
        <f>EXP(-LN(2)/25)*AA134+(1-EXP(-LN(2)/25))/(LN(2)/25)*Calculateur!V135*Calculateur!X135*VLOOKUP('Données projet'!$B$9,Paramètres!$A$1:$I$89,3,0)*0.475*44/12</f>
        <v>0.52631854206277129</v>
      </c>
      <c r="AB135" s="21">
        <f>EXP(-LN(2)/2)*AB134+(1-EXP(-LN(2)/2))/(LN(2)/2)*V135*Y135*VLOOKUP('Données projet'!$B$9,Paramètres!$A$1:$I$89,3,0)*0.475*44/12</f>
        <v>4.0041237866582657E-16</v>
      </c>
      <c r="AC135" s="22">
        <f t="shared" si="111"/>
        <v>9.3672449876919543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74.96601334162861</v>
      </c>
      <c r="T136" s="59">
        <f t="shared" si="142"/>
        <v>372.48258675228851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8.667561270463068</v>
      </c>
      <c r="AA136" s="21">
        <f>EXP(-LN(2)/25)*AA135+(1-EXP(-LN(2)/25))/(LN(2)/25)*Calculateur!V136*Calculateur!X136*VLOOKUP('Données projet'!$B$9,Paramètres!$A$1:$I$89,3,0)*0.475*44/12</f>
        <v>0.51192633385217556</v>
      </c>
      <c r="AB136" s="21">
        <f>EXP(-LN(2)/2)*AB135+(1-EXP(-LN(2)/2))/(LN(2)/2)*V136*Y136*VLOOKUP('Données projet'!$B$9,Paramètres!$A$1:$I$89,3,0)*0.475*44/12</f>
        <v>2.8313430822564163E-16</v>
      </c>
      <c r="AC136" s="22">
        <f t="shared" si="111"/>
        <v>9.1794876043152431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74.96601334162861</v>
      </c>
      <c r="T137" s="59">
        <f t="shared" si="142"/>
        <v>372.48258675228851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8.4975956806396447</v>
      </c>
      <c r="AA137" s="21">
        <f>EXP(-LN(2)/25)*AA136+(1-EXP(-LN(2)/25))/(LN(2)/25)*Calculateur!V137*Calculateur!X137*VLOOKUP('Données projet'!$B$9,Paramètres!$A$1:$I$89,3,0)*0.475*44/12</f>
        <v>0.49792768133195192</v>
      </c>
      <c r="AB137" s="21">
        <f>EXP(-LN(2)/2)*AB136+(1-EXP(-LN(2)/2))/(LN(2)/2)*V137*Y137*VLOOKUP('Données projet'!$B$9,Paramètres!$A$1:$I$89,3,0)*0.475*44/12</f>
        <v>2.0020618933291328E-16</v>
      </c>
      <c r="AC137" s="22">
        <f t="shared" si="111"/>
        <v>8.9955233619715962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74.96601334162861</v>
      </c>
      <c r="T138" s="59">
        <f t="shared" si="142"/>
        <v>372.48258675228851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8.3309630123638847</v>
      </c>
      <c r="AA138" s="21">
        <f>EXP(-LN(2)/25)*AA137+(1-EXP(-LN(2)/25))/(LN(2)/25)*Calculateur!V138*Calculateur!X138*VLOOKUP('Données projet'!$B$9,Paramètres!$A$1:$I$89,3,0)*0.475*44/12</f>
        <v>0.48431182270105094</v>
      </c>
      <c r="AB138" s="21">
        <f>EXP(-LN(2)/2)*AB137+(1-EXP(-LN(2)/2))/(LN(2)/2)*V138*Y138*VLOOKUP('Données projet'!$B$9,Paramètres!$A$1:$I$89,3,0)*0.475*44/12</f>
        <v>1.4156715411282082E-16</v>
      </c>
      <c r="AC138" s="22">
        <f t="shared" si="111"/>
        <v>8.815274835064935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74.96601334162861</v>
      </c>
      <c r="T139" s="59">
        <f t="shared" si="142"/>
        <v>372.48258675228851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8.1675979090771218</v>
      </c>
      <c r="AA139" s="21">
        <f>EXP(-LN(2)/25)*AA138+(1-EXP(-LN(2)/25))/(LN(2)/25)*Calculateur!V139*Calculateur!X139*VLOOKUP('Données projet'!$B$9,Paramètres!$A$1:$I$89,3,0)*0.475*44/12</f>
        <v>0.47106829044043885</v>
      </c>
      <c r="AB139" s="21">
        <f>EXP(-LN(2)/2)*AB138+(1-EXP(-LN(2)/2))/(LN(2)/2)*V139*Y139*VLOOKUP('Données projet'!$B$9,Paramètres!$A$1:$I$89,3,0)*0.475*44/12</f>
        <v>1.0010309466645664E-16</v>
      </c>
      <c r="AC139" s="22">
        <f t="shared" si="111"/>
        <v>8.6386661995175604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74.96601334162861</v>
      </c>
      <c r="T140" s="59">
        <f t="shared" si="142"/>
        <v>372.48258675228851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8.0074362958229379</v>
      </c>
      <c r="AA140" s="21">
        <f>EXP(-LN(2)/25)*AA139+(1-EXP(-LN(2)/25))/(LN(2)/25)*Calculateur!V140*Calculateur!X140*VLOOKUP('Données projet'!$B$9,Paramètres!$A$1:$I$89,3,0)*0.475*44/12</f>
        <v>0.4581869032659403</v>
      </c>
      <c r="AB140" s="21">
        <f>EXP(-LN(2)/2)*AB139+(1-EXP(-LN(2)/2))/(LN(2)/2)*V140*Y140*VLOOKUP('Données projet'!$B$9,Paramètres!$A$1:$I$89,3,0)*0.475*44/12</f>
        <v>7.0783577056410408E-17</v>
      </c>
      <c r="AC140" s="22">
        <f t="shared" si="111"/>
        <v>8.4656231990888777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74.96601334162861</v>
      </c>
      <c r="T141" s="59">
        <f t="shared" si="142"/>
        <v>372.48258675228851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7.8504153541157304</v>
      </c>
      <c r="AA141" s="21">
        <f>EXP(-LN(2)/25)*AA140+(1-EXP(-LN(2)/25))/(LN(2)/25)*Calculateur!V141*Calculateur!X141*VLOOKUP('Données projet'!$B$9,Paramètres!$A$1:$I$89,3,0)*0.475*44/12</f>
        <v>0.44565775830113113</v>
      </c>
      <c r="AB141" s="21">
        <f>EXP(-LN(2)/2)*AB140+(1-EXP(-LN(2)/2))/(LN(2)/2)*V141*Y141*VLOOKUP('Données projet'!$B$9,Paramètres!$A$1:$I$89,3,0)*0.475*44/12</f>
        <v>5.0051547333228321E-17</v>
      </c>
      <c r="AC141" s="22">
        <f t="shared" si="111"/>
        <v>8.2960731124168614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74.96601334162861</v>
      </c>
      <c r="T142" s="59">
        <f t="shared" si="142"/>
        <v>372.48258675228851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7.6964734973020832</v>
      </c>
      <c r="AA142" s="21">
        <f>EXP(-LN(2)/25)*AA141+(1-EXP(-LN(2)/25))/(LN(2)/25)*Calculateur!V142*Calculateur!X142*VLOOKUP('Données projet'!$B$9,Paramètres!$A$1:$I$89,3,0)*0.475*44/12</f>
        <v>0.43347122346426376</v>
      </c>
      <c r="AB142" s="21">
        <f>EXP(-LN(2)/2)*AB141+(1-EXP(-LN(2)/2))/(LN(2)/2)*V142*Y142*VLOOKUP('Données projet'!$B$9,Paramètres!$A$1:$I$89,3,0)*0.475*44/12</f>
        <v>3.5391788528205204E-17</v>
      </c>
      <c r="AC142" s="22">
        <f t="shared" si="111"/>
        <v>8.1299447207663462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74.96601334162861</v>
      </c>
      <c r="T143" s="59">
        <f t="shared" si="142"/>
        <v>372.48258675228851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7.5455503464052907</v>
      </c>
      <c r="AA143" s="21">
        <f>EXP(-LN(2)/25)*AA142+(1-EXP(-LN(2)/25))/(LN(2)/25)*Calculateur!V143*Calculateur!X143*VLOOKUP('Données projet'!$B$9,Paramètres!$A$1:$I$89,3,0)*0.475*44/12</f>
        <v>0.42161793006337256</v>
      </c>
      <c r="AB143" s="21">
        <f>EXP(-LN(2)/2)*AB142+(1-EXP(-LN(2)/2))/(LN(2)/2)*V143*Y143*VLOOKUP('Données projet'!$B$9,Paramètres!$A$1:$I$89,3,0)*0.475*44/12</f>
        <v>2.502577366661416E-17</v>
      </c>
      <c r="AC143" s="22">
        <f t="shared" si="111"/>
        <v>7.9671682764686631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74.96601334162861</v>
      </c>
      <c r="T144" s="59">
        <f t="shared" si="142"/>
        <v>372.48258675228851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7.3975867064435521</v>
      </c>
      <c r="AA144" s="21">
        <f>EXP(-LN(2)/25)*AA143+(1-EXP(-LN(2)/25))/(LN(2)/25)*Calculateur!V144*Calculateur!X144*VLOOKUP('Données projet'!$B$9,Paramètres!$A$1:$I$89,3,0)*0.475*44/12</f>
        <v>0.41008876559386631</v>
      </c>
      <c r="AB144" s="21">
        <f>EXP(-LN(2)/2)*AB143+(1-EXP(-LN(2)/2))/(LN(2)/2)*V144*Y144*VLOOKUP('Données projet'!$B$9,Paramètres!$A$1:$I$89,3,0)*0.475*44/12</f>
        <v>1.7695894264102602E-17</v>
      </c>
      <c r="AC144" s="22">
        <f t="shared" si="111"/>
        <v>7.8076754720374186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74.96601334162861</v>
      </c>
      <c r="T145" s="59">
        <f t="shared" si="142"/>
        <v>372.48258675228851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7.2525245432125542</v>
      </c>
      <c r="AA145" s="21">
        <f>EXP(-LN(2)/25)*AA144+(1-EXP(-LN(2)/25))/(LN(2)/25)*Calculateur!V145*Calculateur!X145*VLOOKUP('Données projet'!$B$9,Paramètres!$A$1:$I$89,3,0)*0.475*44/12</f>
        <v>0.3988748667330711</v>
      </c>
      <c r="AB145" s="21">
        <f>EXP(-LN(2)/2)*AB144+(1-EXP(-LN(2)/2))/(LN(2)/2)*V145*Y145*VLOOKUP('Données projet'!$B$9,Paramètres!$A$1:$I$89,3,0)*0.475*44/12</f>
        <v>1.251288683330708E-17</v>
      </c>
      <c r="AC145" s="22">
        <f t="shared" si="111"/>
        <v>7.6513994099456255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74.96601334162861</v>
      </c>
      <c r="T146" s="59">
        <f t="shared" si="142"/>
        <v>372.48258675228851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7.1103069605233324</v>
      </c>
      <c r="AA146" s="21">
        <f>EXP(-LN(2)/25)*AA145+(1-EXP(-LN(2)/25))/(LN(2)/25)*Calculateur!V146*Calculateur!X146*VLOOKUP('Données projet'!$B$9,Paramètres!$A$1:$I$89,3,0)*0.475*44/12</f>
        <v>0.38796761252633766</v>
      </c>
      <c r="AB146" s="21">
        <f>EXP(-LN(2)/2)*AB145+(1-EXP(-LN(2)/2))/(LN(2)/2)*V146*Y146*VLOOKUP('Données projet'!$B$9,Paramètres!$A$1:$I$89,3,0)*0.475*44/12</f>
        <v>8.847947132051301E-18</v>
      </c>
      <c r="AC146" s="22">
        <f t="shared" si="111"/>
        <v>7.4982745730496703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74.96601334162861</v>
      </c>
      <c r="T147" s="59">
        <f t="shared" si="142"/>
        <v>372.48258675228851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6.9708781778864868</v>
      </c>
      <c r="AA147" s="21">
        <f>EXP(-LN(2)/25)*AA146+(1-EXP(-LN(2)/25))/(LN(2)/25)*Calculateur!V147*Calculateur!X147*VLOOKUP('Données projet'!$B$9,Paramètres!$A$1:$I$89,3,0)*0.475*44/12</f>
        <v>0.37735861775947493</v>
      </c>
      <c r="AB147" s="21">
        <f>EXP(-LN(2)/2)*AB146+(1-EXP(-LN(2)/2))/(LN(2)/2)*V147*Y147*VLOOKUP('Données projet'!$B$9,Paramètres!$A$1:$I$89,3,0)*0.475*44/12</f>
        <v>6.2564434166535401E-18</v>
      </c>
      <c r="AC147" s="22">
        <f t="shared" si="111"/>
        <v>7.3482367956459615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74.96601334162861</v>
      </c>
      <c r="T148" s="59">
        <f t="shared" si="142"/>
        <v>372.48258675228851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6.8341835086339895</v>
      </c>
      <c r="AA148" s="21">
        <f>EXP(-LN(2)/25)*AA147+(1-EXP(-LN(2)/25))/(LN(2)/25)*Calculateur!V148*Calculateur!X148*VLOOKUP('Données projet'!$B$9,Paramètres!$A$1:$I$89,3,0)*0.475*44/12</f>
        <v>0.36703972651241484</v>
      </c>
      <c r="AB148" s="21">
        <f>EXP(-LN(2)/2)*AB147+(1-EXP(-LN(2)/2))/(LN(2)/2)*V148*Y148*VLOOKUP('Données projet'!$B$9,Paramètres!$A$1:$I$89,3,0)*0.475*44/12</f>
        <v>4.4239735660256505E-18</v>
      </c>
      <c r="AC148" s="22">
        <f t="shared" si="111"/>
        <v>7.2012232351464043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74.96601334162861</v>
      </c>
      <c r="T149" s="59">
        <f t="shared" si="142"/>
        <v>372.48258675228851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6.7001693384700181</v>
      </c>
      <c r="AA149" s="21">
        <f>EXP(-LN(2)/25)*AA148+(1-EXP(-LN(2)/25))/(LN(2)/25)*Calculateur!V149*Calculateur!X149*VLOOKUP('Données projet'!$B$9,Paramètres!$A$1:$I$89,3,0)*0.475*44/12</f>
        <v>0.35700300588915251</v>
      </c>
      <c r="AB149" s="21">
        <f>EXP(-LN(2)/2)*AB148+(1-EXP(-LN(2)/2))/(LN(2)/2)*V149*Y149*VLOOKUP('Données projet'!$B$9,Paramètres!$A$1:$I$89,3,0)*0.475*44/12</f>
        <v>3.1282217083267701E-18</v>
      </c>
      <c r="AC149" s="22">
        <f t="shared" si="111"/>
        <v>7.057172344359171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74.96601334162861</v>
      </c>
      <c r="T150" s="59">
        <f t="shared" si="142"/>
        <v>372.48258675228851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6.5687831044423897</v>
      </c>
      <c r="AA150" s="21">
        <f>EXP(-LN(2)/25)*AA149+(1-EXP(-LN(2)/25))/(LN(2)/25)*Calculateur!V150*Calculateur!X150*VLOOKUP('Données projet'!$B$9,Paramètres!$A$1:$I$89,3,0)*0.475*44/12</f>
        <v>0.34724073991914151</v>
      </c>
      <c r="AB150" s="21">
        <f>EXP(-LN(2)/2)*AB149+(1-EXP(-LN(2)/2))/(LN(2)/2)*V150*Y150*VLOOKUP('Données projet'!$B$9,Paramètres!$A$1:$I$89,3,0)*0.475*44/12</f>
        <v>2.2119867830128253E-18</v>
      </c>
      <c r="AC150" s="22">
        <f t="shared" si="111"/>
        <v>6.9160238443615309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74.96601334162861</v>
      </c>
      <c r="T151" s="59">
        <f t="shared" si="142"/>
        <v>372.48258675228851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6.4399732743263529</v>
      </c>
      <c r="AA151" s="21">
        <f>EXP(-LN(2)/25)*AA150+(1-EXP(-LN(2)/25))/(LN(2)/25)*Calculateur!V151*Calculateur!X151*VLOOKUP('Données projet'!$B$9,Paramètres!$A$1:$I$89,3,0)*0.475*44/12</f>
        <v>0.33774542362545568</v>
      </c>
      <c r="AB151" s="21">
        <f>EXP(-LN(2)/2)*AB150+(1-EXP(-LN(2)/2))/(LN(2)/2)*V151*Y151*VLOOKUP('Données projet'!$B$9,Paramètres!$A$1:$I$89,3,0)*0.475*44/12</f>
        <v>1.564110854163385E-18</v>
      </c>
      <c r="AC151" s="22">
        <f t="shared" si="111"/>
        <v>6.7777186979518085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74.96601334162861</v>
      </c>
      <c r="T152" s="59">
        <f t="shared" si="142"/>
        <v>372.48258675228851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6.3136893264126535</v>
      </c>
      <c r="AA152" s="21">
        <f>EXP(-LN(2)/25)*AA151+(1-EXP(-LN(2)/25))/(LN(2)/25)*Calculateur!V152*Calculateur!X152*VLOOKUP('Données projet'!$B$9,Paramètres!$A$1:$I$89,3,0)*0.475*44/12</f>
        <v>0.32850975725515769</v>
      </c>
      <c r="AB152" s="21">
        <f>EXP(-LN(2)/2)*AB151+(1-EXP(-LN(2)/2))/(LN(2)/2)*V152*Y152*VLOOKUP('Données projet'!$B$9,Paramètres!$A$1:$I$89,3,0)*0.475*44/12</f>
        <v>1.1059933915064126E-18</v>
      </c>
      <c r="AC152" s="22">
        <f t="shared" si="111"/>
        <v>6.6421990836678111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74.96601334162861</v>
      </c>
      <c r="T153" s="59">
        <f t="shared" si="142"/>
        <v>372.48258675228851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6.1898817296919386</v>
      </c>
      <c r="AA153" s="21">
        <f>EXP(-LN(2)/25)*AA152+(1-EXP(-LN(2)/25))/(LN(2)/25)*Calculateur!V153*Calculateur!X153*VLOOKUP('Données projet'!$B$9,Paramètres!$A$1:$I$89,3,0)*0.475*44/12</f>
        <v>0.31952664066743808</v>
      </c>
      <c r="AB153" s="21">
        <f>EXP(-LN(2)/2)*AB152+(1-EXP(-LN(2)/2))/(LN(2)/2)*V153*Y153*VLOOKUP('Données projet'!$B$9,Paramètres!$A$1:$I$89,3,0)*0.475*44/12</f>
        <v>7.8205542708169251E-19</v>
      </c>
      <c r="AC153" s="22">
        <f t="shared" si="111"/>
        <v>6.5094083703593766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74.96601334162861</v>
      </c>
      <c r="T154" s="59">
        <f t="shared" si="142"/>
        <v>372.48258675228851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6.0685019244277392</v>
      </c>
      <c r="AA154" s="21">
        <f>EXP(-LN(2)/25)*AA153+(1-EXP(-LN(2)/25))/(LN(2)/25)*Calculateur!V154*Calculateur!X154*VLOOKUP('Données projet'!$B$9,Paramètres!$A$1:$I$89,3,0)*0.475*44/12</f>
        <v>0.31078916787521121</v>
      </c>
      <c r="AB154" s="21">
        <f>EXP(-LN(2)/2)*AB153+(1-EXP(-LN(2)/2))/(LN(2)/2)*V154*Y154*VLOOKUP('Données projet'!$B$9,Paramètres!$A$1:$I$89,3,0)*0.475*44/12</f>
        <v>5.5299669575320631E-19</v>
      </c>
      <c r="AC154" s="22">
        <f t="shared" ref="AC154:AC203" si="163">SUM(Z154:AB154)</f>
        <v>6.3792910923029504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74.96601334162861</v>
      </c>
      <c r="T155" s="59">
        <f t="shared" si="142"/>
        <v>372.48258675228851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5.9495023031103997</v>
      </c>
      <c r="AA155" s="21">
        <f>EXP(-LN(2)/25)*AA154+(1-EXP(-LN(2)/25))/(LN(2)/25)*Calculateur!V155*Calculateur!X155*VLOOKUP('Données projet'!$B$9,Paramètres!$A$1:$I$89,3,0)*0.475*44/12</f>
        <v>0.30229062173597154</v>
      </c>
      <c r="AB155" s="21">
        <f>EXP(-LN(2)/2)*AB154+(1-EXP(-LN(2)/2))/(LN(2)/2)*V155*Y155*VLOOKUP('Données projet'!$B$9,Paramètres!$A$1:$I$89,3,0)*0.475*44/12</f>
        <v>3.9102771354084626E-19</v>
      </c>
      <c r="AC155" s="22">
        <f t="shared" si="163"/>
        <v>6.2517929248463711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74.96601334162861</v>
      </c>
      <c r="T156" s="59">
        <f t="shared" si="142"/>
        <v>372.48258675228851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5.8328361917844918</v>
      </c>
      <c r="AA156" s="21">
        <f>EXP(-LN(2)/25)*AA155+(1-EXP(-LN(2)/25))/(LN(2)/25)*Calculateur!V156*Calculateur!X156*VLOOKUP('Données projet'!$B$9,Paramètres!$A$1:$I$89,3,0)*0.475*44/12</f>
        <v>0.29402446878782851</v>
      </c>
      <c r="AB156" s="21">
        <f>EXP(-LN(2)/2)*AB155+(1-EXP(-LN(2)/2))/(LN(2)/2)*V156*Y156*VLOOKUP('Données projet'!$B$9,Paramètres!$A$1:$I$89,3,0)*0.475*44/12</f>
        <v>2.7649834787660316E-19</v>
      </c>
      <c r="AC156" s="22">
        <f t="shared" si="163"/>
        <v>6.1268606605723201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74.96601334162861</v>
      </c>
      <c r="T157" s="59">
        <f t="shared" si="142"/>
        <v>372.48258675228851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5.7184578317423833</v>
      </c>
      <c r="AA157" s="21">
        <f>EXP(-LN(2)/25)*AA156+(1-EXP(-LN(2)/25))/(LN(2)/25)*Calculateur!V157*Calculateur!X157*VLOOKUP('Données projet'!$B$9,Paramètres!$A$1:$I$89,3,0)*0.475*44/12</f>
        <v>0.2859843542267505</v>
      </c>
      <c r="AB157" s="21">
        <f>EXP(-LN(2)/2)*AB156+(1-EXP(-LN(2)/2))/(LN(2)/2)*V157*Y157*VLOOKUP('Données projet'!$B$9,Paramètres!$A$1:$I$89,3,0)*0.475*44/12</f>
        <v>1.9551385677042313E-19</v>
      </c>
      <c r="AC157" s="22">
        <f t="shared" si="163"/>
        <v>6.0044421859691335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74.96601334162861</v>
      </c>
      <c r="T158" s="59">
        <f t="shared" si="142"/>
        <v>372.48258675228851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5.6063223615767894</v>
      </c>
      <c r="AA158" s="21">
        <f>EXP(-LN(2)/25)*AA157+(1-EXP(-LN(2)/25))/(LN(2)/25)*Calculateur!V158*Calculateur!X158*VLOOKUP('Données projet'!$B$9,Paramètres!$A$1:$I$89,3,0)*0.475*44/12</f>
        <v>0.27816409702115646</v>
      </c>
      <c r="AB158" s="21">
        <f>EXP(-LN(2)/2)*AB157+(1-EXP(-LN(2)/2))/(LN(2)/2)*V158*Y158*VLOOKUP('Données projet'!$B$9,Paramètres!$A$1:$I$89,3,0)*0.475*44/12</f>
        <v>1.3824917393830158E-19</v>
      </c>
      <c r="AC158" s="22">
        <f t="shared" si="163"/>
        <v>5.8844864585979462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74.96601334162861</v>
      </c>
      <c r="T159" s="59">
        <f t="shared" si="142"/>
        <v>372.48258675228851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5.4963857995852594</v>
      </c>
      <c r="AA159" s="21">
        <f>EXP(-LN(2)/25)*AA158+(1-EXP(-LN(2)/25))/(LN(2)/25)*Calculateur!V159*Calculateur!X159*VLOOKUP('Données projet'!$B$9,Paramètres!$A$1:$I$89,3,0)*0.475*44/12</f>
        <v>0.27055768516009882</v>
      </c>
      <c r="AB159" s="21">
        <f>EXP(-LN(2)/2)*AB158+(1-EXP(-LN(2)/2))/(LN(2)/2)*V159*Y159*VLOOKUP('Données projet'!$B$9,Paramètres!$A$1:$I$89,3,0)*0.475*44/12</f>
        <v>9.7756928385211564E-20</v>
      </c>
      <c r="AC159" s="22">
        <f t="shared" si="163"/>
        <v>5.766943484745358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74.96601334162861</v>
      </c>
      <c r="T160" s="59">
        <f t="shared" si="142"/>
        <v>372.48258675228851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5.3886050265197021</v>
      </c>
      <c r="AA160" s="21">
        <f>EXP(-LN(2)/25)*AA159+(1-EXP(-LN(2)/25))/(LN(2)/25)*Calculateur!V160*Calculateur!X160*VLOOKUP('Données projet'!$B$9,Paramètres!$A$1:$I$89,3,0)*0.475*44/12</f>
        <v>0.26315927103138564</v>
      </c>
      <c r="AB160" s="21">
        <f>EXP(-LN(2)/2)*AB159+(1-EXP(-LN(2)/2))/(LN(2)/2)*V160*Y160*VLOOKUP('Données projet'!$B$9,Paramètres!$A$1:$I$89,3,0)*0.475*44/12</f>
        <v>6.9124586969150789E-20</v>
      </c>
      <c r="AC160" s="22">
        <f t="shared" si="163"/>
        <v>5.6517642975510878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74.96601334162861</v>
      </c>
      <c r="T161" s="59">
        <f t="shared" si="142"/>
        <v>372.48258675228851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5.2829377686741799</v>
      </c>
      <c r="AA161" s="21">
        <f>EXP(-LN(2)/25)*AA160+(1-EXP(-LN(2)/25))/(LN(2)/25)*Calculateur!V161*Calculateur!X161*VLOOKUP('Données projet'!$B$9,Paramètres!$A$1:$I$89,3,0)*0.475*44/12</f>
        <v>0.25596316692608778</v>
      </c>
      <c r="AB161" s="21">
        <f>EXP(-LN(2)/2)*AB160+(1-EXP(-LN(2)/2))/(LN(2)/2)*V161*Y161*VLOOKUP('Données projet'!$B$9,Paramètres!$A$1:$I$89,3,0)*0.475*44/12</f>
        <v>4.8878464192605782E-20</v>
      </c>
      <c r="AC161" s="22">
        <f t="shared" si="163"/>
        <v>5.5389009356002674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74.96601334162861</v>
      </c>
      <c r="T162" s="59">
        <f t="shared" si="142"/>
        <v>372.48258675228851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5.1793425813043452</v>
      </c>
      <c r="AA162" s="21">
        <f>EXP(-LN(2)/25)*AA161+(1-EXP(-LN(2)/25))/(LN(2)/25)*Calculateur!V162*Calculateur!X162*VLOOKUP('Données projet'!$B$9,Paramètres!$A$1:$I$89,3,0)*0.475*44/12</f>
        <v>0.24896384066597596</v>
      </c>
      <c r="AB162" s="21">
        <f>EXP(-LN(2)/2)*AB161+(1-EXP(-LN(2)/2))/(LN(2)/2)*V162*Y162*VLOOKUP('Données projet'!$B$9,Paramètres!$A$1:$I$89,3,0)*0.475*44/12</f>
        <v>3.4562293484575395E-20</v>
      </c>
      <c r="AC162" s="22">
        <f t="shared" si="163"/>
        <v>5.428306421970321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74.96601334162861</v>
      </c>
      <c r="T163" s="59">
        <f t="shared" si="142"/>
        <v>372.48258675228851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5.0777788323720072</v>
      </c>
      <c r="AA163" s="21">
        <f>EXP(-LN(2)/25)*AA162+(1-EXP(-LN(2)/25))/(LN(2)/25)*Calculateur!V163*Calculateur!X163*VLOOKUP('Données projet'!$B$9,Paramètres!$A$1:$I$89,3,0)*0.475*44/12</f>
        <v>0.24215591135052547</v>
      </c>
      <c r="AB163" s="21">
        <f>EXP(-LN(2)/2)*AB162+(1-EXP(-LN(2)/2))/(LN(2)/2)*V163*Y163*VLOOKUP('Données projet'!$B$9,Paramètres!$A$1:$I$89,3,0)*0.475*44/12</f>
        <v>2.4439232096302891E-20</v>
      </c>
      <c r="AC163" s="22">
        <f t="shared" si="163"/>
        <v>5.3199347437225324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74.96601334162861</v>
      </c>
      <c r="T164" s="59">
        <f t="shared" si="142"/>
        <v>372.48258675228851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4.9782066866084627</v>
      </c>
      <c r="AA164" s="21">
        <f>EXP(-LN(2)/25)*AA163+(1-EXP(-LN(2)/25))/(LN(2)/25)*Calculateur!V164*Calculateur!X164*VLOOKUP('Données projet'!$B$9,Paramètres!$A$1:$I$89,3,0)*0.475*44/12</f>
        <v>0.23553414522021943</v>
      </c>
      <c r="AB164" s="21">
        <f>EXP(-LN(2)/2)*AB163+(1-EXP(-LN(2)/2))/(LN(2)/2)*V164*Y164*VLOOKUP('Données projet'!$B$9,Paramètres!$A$1:$I$89,3,0)*0.475*44/12</f>
        <v>1.7281146742287697E-20</v>
      </c>
      <c r="AC164" s="22">
        <f t="shared" si="163"/>
        <v>5.213740831828682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74.96601334162861</v>
      </c>
      <c r="T165" s="59">
        <f t="shared" si="142"/>
        <v>372.48258675228851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4.8805870898903292</v>
      </c>
      <c r="AA165" s="21">
        <f>EXP(-LN(2)/25)*AA164+(1-EXP(-LN(2)/25))/(LN(2)/25)*Calculateur!V165*Calculateur!X165*VLOOKUP('Données projet'!$B$9,Paramètres!$A$1:$I$89,3,0)*0.475*44/12</f>
        <v>0.22909345163297015</v>
      </c>
      <c r="AB165" s="21">
        <f>EXP(-LN(2)/2)*AB164+(1-EXP(-LN(2)/2))/(LN(2)/2)*V165*Y165*VLOOKUP('Données projet'!$B$9,Paramètres!$A$1:$I$89,3,0)*0.475*44/12</f>
        <v>1.2219616048151446E-20</v>
      </c>
      <c r="AC165" s="22">
        <f t="shared" si="163"/>
        <v>5.1096805415232991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74.96601334162861</v>
      </c>
      <c r="T166" s="59">
        <f t="shared" si="142"/>
        <v>372.48258675228851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4.7848817539217636</v>
      </c>
      <c r="AA166" s="21">
        <f>EXP(-LN(2)/25)*AA165+(1-EXP(-LN(2)/25))/(LN(2)/25)*Calculateur!V166*Calculateur!X166*VLOOKUP('Données projet'!$B$9,Paramètres!$A$1:$I$89,3,0)*0.475*44/12</f>
        <v>0.22282887915056557</v>
      </c>
      <c r="AB166" s="21">
        <f>EXP(-LN(2)/2)*AB165+(1-EXP(-LN(2)/2))/(LN(2)/2)*V166*Y166*VLOOKUP('Données projet'!$B$9,Paramètres!$A$1:$I$89,3,0)*0.475*44/12</f>
        <v>8.6405733711438487E-21</v>
      </c>
      <c r="AC166" s="22">
        <f t="shared" si="163"/>
        <v>5.0077106330723291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74.96601334162861</v>
      </c>
      <c r="T167" s="59">
        <f t="shared" si="142"/>
        <v>372.48258675228851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4.6910531412170506</v>
      </c>
      <c r="AA167" s="21">
        <f>EXP(-LN(2)/25)*AA166+(1-EXP(-LN(2)/25))/(LN(2)/25)*Calculateur!V167*Calculateur!X167*VLOOKUP('Données projet'!$B$9,Paramètres!$A$1:$I$89,3,0)*0.475*44/12</f>
        <v>0.21673561173213188</v>
      </c>
      <c r="AB167" s="21">
        <f>EXP(-LN(2)/2)*AB166+(1-EXP(-LN(2)/2))/(LN(2)/2)*V167*Y167*VLOOKUP('Données projet'!$B$9,Paramètres!$A$1:$I$89,3,0)*0.475*44/12</f>
        <v>6.1098080240757228E-21</v>
      </c>
      <c r="AC167" s="22">
        <f t="shared" si="163"/>
        <v>4.9077887529491822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74.96601334162861</v>
      </c>
      <c r="T168" s="59">
        <f t="shared" si="142"/>
        <v>372.48258675228851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4.5990644503776741</v>
      </c>
      <c r="AA168" s="21">
        <f>EXP(-LN(2)/25)*AA167+(1-EXP(-LN(2)/25))/(LN(2)/25)*Calculateur!V168*Calculateur!X168*VLOOKUP('Données projet'!$B$9,Paramètres!$A$1:$I$89,3,0)*0.475*44/12</f>
        <v>0.21080896503168628</v>
      </c>
      <c r="AB168" s="21">
        <f>EXP(-LN(2)/2)*AB167+(1-EXP(-LN(2)/2))/(LN(2)/2)*V168*Y168*VLOOKUP('Données projet'!$B$9,Paramètres!$A$1:$I$89,3,0)*0.475*44/12</f>
        <v>4.3202866855719243E-21</v>
      </c>
      <c r="AC168" s="22">
        <f t="shared" si="163"/>
        <v>4.8098734154093608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74.96601334162861</v>
      </c>
      <c r="T169" s="59">
        <f t="shared" si="142"/>
        <v>372.48258675228851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4.508879601658097</v>
      </c>
      <c r="AA169" s="21">
        <f>EXP(-LN(2)/25)*AA168+(1-EXP(-LN(2)/25))/(LN(2)/25)*Calculateur!V169*Calculateur!X169*VLOOKUP('Données projet'!$B$9,Paramètres!$A$1:$I$89,3,0)*0.475*44/12</f>
        <v>0.20504438279693316</v>
      </c>
      <c r="AB169" s="21">
        <f>EXP(-LN(2)/2)*AB168+(1-EXP(-LN(2)/2))/(LN(2)/2)*V169*Y169*VLOOKUP('Données projet'!$B$9,Paramètres!$A$1:$I$89,3,0)*0.475*44/12</f>
        <v>3.0549040120378614E-21</v>
      </c>
      <c r="AC169" s="22">
        <f t="shared" si="163"/>
        <v>4.7139239844550298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74.96601334162861</v>
      </c>
      <c r="T170" s="59">
        <f t="shared" si="142"/>
        <v>372.48258675228851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4.4204632228145844</v>
      </c>
      <c r="AA170" s="21">
        <f>EXP(-LN(2)/25)*AA169+(1-EXP(-LN(2)/25))/(LN(2)/25)*Calculateur!V170*Calculateur!X170*VLOOKUP('Données projet'!$B$9,Paramètres!$A$1:$I$89,3,0)*0.475*44/12</f>
        <v>0.19943743336653555</v>
      </c>
      <c r="AB170" s="21">
        <f>EXP(-LN(2)/2)*AB169+(1-EXP(-LN(2)/2))/(LN(2)/2)*V170*Y170*VLOOKUP('Données projet'!$B$9,Paramètres!$A$1:$I$89,3,0)*0.475*44/12</f>
        <v>2.1601433427859622E-21</v>
      </c>
      <c r="AC170" s="22">
        <f t="shared" si="163"/>
        <v>4.6199006561811196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74.96601334162861</v>
      </c>
      <c r="T171" s="59">
        <f t="shared" si="142"/>
        <v>372.48258675228851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4.3337806352315269</v>
      </c>
      <c r="AA171" s="21">
        <f>EXP(-LN(2)/25)*AA170+(1-EXP(-LN(2)/25))/(LN(2)/25)*Calculateur!V171*Calculateur!X171*VLOOKUP('Données projet'!$B$9,Paramètres!$A$1:$I$89,3,0)*0.475*44/12</f>
        <v>0.19398380626316883</v>
      </c>
      <c r="AB171" s="21">
        <f>EXP(-LN(2)/2)*AB170+(1-EXP(-LN(2)/2))/(LN(2)/2)*V171*Y171*VLOOKUP('Données projet'!$B$9,Paramètres!$A$1:$I$89,3,0)*0.475*44/12</f>
        <v>1.5274520060189307E-21</v>
      </c>
      <c r="AC171" s="22">
        <f t="shared" si="163"/>
        <v>4.5277644414946954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74.96601334162861</v>
      </c>
      <c r="T172" s="59">
        <f t="shared" si="142"/>
        <v>372.48258675228851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4.2487978403198152</v>
      </c>
      <c r="AA172" s="21">
        <f>EXP(-LN(2)/25)*AA171+(1-EXP(-LN(2)/25))/(LN(2)/25)*Calculateur!V172*Calculateur!X172*VLOOKUP('Données projet'!$B$9,Paramètres!$A$1:$I$89,3,0)*0.475*44/12</f>
        <v>0.18867930887973747</v>
      </c>
      <c r="AB172" s="21">
        <f>EXP(-LN(2)/2)*AB171+(1-EXP(-LN(2)/2))/(LN(2)/2)*V172*Y172*VLOOKUP('Données projet'!$B$9,Paramètres!$A$1:$I$89,3,0)*0.475*44/12</f>
        <v>1.0800716713929811E-21</v>
      </c>
      <c r="AC172" s="22">
        <f t="shared" si="163"/>
        <v>4.4374771491995526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74.96601334162861</v>
      </c>
      <c r="T173" s="59">
        <f t="shared" si="142"/>
        <v>372.48258675228851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4.1654815061819361</v>
      </c>
      <c r="AA173" s="21">
        <f>EXP(-LN(2)/25)*AA172+(1-EXP(-LN(2)/25))/(LN(2)/25)*Calculateur!V173*Calculateur!X173*VLOOKUP('Données projet'!$B$9,Paramètres!$A$1:$I$89,3,0)*0.475*44/12</f>
        <v>0.18351986325620742</v>
      </c>
      <c r="AB173" s="21">
        <f>EXP(-LN(2)/2)*AB172+(1-EXP(-LN(2)/2))/(LN(2)/2)*V173*Y173*VLOOKUP('Données projet'!$B$9,Paramètres!$A$1:$I$89,3,0)*0.475*44/12</f>
        <v>7.6372600300946535E-22</v>
      </c>
      <c r="AC173" s="22">
        <f t="shared" si="163"/>
        <v>4.3490013694381435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74.96601334162861</v>
      </c>
      <c r="T174" s="59">
        <f t="shared" si="142"/>
        <v>372.48258675228851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4.0837989545385547</v>
      </c>
      <c r="AA174" s="21">
        <f>EXP(-LN(2)/25)*AA173+(1-EXP(-LN(2)/25))/(LN(2)/25)*Calculateur!V174*Calculateur!X174*VLOOKUP('Données projet'!$B$9,Paramètres!$A$1:$I$89,3,0)*0.475*44/12</f>
        <v>0.17850150294457626</v>
      </c>
      <c r="AB174" s="21">
        <f>EXP(-LN(2)/2)*AB173+(1-EXP(-LN(2)/2))/(LN(2)/2)*V174*Y174*VLOOKUP('Données projet'!$B$9,Paramètres!$A$1:$I$89,3,0)*0.475*44/12</f>
        <v>5.4003583569649054E-22</v>
      </c>
      <c r="AC174" s="22">
        <f t="shared" si="163"/>
        <v>4.2623004574831311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74.96601334162861</v>
      </c>
      <c r="T175" s="59">
        <f t="shared" si="142"/>
        <v>372.48258675228851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4.0037181479114627</v>
      </c>
      <c r="AA175" s="21">
        <f>EXP(-LN(2)/25)*AA174+(1-EXP(-LN(2)/25))/(LN(2)/25)*Calculateur!V175*Calculateur!X175*VLOOKUP('Données projet'!$B$9,Paramètres!$A$1:$I$89,3,0)*0.475*44/12</f>
        <v>0.17362036995957075</v>
      </c>
      <c r="AB175" s="21">
        <f>EXP(-LN(2)/2)*AB174+(1-EXP(-LN(2)/2))/(LN(2)/2)*V175*Y175*VLOOKUP('Données projet'!$B$9,Paramètres!$A$1:$I$89,3,0)*0.475*44/12</f>
        <v>3.8186300150473267E-22</v>
      </c>
      <c r="AC175" s="22">
        <f t="shared" si="163"/>
        <v>4.1773385178710338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74.96601334162861</v>
      </c>
      <c r="T176" s="59">
        <f t="shared" si="142"/>
        <v>372.48258675228851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3.925207677057859</v>
      </c>
      <c r="AA176" s="21">
        <f>EXP(-LN(2)/25)*AA175+(1-EXP(-LN(2)/25))/(LN(2)/25)*Calculateur!V176*Calculateur!X176*VLOOKUP('Données projet'!$B$9,Paramètres!$A$1:$I$89,3,0)*0.475*44/12</f>
        <v>0.16887271181272784</v>
      </c>
      <c r="AB176" s="21">
        <f>EXP(-LN(2)/2)*AB175+(1-EXP(-LN(2)/2))/(LN(2)/2)*V176*Y176*VLOOKUP('Données projet'!$B$9,Paramètres!$A$1:$I$89,3,0)*0.475*44/12</f>
        <v>2.7001791784824527E-22</v>
      </c>
      <c r="AC176" s="22">
        <f t="shared" si="163"/>
        <v>4.0940803888705872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74.96601334162861</v>
      </c>
      <c r="T177" s="59">
        <f t="shared" si="142"/>
        <v>372.48258675228851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3.8482367486510358</v>
      </c>
      <c r="AA177" s="21">
        <f>EXP(-LN(2)/25)*AA176+(1-EXP(-LN(2)/25))/(LN(2)/25)*Calculateur!V177*Calculateur!X177*VLOOKUP('Données projet'!$B$9,Paramètres!$A$1:$I$89,3,0)*0.475*44/12</f>
        <v>0.16425487862757884</v>
      </c>
      <c r="AB177" s="21">
        <f>EXP(-LN(2)/2)*AB176+(1-EXP(-LN(2)/2))/(LN(2)/2)*V177*Y177*VLOOKUP('Données projet'!$B$9,Paramètres!$A$1:$I$89,3,0)*0.475*44/12</f>
        <v>1.9093150075236634E-22</v>
      </c>
      <c r="AC177" s="22">
        <f t="shared" si="163"/>
        <v>4.0124916272786146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74.96601334162861</v>
      </c>
      <c r="T178" s="59">
        <f t="shared" si="142"/>
        <v>372.48258675228851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3.7727751732026396</v>
      </c>
      <c r="AA178" s="21">
        <f>EXP(-LN(2)/25)*AA177+(1-EXP(-LN(2)/25))/(LN(2)/25)*Calculateur!V178*Calculateur!X178*VLOOKUP('Données projet'!$B$9,Paramètres!$A$1:$I$89,3,0)*0.475*44/12</f>
        <v>0.15976332033371904</v>
      </c>
      <c r="AB178" s="21">
        <f>EXP(-LN(2)/2)*AB177+(1-EXP(-LN(2)/2))/(LN(2)/2)*V178*Y178*VLOOKUP('Données projet'!$B$9,Paramètres!$A$1:$I$89,3,0)*0.475*44/12</f>
        <v>1.3500895892412264E-22</v>
      </c>
      <c r="AC178" s="22">
        <f t="shared" si="163"/>
        <v>3.9325384935363585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74.96601334162861</v>
      </c>
      <c r="T179" s="59">
        <f t="shared" si="142"/>
        <v>372.48258675228851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3.6987933532217703</v>
      </c>
      <c r="AA179" s="21">
        <f>EXP(-LN(2)/25)*AA178+(1-EXP(-LN(2)/25))/(LN(2)/25)*Calculateur!V179*Calculateur!X179*VLOOKUP('Données projet'!$B$9,Paramètres!$A$1:$I$89,3,0)*0.475*44/12</f>
        <v>0.15539458393760561</v>
      </c>
      <c r="AB179" s="21">
        <f>EXP(-LN(2)/2)*AB178+(1-EXP(-LN(2)/2))/(LN(2)/2)*V179*Y179*VLOOKUP('Données projet'!$B$9,Paramètres!$A$1:$I$89,3,0)*0.475*44/12</f>
        <v>9.5465750376183168E-23</v>
      </c>
      <c r="AC179" s="22">
        <f t="shared" si="163"/>
        <v>3.8541879371593759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74.96601334162861</v>
      </c>
      <c r="T180" s="59">
        <f t="shared" si="142"/>
        <v>372.48258675228851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3.6262622716062713</v>
      </c>
      <c r="AA180" s="21">
        <f>EXP(-LN(2)/25)*AA179+(1-EXP(-LN(2)/25))/(LN(2)/25)*Calculateur!V180*Calculateur!X180*VLOOKUP('Données projet'!$B$9,Paramètres!$A$1:$I$89,3,0)*0.475*44/12</f>
        <v>0.15114531086798577</v>
      </c>
      <c r="AB180" s="21">
        <f>EXP(-LN(2)/2)*AB179+(1-EXP(-LN(2)/2))/(LN(2)/2)*V180*Y180*VLOOKUP('Données projet'!$B$9,Paramètres!$A$1:$I$89,3,0)*0.475*44/12</f>
        <v>6.7504479462061318E-23</v>
      </c>
      <c r="AC180" s="22">
        <f t="shared" si="163"/>
        <v>3.777407582474257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74.96601334162861</v>
      </c>
      <c r="T181" s="59">
        <f t="shared" si="142"/>
        <v>372.48258675228851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3.5551534802616609</v>
      </c>
      <c r="AA181" s="21">
        <f>EXP(-LN(2)/25)*AA180+(1-EXP(-LN(2)/25))/(LN(2)/25)*Calculateur!V181*Calculateur!X181*VLOOKUP('Données projet'!$B$9,Paramètres!$A$1:$I$89,3,0)*0.475*44/12</f>
        <v>0.14701223439391425</v>
      </c>
      <c r="AB181" s="21">
        <f>EXP(-LN(2)/2)*AB180+(1-EXP(-LN(2)/2))/(LN(2)/2)*V181*Y181*VLOOKUP('Données projet'!$B$9,Paramètres!$A$1:$I$89,3,0)*0.475*44/12</f>
        <v>4.7732875188091584E-23</v>
      </c>
      <c r="AC181" s="22">
        <f t="shared" si="163"/>
        <v>3.7021657146555751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74.96601334162861</v>
      </c>
      <c r="T182" s="59">
        <f t="shared" si="142"/>
        <v>372.48258675228851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3.4854390889432381</v>
      </c>
      <c r="AA182" s="21">
        <f>EXP(-LN(2)/25)*AA181+(1-EXP(-LN(2)/25))/(LN(2)/25)*Calculateur!V182*Calculateur!X182*VLOOKUP('Données projet'!$B$9,Paramètres!$A$1:$I$89,3,0)*0.475*44/12</f>
        <v>0.14299217711337525</v>
      </c>
      <c r="AB182" s="21">
        <f>EXP(-LN(2)/2)*AB181+(1-EXP(-LN(2)/2))/(LN(2)/2)*V182*Y182*VLOOKUP('Données projet'!$B$9,Paramètres!$A$1:$I$89,3,0)*0.475*44/12</f>
        <v>3.3752239731030659E-23</v>
      </c>
      <c r="AC182" s="22">
        <f t="shared" si="163"/>
        <v>3.6284312660566131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74.96601334162861</v>
      </c>
      <c r="T183" s="59">
        <f t="shared" si="142"/>
        <v>372.48258675228851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3.4170917543169894</v>
      </c>
      <c r="AA183" s="21">
        <f>EXP(-LN(2)/25)*AA182+(1-EXP(-LN(2)/25))/(LN(2)/25)*Calculateur!V183*Calculateur!X183*VLOOKUP('Données projet'!$B$9,Paramètres!$A$1:$I$89,3,0)*0.475*44/12</f>
        <v>0.13908204851057823</v>
      </c>
      <c r="AB183" s="21">
        <f>EXP(-LN(2)/2)*AB182+(1-EXP(-LN(2)/2))/(LN(2)/2)*V183*Y183*VLOOKUP('Données projet'!$B$9,Paramètres!$A$1:$I$89,3,0)*0.475*44/12</f>
        <v>2.3866437594045792E-23</v>
      </c>
      <c r="AC183" s="22">
        <f t="shared" si="163"/>
        <v>3.5561738028275678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74.96601334162861</v>
      </c>
      <c r="T184" s="59">
        <f t="shared" si="142"/>
        <v>372.48258675228851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3.3500846692350037</v>
      </c>
      <c r="AA184" s="21">
        <f>EXP(-LN(2)/25)*AA183+(1-EXP(-LN(2)/25))/(LN(2)/25)*Calculateur!V184*Calculateur!X184*VLOOKUP('Données projet'!$B$9,Paramètres!$A$1:$I$89,3,0)*0.475*44/12</f>
        <v>0.13527884258004941</v>
      </c>
      <c r="AB184" s="21">
        <f>EXP(-LN(2)/2)*AB183+(1-EXP(-LN(2)/2))/(LN(2)/2)*V184*Y184*VLOOKUP('Données projet'!$B$9,Paramètres!$A$1:$I$89,3,0)*0.475*44/12</f>
        <v>1.6876119865515329E-23</v>
      </c>
      <c r="AC184" s="22">
        <f t="shared" si="163"/>
        <v>3.485363511815053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74.96601334162861</v>
      </c>
      <c r="T185" s="59">
        <f t="shared" si="142"/>
        <v>372.48258675228851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3.2843915522211895</v>
      </c>
      <c r="AA185" s="21">
        <f>EXP(-LN(2)/25)*AA184+(1-EXP(-LN(2)/25))/(LN(2)/25)*Calculateur!V185*Calculateur!X185*VLOOKUP('Données projet'!$B$9,Paramètres!$A$1:$I$89,3,0)*0.475*44/12</f>
        <v>0.13157963551569282</v>
      </c>
      <c r="AB185" s="21">
        <f>EXP(-LN(2)/2)*AB184+(1-EXP(-LN(2)/2))/(LN(2)/2)*V185*Y185*VLOOKUP('Données projet'!$B$9,Paramètres!$A$1:$I$89,3,0)*0.475*44/12</f>
        <v>1.1933218797022896E-23</v>
      </c>
      <c r="AC185" s="22">
        <f t="shared" si="163"/>
        <v>3.4159711877368824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74.96601334162861</v>
      </c>
      <c r="T186" s="59">
        <f t="shared" si="142"/>
        <v>372.48258675228851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3.2199866371631711</v>
      </c>
      <c r="AA186" s="21">
        <f>EXP(-LN(2)/25)*AA185+(1-EXP(-LN(2)/25))/(LN(2)/25)*Calculateur!V186*Calculateur!X186*VLOOKUP('Données projet'!$B$9,Paramètres!$A$1:$I$89,3,0)*0.475*44/12</f>
        <v>0.12798158346304389</v>
      </c>
      <c r="AB186" s="21">
        <f>EXP(-LN(2)/2)*AB185+(1-EXP(-LN(2)/2))/(LN(2)/2)*V186*Y186*VLOOKUP('Données projet'!$B$9,Paramètres!$A$1:$I$89,3,0)*0.475*44/12</f>
        <v>8.4380599327576647E-24</v>
      </c>
      <c r="AC186" s="22">
        <f t="shared" si="163"/>
        <v>3.3479682206262149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74.96601334162861</v>
      </c>
      <c r="T187" s="59">
        <f t="shared" si="142"/>
        <v>372.48258675228851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3.1568446632063214</v>
      </c>
      <c r="AA187" s="21">
        <f>EXP(-LN(2)/25)*AA186+(1-EXP(-LN(2)/25))/(LN(2)/25)*Calculateur!V187*Calculateur!X187*VLOOKUP('Données projet'!$B$9,Paramètres!$A$1:$I$89,3,0)*0.475*44/12</f>
        <v>0.12448192033298798</v>
      </c>
      <c r="AB187" s="21">
        <f>EXP(-LN(2)/2)*AB186+(1-EXP(-LN(2)/2))/(LN(2)/2)*V187*Y187*VLOOKUP('Données projet'!$B$9,Paramètres!$A$1:$I$89,3,0)*0.475*44/12</f>
        <v>5.966609398511448E-24</v>
      </c>
      <c r="AC187" s="22">
        <f t="shared" si="163"/>
        <v>3.2813265835393093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74.96601334162861</v>
      </c>
      <c r="T188" s="59">
        <f t="shared" si="142"/>
        <v>372.48258675228851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3.094940864845964</v>
      </c>
      <c r="AA188" s="21">
        <f>EXP(-LN(2)/25)*AA187+(1-EXP(-LN(2)/25))/(LN(2)/25)*Calculateur!V188*Calculateur!X188*VLOOKUP('Données projet'!$B$9,Paramètres!$A$1:$I$89,3,0)*0.475*44/12</f>
        <v>0.12107795567526274</v>
      </c>
      <c r="AB188" s="21">
        <f>EXP(-LN(2)/2)*AB187+(1-EXP(-LN(2)/2))/(LN(2)/2)*V188*Y188*VLOOKUP('Données projet'!$B$9,Paramètres!$A$1:$I$89,3,0)*0.475*44/12</f>
        <v>4.2190299663788324E-24</v>
      </c>
      <c r="AC188" s="22">
        <f t="shared" si="163"/>
        <v>3.2160188205212266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74.96601334162861</v>
      </c>
      <c r="T189" s="59">
        <f t="shared" si="142"/>
        <v>372.48258675228851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3.0342509622138647</v>
      </c>
      <c r="AA189" s="21">
        <f>EXP(-LN(2)/25)*AA188+(1-EXP(-LN(2)/25))/(LN(2)/25)*Calculateur!V189*Calculateur!X189*VLOOKUP('Données projet'!$B$9,Paramètres!$A$1:$I$89,3,0)*0.475*44/12</f>
        <v>0.11776707261010971</v>
      </c>
      <c r="AB189" s="21">
        <f>EXP(-LN(2)/2)*AB188+(1-EXP(-LN(2)/2))/(LN(2)/2)*V189*Y189*VLOOKUP('Données projet'!$B$9,Paramètres!$A$1:$I$89,3,0)*0.475*44/12</f>
        <v>2.983304699255724E-24</v>
      </c>
      <c r="AC189" s="22">
        <f t="shared" si="163"/>
        <v>3.1520180348239744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74.96601334162861</v>
      </c>
      <c r="T190" s="59">
        <f t="shared" si="142"/>
        <v>372.48258675228851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2.9747511515551954</v>
      </c>
      <c r="AA190" s="21">
        <f>EXP(-LN(2)/25)*AA189+(1-EXP(-LN(2)/25))/(LN(2)/25)*Calculateur!V190*Calculateur!X190*VLOOKUP('Données projet'!$B$9,Paramètres!$A$1:$I$89,3,0)*0.475*44/12</f>
        <v>0.11454672581648508</v>
      </c>
      <c r="AB190" s="21">
        <f>EXP(-LN(2)/2)*AB189+(1-EXP(-LN(2)/2))/(LN(2)/2)*V190*Y190*VLOOKUP('Données projet'!$B$9,Paramètres!$A$1:$I$89,3,0)*0.475*44/12</f>
        <v>2.1095149831894162E-24</v>
      </c>
      <c r="AC190" s="22">
        <f t="shared" si="163"/>
        <v>3.0892978773716804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74.96601334162861</v>
      </c>
      <c r="T191" s="59">
        <f t="shared" si="142"/>
        <v>372.48258675228851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2.9164180958922414</v>
      </c>
      <c r="AA191" s="21">
        <f>EXP(-LN(2)/25)*AA190+(1-EXP(-LN(2)/25))/(LN(2)/25)*Calculateur!V191*Calculateur!X191*VLOOKUP('Données projet'!$B$9,Paramètres!$A$1:$I$89,3,0)*0.475*44/12</f>
        <v>0.11141443957528278</v>
      </c>
      <c r="AB191" s="21">
        <f>EXP(-LN(2)/2)*AB190+(1-EXP(-LN(2)/2))/(LN(2)/2)*V191*Y191*VLOOKUP('Données projet'!$B$9,Paramètres!$A$1:$I$89,3,0)*0.475*44/12</f>
        <v>1.491652349627862E-24</v>
      </c>
      <c r="AC191" s="22">
        <f t="shared" si="163"/>
        <v>3.0278325354675242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74.96601334162861</v>
      </c>
      <c r="T192" s="59">
        <f t="shared" si="142"/>
        <v>372.48258675228851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2.8592289158711872</v>
      </c>
      <c r="AA192" s="21">
        <f>EXP(-LN(2)/25)*AA191+(1-EXP(-LN(2)/25))/(LN(2)/25)*Calculateur!V192*Calculateur!X192*VLOOKUP('Données projet'!$B$9,Paramètres!$A$1:$I$89,3,0)*0.475*44/12</f>
        <v>0.10836780586606594</v>
      </c>
      <c r="AB192" s="21">
        <f>EXP(-LN(2)/2)*AB191+(1-EXP(-LN(2)/2))/(LN(2)/2)*V192*Y192*VLOOKUP('Données projet'!$B$9,Paramètres!$A$1:$I$89,3,0)*0.475*44/12</f>
        <v>1.0547574915947081E-24</v>
      </c>
      <c r="AC192" s="22">
        <f t="shared" si="163"/>
        <v>2.967596721737253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74.96601334162861</v>
      </c>
      <c r="T193" s="59">
        <f t="shared" si="142"/>
        <v>372.48258675228851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2.8031611807883903</v>
      </c>
      <c r="AA193" s="21">
        <f>EXP(-LN(2)/25)*AA192+(1-EXP(-LN(2)/25))/(LN(2)/25)*Calculateur!V193*Calculateur!X193*VLOOKUP('Données projet'!$B$9,Paramètres!$A$1:$I$89,3,0)*0.475*44/12</f>
        <v>0.10540448251584314</v>
      </c>
      <c r="AB193" s="21">
        <f>EXP(-LN(2)/2)*AB192+(1-EXP(-LN(2)/2))/(LN(2)/2)*V193*Y193*VLOOKUP('Données projet'!$B$9,Paramètres!$A$1:$I$89,3,0)*0.475*44/12</f>
        <v>7.45826174813931E-25</v>
      </c>
      <c r="AC193" s="22">
        <f t="shared" si="163"/>
        <v>2.9085656633042336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74.96601334162861</v>
      </c>
      <c r="T194" s="59">
        <f t="shared" si="142"/>
        <v>372.48258675228851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2.7481928997926257</v>
      </c>
      <c r="AA194" s="21">
        <f>EXP(-LN(2)/25)*AA193+(1-EXP(-LN(2)/25))/(LN(2)/25)*Calculateur!V194*Calculateur!X194*VLOOKUP('Données projet'!$B$9,Paramètres!$A$1:$I$89,3,0)*0.475*44/12</f>
        <v>0.10252219139846658</v>
      </c>
      <c r="AB194" s="21">
        <f>EXP(-LN(2)/2)*AB193+(1-EXP(-LN(2)/2))/(LN(2)/2)*V194*Y194*VLOOKUP('Données projet'!$B$9,Paramètres!$A$1:$I$89,3,0)*0.475*44/12</f>
        <v>5.2737874579735404E-25</v>
      </c>
      <c r="AC194" s="22">
        <f t="shared" si="163"/>
        <v>2.8507150911910921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74.96601334162861</v>
      </c>
      <c r="T195" s="59">
        <f t="shared" si="142"/>
        <v>372.48258675228851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2.694302513259847</v>
      </c>
      <c r="AA195" s="21">
        <f>EXP(-LN(2)/25)*AA194+(1-EXP(-LN(2)/25))/(LN(2)/25)*Calculateur!V195*Calculateur!X195*VLOOKUP('Données projet'!$B$9,Paramètres!$A$1:$I$89,3,0)*0.475*44/12</f>
        <v>9.9718716683267775E-2</v>
      </c>
      <c r="AB195" s="21">
        <f>EXP(-LN(2)/2)*AB194+(1-EXP(-LN(2)/2))/(LN(2)/2)*V195*Y195*VLOOKUP('Données projet'!$B$9,Paramètres!$A$1:$I$89,3,0)*0.475*44/12</f>
        <v>3.729130874069655E-25</v>
      </c>
      <c r="AC195" s="22">
        <f t="shared" si="163"/>
        <v>2.7940212299431146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74.96601334162861</v>
      </c>
      <c r="T196" s="59">
        <f t="shared" si="142"/>
        <v>372.48258675228851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2.6414688843370859</v>
      </c>
      <c r="AA196" s="21">
        <f>EXP(-LN(2)/25)*AA195+(1-EXP(-LN(2)/25))/(LN(2)/25)*Calculateur!V196*Calculateur!X196*VLOOKUP('Données projet'!$B$9,Paramètres!$A$1:$I$89,3,0)*0.475*44/12</f>
        <v>9.6991903131584414E-2</v>
      </c>
      <c r="AB196" s="21">
        <f>EXP(-LN(2)/2)*AB195+(1-EXP(-LN(2)/2))/(LN(2)/2)*V196*Y196*VLOOKUP('Données projet'!$B$9,Paramètres!$A$1:$I$89,3,0)*0.475*44/12</f>
        <v>2.6368937289867702E-25</v>
      </c>
      <c r="AC196" s="22">
        <f t="shared" si="163"/>
        <v>2.7384607874686702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74.96601334162861</v>
      </c>
      <c r="T197" s="59">
        <f t="shared" ref="T197:T203" si="204">$T$3</f>
        <v>372.48258675228851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2.5896712906521686</v>
      </c>
      <c r="AA197" s="21">
        <f>EXP(-LN(2)/25)*AA196+(1-EXP(-LN(2)/25))/(LN(2)/25)*Calculateur!V197*Calculateur!X197*VLOOKUP('Données projet'!$B$9,Paramètres!$A$1:$I$89,3,0)*0.475*44/12</f>
        <v>9.4339654439868734E-2</v>
      </c>
      <c r="AB197" s="21">
        <f>EXP(-LN(2)/2)*AB196+(1-EXP(-LN(2)/2))/(LN(2)/2)*V197*Y197*VLOOKUP('Données projet'!$B$9,Paramètres!$A$1:$I$89,3,0)*0.475*44/12</f>
        <v>1.8645654370348275E-25</v>
      </c>
      <c r="AC197" s="22">
        <f t="shared" si="163"/>
        <v>2.6840109450920373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74.96601334162861</v>
      </c>
      <c r="T198" s="59">
        <f t="shared" si="204"/>
        <v>372.48258675228851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2.5388894161860001</v>
      </c>
      <c r="AA198" s="21">
        <f>EXP(-LN(2)/25)*AA197+(1-EXP(-LN(2)/25))/(LN(2)/25)*Calculateur!V198*Calculateur!X198*VLOOKUP('Données projet'!$B$9,Paramètres!$A$1:$I$89,3,0)*0.475*44/12</f>
        <v>9.1759931628103711E-2</v>
      </c>
      <c r="AB198" s="21">
        <f>EXP(-LN(2)/2)*AB197+(1-EXP(-LN(2)/2))/(LN(2)/2)*V198*Y198*VLOOKUP('Données projet'!$B$9,Paramètres!$A$1:$I$89,3,0)*0.475*44/12</f>
        <v>1.3184468644933851E-25</v>
      </c>
      <c r="AC198" s="22">
        <f t="shared" si="163"/>
        <v>2.6306493478141038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74.96601334162861</v>
      </c>
      <c r="T199" s="59">
        <f t="shared" si="204"/>
        <v>372.48258675228851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2.4891033433042278</v>
      </c>
      <c r="AA199" s="21">
        <f>EXP(-LN(2)/25)*AA198+(1-EXP(-LN(2)/25))/(LN(2)/25)*Calculateur!V199*Calculateur!X199*VLOOKUP('Données projet'!$B$9,Paramètres!$A$1:$I$89,3,0)*0.475*44/12</f>
        <v>8.9250751472288128E-2</v>
      </c>
      <c r="AB199" s="21">
        <f>EXP(-LN(2)/2)*AB198+(1-EXP(-LN(2)/2))/(LN(2)/2)*V199*Y199*VLOOKUP('Données projet'!$B$9,Paramètres!$A$1:$I$89,3,0)*0.475*44/12</f>
        <v>9.3228271851741375E-26</v>
      </c>
      <c r="AC199" s="22">
        <f t="shared" si="163"/>
        <v>2.578354094776516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74.96601334162861</v>
      </c>
      <c r="T200" s="59">
        <f t="shared" si="204"/>
        <v>372.48258675228851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2.440293544945161</v>
      </c>
      <c r="AA200" s="21">
        <f>EXP(-LN(2)/25)*AA199+(1-EXP(-LN(2)/25))/(LN(2)/25)*Calculateur!V200*Calculateur!X200*VLOOKUP('Données projet'!$B$9,Paramètres!$A$1:$I$89,3,0)*0.475*44/12</f>
        <v>8.6810184979785376E-2</v>
      </c>
      <c r="AB200" s="21">
        <f>EXP(-LN(2)/2)*AB199+(1-EXP(-LN(2)/2))/(LN(2)/2)*V200*Y200*VLOOKUP('Données projet'!$B$9,Paramètres!$A$1:$I$89,3,0)*0.475*44/12</f>
        <v>6.5922343224669256E-26</v>
      </c>
      <c r="AC200" s="22">
        <f t="shared" si="163"/>
        <v>2.5271037299249466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74.96601334162861</v>
      </c>
      <c r="T201" s="59">
        <f t="shared" si="204"/>
        <v>372.48258675228851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2.3924408769608783</v>
      </c>
      <c r="AA201" s="21">
        <f>EXP(-LN(2)/25)*AA200+(1-EXP(-LN(2)/25))/(LN(2)/25)*Calculateur!V201*Calculateur!X201*VLOOKUP('Données projet'!$B$9,Paramètres!$A$1:$I$89,3,0)*0.475*44/12</f>
        <v>8.4436355906363919E-2</v>
      </c>
      <c r="AB201" s="21">
        <f>EXP(-LN(2)/2)*AB200+(1-EXP(-LN(2)/2))/(LN(2)/2)*V201*Y201*VLOOKUP('Données projet'!$B$9,Paramètres!$A$1:$I$89,3,0)*0.475*44/12</f>
        <v>4.6614135925870688E-26</v>
      </c>
      <c r="AC201" s="22">
        <f t="shared" si="163"/>
        <v>2.4768772328672424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74.96601334162861</v>
      </c>
      <c r="T202" s="59">
        <f t="shared" si="204"/>
        <v>372.48258675228851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2.3455265706085218</v>
      </c>
      <c r="AA202" s="21">
        <f>EXP(-LN(2)/25)*AA201+(1-EXP(-LN(2)/25))/(LN(2)/25)*Calculateur!V202*Calculateur!X202*VLOOKUP('Données projet'!$B$9,Paramètres!$A$1:$I$89,3,0)*0.475*44/12</f>
        <v>8.2127439313789422E-2</v>
      </c>
      <c r="AB202" s="21">
        <f>EXP(-LN(2)/2)*AB201+(1-EXP(-LN(2)/2))/(LN(2)/2)*V202*Y202*VLOOKUP('Données projet'!$B$9,Paramètres!$A$1:$I$89,3,0)*0.475*44/12</f>
        <v>3.2961171612334628E-26</v>
      </c>
      <c r="AC202" s="22">
        <f t="shared" si="163"/>
        <v>2.4276540099223114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74.96601334162861</v>
      </c>
      <c r="T203" s="59">
        <f t="shared" si="204"/>
        <v>372.48258675228851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2.2995322251888339</v>
      </c>
      <c r="AA203" s="21">
        <f>EXP(-LN(2)/25)*AA202+(1-EXP(-LN(2)/25))/(LN(2)/25)*Calculateur!V203*Calculateur!X203*VLOOKUP('Données projet'!$B$9,Paramètres!$A$1:$I$89,3,0)*0.475*44/12</f>
        <v>7.9881660166859519E-2</v>
      </c>
      <c r="AB203" s="21">
        <f>EXP(-LN(2)/2)*AB202+(1-EXP(-LN(2)/2))/(LN(2)/2)*V203*Y203*VLOOKUP('Données projet'!$B$9,Paramètres!$A$1:$I$89,3,0)*0.475*44/12</f>
        <v>2.3307067962935344E-26</v>
      </c>
      <c r="AC203" s="22">
        <f t="shared" si="163"/>
        <v>2.3794138853556936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145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145</v>
      </c>
      <c r="BA204" s="81" t="s">
        <v>145</v>
      </c>
      <c r="BV204" s="81" t="s">
        <v>145</v>
      </c>
      <c r="CQ204" s="81" t="s">
        <v>145</v>
      </c>
      <c r="DL204" s="81" t="s">
        <v>145</v>
      </c>
      <c r="EG204" s="81" t="s">
        <v>145</v>
      </c>
      <c r="FB204" s="81" t="s">
        <v>145</v>
      </c>
      <c r="FW204" s="81" t="s">
        <v>145</v>
      </c>
      <c r="GR204" s="81" t="s">
        <v>145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1.2998371697361266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146</v>
      </c>
      <c r="B1" s="112" t="s">
        <v>147</v>
      </c>
      <c r="C1" s="113" t="s">
        <v>148</v>
      </c>
      <c r="D1" s="112" t="s">
        <v>149</v>
      </c>
      <c r="E1" s="113" t="s">
        <v>150</v>
      </c>
      <c r="F1" s="113" t="s">
        <v>149</v>
      </c>
      <c r="G1" s="113" t="s">
        <v>151</v>
      </c>
      <c r="H1" s="113" t="s">
        <v>149</v>
      </c>
      <c r="I1" s="114" t="s">
        <v>152</v>
      </c>
      <c r="J1" s="78"/>
      <c r="K1" s="78"/>
      <c r="L1" s="78"/>
      <c r="M1" s="78"/>
      <c r="N1" s="78"/>
    </row>
    <row r="2" spans="1:16" x14ac:dyDescent="0.35">
      <c r="A2" s="115" t="s">
        <v>153</v>
      </c>
      <c r="B2" s="116" t="s">
        <v>154</v>
      </c>
      <c r="C2" s="117">
        <v>0.62</v>
      </c>
      <c r="D2" s="117" t="s">
        <v>155</v>
      </c>
      <c r="E2" s="117">
        <v>1.56</v>
      </c>
      <c r="F2" s="117" t="s">
        <v>156</v>
      </c>
      <c r="G2" s="118">
        <v>0.43</v>
      </c>
      <c r="H2" s="119" t="s">
        <v>157</v>
      </c>
      <c r="I2" s="120">
        <v>0.25</v>
      </c>
      <c r="J2" s="78"/>
      <c r="K2" s="78"/>
      <c r="L2" s="78"/>
      <c r="M2" s="78"/>
      <c r="N2" s="78"/>
      <c r="O2" s="301" t="s">
        <v>158</v>
      </c>
      <c r="P2" s="121">
        <v>0</v>
      </c>
    </row>
    <row r="3" spans="1:16" ht="15" thickBot="1" x14ac:dyDescent="0.4">
      <c r="A3" s="122" t="s">
        <v>159</v>
      </c>
      <c r="B3" s="123" t="s">
        <v>160</v>
      </c>
      <c r="C3" s="124">
        <v>0.64</v>
      </c>
      <c r="D3" s="124" t="s">
        <v>155</v>
      </c>
      <c r="E3" s="124">
        <v>1.56</v>
      </c>
      <c r="F3" s="125" t="s">
        <v>156</v>
      </c>
      <c r="G3" s="126">
        <v>0.43</v>
      </c>
      <c r="H3" s="124" t="s">
        <v>157</v>
      </c>
      <c r="I3" s="127">
        <v>0.25</v>
      </c>
      <c r="J3" s="78"/>
      <c r="K3" s="78"/>
      <c r="L3" s="78"/>
      <c r="M3" s="78"/>
      <c r="N3" s="78"/>
      <c r="O3" s="302"/>
      <c r="P3" s="128">
        <v>0.2</v>
      </c>
    </row>
    <row r="4" spans="1:16" ht="15" thickBot="1" x14ac:dyDescent="0.4">
      <c r="A4" s="122" t="s">
        <v>161</v>
      </c>
      <c r="B4" s="123" t="s">
        <v>162</v>
      </c>
      <c r="C4" s="124">
        <v>0.42</v>
      </c>
      <c r="D4" s="124" t="s">
        <v>155</v>
      </c>
      <c r="E4" s="124">
        <v>1.56</v>
      </c>
      <c r="F4" s="125" t="s">
        <v>156</v>
      </c>
      <c r="G4" s="126">
        <v>0.43</v>
      </c>
      <c r="H4" s="124" t="s">
        <v>157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163</v>
      </c>
      <c r="B5" s="123" t="s">
        <v>164</v>
      </c>
      <c r="C5" s="124">
        <v>0.42</v>
      </c>
      <c r="D5" s="124" t="s">
        <v>155</v>
      </c>
      <c r="E5" s="124">
        <v>1.56</v>
      </c>
      <c r="F5" s="125" t="s">
        <v>156</v>
      </c>
      <c r="G5" s="126">
        <v>0.43</v>
      </c>
      <c r="H5" s="124" t="s">
        <v>157</v>
      </c>
      <c r="I5" s="127">
        <v>0.25</v>
      </c>
      <c r="J5" s="78"/>
      <c r="K5" s="78"/>
      <c r="L5" s="78"/>
      <c r="M5" s="78"/>
      <c r="N5" s="78"/>
      <c r="O5" s="301" t="s">
        <v>165</v>
      </c>
      <c r="P5" s="121">
        <v>0</v>
      </c>
    </row>
    <row r="6" spans="1:16" x14ac:dyDescent="0.35">
      <c r="A6" s="122" t="s">
        <v>166</v>
      </c>
      <c r="B6" s="123" t="s">
        <v>167</v>
      </c>
      <c r="C6" s="124">
        <v>0.42</v>
      </c>
      <c r="D6" s="124" t="s">
        <v>155</v>
      </c>
      <c r="E6" s="124">
        <v>1.56</v>
      </c>
      <c r="F6" s="125" t="s">
        <v>156</v>
      </c>
      <c r="G6" s="126">
        <v>0.43</v>
      </c>
      <c r="H6" s="124" t="s">
        <v>157</v>
      </c>
      <c r="I6" s="127">
        <v>0.25</v>
      </c>
      <c r="J6" s="78"/>
      <c r="K6" s="78"/>
      <c r="L6" s="78"/>
      <c r="M6" s="78"/>
      <c r="N6" s="78"/>
      <c r="O6" s="303"/>
      <c r="P6" s="129">
        <v>0.05</v>
      </c>
    </row>
    <row r="7" spans="1:16" x14ac:dyDescent="0.35">
      <c r="A7" s="122" t="s">
        <v>168</v>
      </c>
      <c r="B7" s="123" t="s">
        <v>169</v>
      </c>
      <c r="C7" s="124">
        <v>0.52</v>
      </c>
      <c r="D7" s="124" t="s">
        <v>155</v>
      </c>
      <c r="E7" s="124">
        <v>1.56</v>
      </c>
      <c r="F7" s="125" t="s">
        <v>156</v>
      </c>
      <c r="G7" s="126">
        <v>0.43</v>
      </c>
      <c r="H7" s="124" t="s">
        <v>157</v>
      </c>
      <c r="I7" s="127">
        <v>0.25</v>
      </c>
      <c r="J7" s="78"/>
      <c r="K7" s="78"/>
      <c r="L7" s="78"/>
      <c r="M7" s="78"/>
      <c r="N7" s="78"/>
      <c r="O7" s="303"/>
      <c r="P7" s="129">
        <v>0.1</v>
      </c>
    </row>
    <row r="8" spans="1:16" ht="15" thickBot="1" x14ac:dyDescent="0.4">
      <c r="A8" s="122" t="s">
        <v>170</v>
      </c>
      <c r="B8" s="123" t="s">
        <v>171</v>
      </c>
      <c r="C8" s="124">
        <v>0.36</v>
      </c>
      <c r="D8" s="124" t="s">
        <v>155</v>
      </c>
      <c r="E8" s="124">
        <v>1.3</v>
      </c>
      <c r="F8" s="125" t="s">
        <v>156</v>
      </c>
      <c r="G8" s="126">
        <v>0.55000000000000004</v>
      </c>
      <c r="H8" s="124" t="s">
        <v>172</v>
      </c>
      <c r="I8" s="127">
        <v>0.43</v>
      </c>
      <c r="J8" s="78"/>
      <c r="K8" s="78"/>
      <c r="L8" s="78"/>
      <c r="M8" s="78"/>
      <c r="N8" s="78"/>
      <c r="O8" s="302"/>
      <c r="P8" s="128">
        <v>0.15</v>
      </c>
    </row>
    <row r="9" spans="1:16" ht="15" thickBot="1" x14ac:dyDescent="0.4">
      <c r="A9" s="122" t="s">
        <v>173</v>
      </c>
      <c r="B9" s="123" t="s">
        <v>174</v>
      </c>
      <c r="C9" s="124">
        <v>0.61</v>
      </c>
      <c r="D9" s="124" t="s">
        <v>155</v>
      </c>
      <c r="E9" s="124">
        <v>1.56</v>
      </c>
      <c r="F9" s="125" t="s">
        <v>156</v>
      </c>
      <c r="G9" s="126">
        <v>0.43</v>
      </c>
      <c r="H9" s="124" t="s">
        <v>157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175</v>
      </c>
      <c r="B10" s="123" t="s">
        <v>176</v>
      </c>
      <c r="C10" s="124">
        <v>0.66</v>
      </c>
      <c r="D10" s="124" t="s">
        <v>155</v>
      </c>
      <c r="E10" s="124">
        <v>1.56</v>
      </c>
      <c r="F10" s="125" t="s">
        <v>156</v>
      </c>
      <c r="G10" s="126">
        <v>0.43</v>
      </c>
      <c r="H10" s="124" t="s">
        <v>157</v>
      </c>
      <c r="I10" s="127">
        <v>0.25</v>
      </c>
      <c r="J10" s="78"/>
      <c r="K10" s="78"/>
      <c r="L10" s="78"/>
      <c r="M10" s="78"/>
      <c r="N10" s="78"/>
      <c r="O10" s="301" t="s">
        <v>177</v>
      </c>
      <c r="P10" s="121">
        <v>0</v>
      </c>
    </row>
    <row r="11" spans="1:16" ht="15" thickBot="1" x14ac:dyDescent="0.4">
      <c r="A11" s="122" t="s">
        <v>178</v>
      </c>
      <c r="B11" s="123" t="s">
        <v>179</v>
      </c>
      <c r="C11" s="124">
        <v>0.47</v>
      </c>
      <c r="D11" s="124" t="s">
        <v>155</v>
      </c>
      <c r="E11" s="124">
        <v>1.56</v>
      </c>
      <c r="F11" s="125" t="s">
        <v>156</v>
      </c>
      <c r="G11" s="126">
        <v>0.43</v>
      </c>
      <c r="H11" s="124" t="s">
        <v>157</v>
      </c>
      <c r="I11" s="127">
        <v>0.25</v>
      </c>
      <c r="J11" s="78"/>
      <c r="K11" s="78"/>
      <c r="L11" s="78"/>
      <c r="M11" s="78"/>
      <c r="N11" s="78"/>
      <c r="O11" s="302"/>
      <c r="P11" s="128">
        <v>0.1</v>
      </c>
    </row>
    <row r="12" spans="1:16" x14ac:dyDescent="0.35">
      <c r="A12" s="122" t="s">
        <v>180</v>
      </c>
      <c r="B12" s="123" t="s">
        <v>181</v>
      </c>
      <c r="C12" s="124">
        <v>0.67</v>
      </c>
      <c r="D12" s="124" t="s">
        <v>155</v>
      </c>
      <c r="E12" s="124">
        <v>1.56</v>
      </c>
      <c r="F12" s="125" t="s">
        <v>156</v>
      </c>
      <c r="G12" s="126">
        <v>0.43</v>
      </c>
      <c r="H12" s="124" t="s">
        <v>182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183</v>
      </c>
      <c r="B13" s="123" t="s">
        <v>184</v>
      </c>
      <c r="C13" s="124">
        <v>0.7</v>
      </c>
      <c r="D13" s="124" t="s">
        <v>155</v>
      </c>
      <c r="E13" s="124">
        <v>1.56</v>
      </c>
      <c r="F13" s="125" t="s">
        <v>156</v>
      </c>
      <c r="G13" s="126">
        <v>0.43</v>
      </c>
      <c r="H13" s="124" t="s">
        <v>182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185</v>
      </c>
      <c r="B14" s="123" t="s">
        <v>186</v>
      </c>
      <c r="C14" s="124">
        <v>0.54</v>
      </c>
      <c r="D14" s="124" t="s">
        <v>155</v>
      </c>
      <c r="E14" s="124">
        <v>1.56</v>
      </c>
      <c r="F14" s="125" t="s">
        <v>156</v>
      </c>
      <c r="G14" s="126">
        <v>0.43</v>
      </c>
      <c r="H14" s="124" t="s">
        <v>182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187</v>
      </c>
      <c r="B15" s="123" t="s">
        <v>188</v>
      </c>
      <c r="C15" s="124">
        <v>0.65</v>
      </c>
      <c r="D15" s="124" t="s">
        <v>155</v>
      </c>
      <c r="E15" s="124">
        <v>1.56</v>
      </c>
      <c r="F15" s="125" t="s">
        <v>156</v>
      </c>
      <c r="G15" s="126">
        <v>0.43</v>
      </c>
      <c r="H15" s="124" t="s">
        <v>182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189</v>
      </c>
      <c r="B16" s="123" t="s">
        <v>190</v>
      </c>
      <c r="C16" s="124">
        <v>0.56000000000000005</v>
      </c>
      <c r="D16" s="124" t="s">
        <v>155</v>
      </c>
      <c r="E16" s="124">
        <v>1.56</v>
      </c>
      <c r="F16" s="125" t="s">
        <v>156</v>
      </c>
      <c r="G16" s="126">
        <v>0.43</v>
      </c>
      <c r="H16" s="124" t="s">
        <v>182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16</v>
      </c>
      <c r="B17" s="123" t="s">
        <v>191</v>
      </c>
      <c r="C17" s="124">
        <v>0.57999999999999996</v>
      </c>
      <c r="D17" s="124" t="s">
        <v>155</v>
      </c>
      <c r="E17" s="124">
        <v>1.56</v>
      </c>
      <c r="F17" s="125" t="s">
        <v>156</v>
      </c>
      <c r="G17" s="126">
        <v>0.43</v>
      </c>
      <c r="H17" s="124" t="s">
        <v>182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192</v>
      </c>
      <c r="B18" s="123" t="s">
        <v>193</v>
      </c>
      <c r="C18" s="124">
        <v>0.64</v>
      </c>
      <c r="D18" s="124" t="s">
        <v>155</v>
      </c>
      <c r="E18" s="124">
        <v>1.56</v>
      </c>
      <c r="F18" s="125" t="s">
        <v>156</v>
      </c>
      <c r="G18" s="126">
        <v>0.43</v>
      </c>
      <c r="H18" s="124" t="s">
        <v>182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194</v>
      </c>
      <c r="B19" s="123" t="s">
        <v>195</v>
      </c>
      <c r="C19" s="124">
        <v>0.73</v>
      </c>
      <c r="D19" s="124" t="s">
        <v>155</v>
      </c>
      <c r="E19" s="124">
        <v>1.56</v>
      </c>
      <c r="F19" s="125" t="s">
        <v>156</v>
      </c>
      <c r="G19" s="126">
        <v>0.43</v>
      </c>
      <c r="H19" s="124" t="s">
        <v>182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196</v>
      </c>
      <c r="B20" s="123" t="s">
        <v>197</v>
      </c>
      <c r="C20" s="124">
        <v>0.69</v>
      </c>
      <c r="D20" s="124" t="s">
        <v>198</v>
      </c>
      <c r="E20" s="124">
        <v>1.56</v>
      </c>
      <c r="F20" s="125" t="s">
        <v>156</v>
      </c>
      <c r="G20" s="126">
        <v>0.43</v>
      </c>
      <c r="H20" s="124" t="s">
        <v>199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200</v>
      </c>
      <c r="B21" s="123" t="s">
        <v>201</v>
      </c>
      <c r="C21" s="124">
        <v>0.36</v>
      </c>
      <c r="D21" s="124" t="s">
        <v>155</v>
      </c>
      <c r="E21" s="124">
        <v>1.3</v>
      </c>
      <c r="F21" s="125" t="s">
        <v>156</v>
      </c>
      <c r="G21" s="126">
        <v>0.55000000000000004</v>
      </c>
      <c r="H21" s="124" t="s">
        <v>172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202</v>
      </c>
      <c r="B22" s="123" t="s">
        <v>203</v>
      </c>
      <c r="C22" s="124">
        <v>0.4</v>
      </c>
      <c r="D22" s="124" t="s">
        <v>155</v>
      </c>
      <c r="E22" s="124">
        <v>1.3</v>
      </c>
      <c r="F22" s="125" t="s">
        <v>156</v>
      </c>
      <c r="G22" s="126">
        <v>0.55000000000000004</v>
      </c>
      <c r="H22" s="124" t="s">
        <v>172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204</v>
      </c>
      <c r="B23" s="123" t="s">
        <v>205</v>
      </c>
      <c r="C23" s="124">
        <v>0.43</v>
      </c>
      <c r="D23" s="124" t="s">
        <v>155</v>
      </c>
      <c r="E23" s="124">
        <v>1.3</v>
      </c>
      <c r="F23" s="125" t="s">
        <v>156</v>
      </c>
      <c r="G23" s="126">
        <v>0.55000000000000004</v>
      </c>
      <c r="H23" s="124" t="s">
        <v>172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206</v>
      </c>
      <c r="B24" s="123" t="s">
        <v>207</v>
      </c>
      <c r="C24" s="124">
        <v>0.37</v>
      </c>
      <c r="D24" s="124" t="s">
        <v>155</v>
      </c>
      <c r="E24" s="124">
        <v>1.3</v>
      </c>
      <c r="F24" s="125" t="s">
        <v>156</v>
      </c>
      <c r="G24" s="126">
        <v>0.55000000000000004</v>
      </c>
      <c r="H24" s="124" t="s">
        <v>182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208</v>
      </c>
      <c r="B25" s="123" t="s">
        <v>209</v>
      </c>
      <c r="C25" s="124">
        <v>0.36</v>
      </c>
      <c r="D25" s="124" t="s">
        <v>155</v>
      </c>
      <c r="E25" s="124">
        <v>1.3</v>
      </c>
      <c r="F25" s="125" t="s">
        <v>156</v>
      </c>
      <c r="G25" s="126">
        <v>0.55000000000000004</v>
      </c>
      <c r="H25" s="124" t="s">
        <v>182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210</v>
      </c>
      <c r="B26" s="123" t="s">
        <v>211</v>
      </c>
      <c r="C26" s="124">
        <v>0.56000000000000005</v>
      </c>
      <c r="D26" s="124" t="s">
        <v>155</v>
      </c>
      <c r="E26" s="124">
        <v>1.56</v>
      </c>
      <c r="F26" s="125" t="s">
        <v>156</v>
      </c>
      <c r="G26" s="126">
        <v>0.53</v>
      </c>
      <c r="H26" s="124" t="s">
        <v>212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213</v>
      </c>
      <c r="B27" s="123" t="s">
        <v>214</v>
      </c>
      <c r="C27" s="124">
        <v>0.51</v>
      </c>
      <c r="D27" s="124" t="s">
        <v>155</v>
      </c>
      <c r="E27" s="124">
        <v>1.56</v>
      </c>
      <c r="F27" s="125" t="s">
        <v>156</v>
      </c>
      <c r="G27" s="126">
        <v>0.53</v>
      </c>
      <c r="H27" s="124" t="s">
        <v>212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215</v>
      </c>
      <c r="B28" s="123" t="s">
        <v>216</v>
      </c>
      <c r="C28" s="124">
        <v>0.51</v>
      </c>
      <c r="D28" s="124" t="s">
        <v>155</v>
      </c>
      <c r="E28" s="124">
        <v>1.56</v>
      </c>
      <c r="F28" s="125" t="s">
        <v>156</v>
      </c>
      <c r="G28" s="126">
        <v>0.53</v>
      </c>
      <c r="H28" s="124" t="s">
        <v>212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217</v>
      </c>
      <c r="B29" s="123" t="s">
        <v>217</v>
      </c>
      <c r="C29" s="124">
        <v>0.56000000000000005</v>
      </c>
      <c r="D29" s="124" t="s">
        <v>155</v>
      </c>
      <c r="E29" s="124">
        <v>1.56</v>
      </c>
      <c r="F29" s="125" t="s">
        <v>156</v>
      </c>
      <c r="G29" s="126">
        <v>0.53</v>
      </c>
      <c r="H29" s="124" t="s">
        <v>212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218</v>
      </c>
      <c r="B30" s="123" t="s">
        <v>219</v>
      </c>
      <c r="C30" s="124">
        <v>0.55000000000000004</v>
      </c>
      <c r="D30" s="124" t="s">
        <v>155</v>
      </c>
      <c r="E30" s="124">
        <v>1.56</v>
      </c>
      <c r="F30" s="125" t="s">
        <v>156</v>
      </c>
      <c r="G30" s="126">
        <v>0.53</v>
      </c>
      <c r="H30" s="124" t="s">
        <v>182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220</v>
      </c>
      <c r="B31" s="123" t="s">
        <v>221</v>
      </c>
      <c r="C31" s="124">
        <v>0.56000000000000005</v>
      </c>
      <c r="D31" s="124" t="s">
        <v>155</v>
      </c>
      <c r="E31" s="124">
        <v>1.56</v>
      </c>
      <c r="F31" s="125" t="s">
        <v>156</v>
      </c>
      <c r="G31" s="126">
        <v>0.43</v>
      </c>
      <c r="H31" s="124" t="s">
        <v>157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222</v>
      </c>
      <c r="B32" s="123" t="s">
        <v>223</v>
      </c>
      <c r="C32" s="124">
        <v>0.48</v>
      </c>
      <c r="D32" s="124" t="s">
        <v>155</v>
      </c>
      <c r="E32" s="124">
        <v>1.3</v>
      </c>
      <c r="F32" s="125" t="s">
        <v>156</v>
      </c>
      <c r="G32" s="126">
        <v>0.6</v>
      </c>
      <c r="H32" s="124" t="s">
        <v>224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225</v>
      </c>
      <c r="B33" s="123" t="s">
        <v>226</v>
      </c>
      <c r="C33" s="124">
        <v>0.42</v>
      </c>
      <c r="D33" s="124" t="s">
        <v>155</v>
      </c>
      <c r="E33" s="124">
        <v>1.3</v>
      </c>
      <c r="F33" s="125" t="s">
        <v>156</v>
      </c>
      <c r="G33" s="126">
        <v>0.6</v>
      </c>
      <c r="H33" s="124" t="s">
        <v>224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227</v>
      </c>
      <c r="B34" s="123" t="s">
        <v>228</v>
      </c>
      <c r="C34" s="124">
        <v>0.42</v>
      </c>
      <c r="D34" s="124" t="s">
        <v>229</v>
      </c>
      <c r="E34" s="124">
        <v>1.3</v>
      </c>
      <c r="F34" s="125" t="s">
        <v>156</v>
      </c>
      <c r="G34" s="126">
        <v>0.6</v>
      </c>
      <c r="H34" s="123" t="s">
        <v>230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231</v>
      </c>
      <c r="B35" s="123" t="s">
        <v>232</v>
      </c>
      <c r="C35" s="124">
        <v>0.5</v>
      </c>
      <c r="D35" s="124" t="s">
        <v>155</v>
      </c>
      <c r="E35" s="124">
        <v>1.56</v>
      </c>
      <c r="F35" s="125" t="s">
        <v>156</v>
      </c>
      <c r="G35" s="126">
        <v>0.43</v>
      </c>
      <c r="H35" s="124" t="s">
        <v>157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233</v>
      </c>
      <c r="B36" s="123" t="s">
        <v>234</v>
      </c>
      <c r="C36" s="124">
        <v>0.55000000000000004</v>
      </c>
      <c r="D36" s="124" t="s">
        <v>155</v>
      </c>
      <c r="E36" s="124">
        <v>1.56</v>
      </c>
      <c r="F36" s="125" t="s">
        <v>156</v>
      </c>
      <c r="G36" s="126">
        <v>0.53</v>
      </c>
      <c r="H36" s="124" t="s">
        <v>212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235</v>
      </c>
      <c r="B37" s="123" t="s">
        <v>236</v>
      </c>
      <c r="C37" s="124">
        <v>0.52</v>
      </c>
      <c r="D37" s="124" t="s">
        <v>155</v>
      </c>
      <c r="E37" s="124">
        <v>1.56</v>
      </c>
      <c r="F37" s="125" t="s">
        <v>156</v>
      </c>
      <c r="G37" s="126">
        <v>0.53</v>
      </c>
      <c r="H37" s="124" t="s">
        <v>212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237</v>
      </c>
      <c r="B38" s="123" t="s">
        <v>238</v>
      </c>
      <c r="C38" s="124">
        <v>0.52</v>
      </c>
      <c r="D38" s="124" t="s">
        <v>155</v>
      </c>
      <c r="E38" s="124">
        <v>1.56</v>
      </c>
      <c r="F38" s="125" t="s">
        <v>156</v>
      </c>
      <c r="G38" s="126">
        <v>0.43</v>
      </c>
      <c r="H38" s="124" t="s">
        <v>157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239</v>
      </c>
      <c r="B39" s="123" t="s">
        <v>107</v>
      </c>
      <c r="C39" s="124">
        <v>0.313</v>
      </c>
      <c r="D39" s="124" t="s">
        <v>240</v>
      </c>
      <c r="E39" s="124">
        <v>1.56</v>
      </c>
      <c r="F39" s="125" t="s">
        <v>156</v>
      </c>
      <c r="G39" s="126">
        <v>0.6</v>
      </c>
      <c r="H39" s="124" t="s">
        <v>241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242</v>
      </c>
      <c r="B40" s="123" t="s">
        <v>107</v>
      </c>
      <c r="C40" s="124">
        <v>0.35199999999999998</v>
      </c>
      <c r="D40" s="124" t="s">
        <v>240</v>
      </c>
      <c r="E40" s="124">
        <v>1.56</v>
      </c>
      <c r="F40" s="125" t="s">
        <v>156</v>
      </c>
      <c r="G40" s="126">
        <v>0.6</v>
      </c>
      <c r="H40" s="124" t="s">
        <v>241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243</v>
      </c>
      <c r="B41" s="123" t="s">
        <v>107</v>
      </c>
      <c r="C41" s="124">
        <v>0.32200000000000001</v>
      </c>
      <c r="D41" s="124" t="s">
        <v>240</v>
      </c>
      <c r="E41" s="124">
        <v>1.56</v>
      </c>
      <c r="F41" s="125" t="s">
        <v>156</v>
      </c>
      <c r="G41" s="126">
        <v>0.6</v>
      </c>
      <c r="H41" s="124" t="s">
        <v>241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244</v>
      </c>
      <c r="B42" s="123" t="s">
        <v>107</v>
      </c>
      <c r="C42" s="124">
        <v>0.311</v>
      </c>
      <c r="D42" s="124" t="s">
        <v>240</v>
      </c>
      <c r="E42" s="124">
        <v>1.56</v>
      </c>
      <c r="F42" s="125" t="s">
        <v>156</v>
      </c>
      <c r="G42" s="126">
        <v>0.6</v>
      </c>
      <c r="H42" s="124" t="s">
        <v>241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245</v>
      </c>
      <c r="B43" s="123" t="s">
        <v>107</v>
      </c>
      <c r="C43" s="124">
        <v>0.33900000000000002</v>
      </c>
      <c r="D43" s="124" t="s">
        <v>240</v>
      </c>
      <c r="E43" s="124">
        <v>1.56</v>
      </c>
      <c r="F43" s="125" t="s">
        <v>156</v>
      </c>
      <c r="G43" s="126">
        <v>0.6</v>
      </c>
      <c r="H43" s="124" t="s">
        <v>241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246</v>
      </c>
      <c r="B44" s="123" t="s">
        <v>107</v>
      </c>
      <c r="C44" s="124">
        <v>0.33600000000000002</v>
      </c>
      <c r="D44" s="124" t="s">
        <v>240</v>
      </c>
      <c r="E44" s="124">
        <v>1.56</v>
      </c>
      <c r="F44" s="125" t="s">
        <v>156</v>
      </c>
      <c r="G44" s="126">
        <v>0.6</v>
      </c>
      <c r="H44" s="124" t="s">
        <v>241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247</v>
      </c>
      <c r="B45" s="123" t="s">
        <v>107</v>
      </c>
      <c r="C45" s="124">
        <v>0.32900000000000001</v>
      </c>
      <c r="D45" s="124" t="s">
        <v>240</v>
      </c>
      <c r="E45" s="124">
        <v>1.56</v>
      </c>
      <c r="F45" s="125" t="s">
        <v>156</v>
      </c>
      <c r="G45" s="126">
        <v>0.6</v>
      </c>
      <c r="H45" s="124" t="s">
        <v>241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248</v>
      </c>
      <c r="B46" s="123" t="s">
        <v>107</v>
      </c>
      <c r="C46" s="124">
        <v>0.34300000000000003</v>
      </c>
      <c r="D46" s="124" t="s">
        <v>240</v>
      </c>
      <c r="E46" s="124">
        <v>1.56</v>
      </c>
      <c r="F46" s="125" t="s">
        <v>156</v>
      </c>
      <c r="G46" s="126">
        <v>0.6</v>
      </c>
      <c r="H46" s="124" t="s">
        <v>241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249</v>
      </c>
      <c r="B47" s="123" t="s">
        <v>107</v>
      </c>
      <c r="C47" s="124">
        <v>0.32500000000000001</v>
      </c>
      <c r="D47" s="124" t="s">
        <v>240</v>
      </c>
      <c r="E47" s="124">
        <v>1.56</v>
      </c>
      <c r="F47" s="125" t="s">
        <v>156</v>
      </c>
      <c r="G47" s="126">
        <v>0.6</v>
      </c>
      <c r="H47" s="124" t="s">
        <v>241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250</v>
      </c>
      <c r="B48" s="123" t="s">
        <v>107</v>
      </c>
      <c r="C48" s="124">
        <v>0.32</v>
      </c>
      <c r="D48" s="124" t="s">
        <v>240</v>
      </c>
      <c r="E48" s="124">
        <v>1.56</v>
      </c>
      <c r="F48" s="125" t="s">
        <v>156</v>
      </c>
      <c r="G48" s="126">
        <v>0.6</v>
      </c>
      <c r="H48" s="124" t="s">
        <v>241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251</v>
      </c>
      <c r="B49" s="123" t="s">
        <v>107</v>
      </c>
      <c r="C49" s="124">
        <v>0.28199999999999997</v>
      </c>
      <c r="D49" s="124" t="s">
        <v>240</v>
      </c>
      <c r="E49" s="124">
        <v>1.56</v>
      </c>
      <c r="F49" s="125" t="s">
        <v>156</v>
      </c>
      <c r="G49" s="126">
        <v>0.6</v>
      </c>
      <c r="H49" s="124" t="s">
        <v>241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252</v>
      </c>
      <c r="B50" s="123" t="s">
        <v>107</v>
      </c>
      <c r="C50" s="124">
        <v>0.32800000000000001</v>
      </c>
      <c r="D50" s="124" t="s">
        <v>240</v>
      </c>
      <c r="E50" s="124">
        <v>1.56</v>
      </c>
      <c r="F50" s="125" t="s">
        <v>156</v>
      </c>
      <c r="G50" s="126">
        <v>0.6</v>
      </c>
      <c r="H50" s="124" t="s">
        <v>241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253</v>
      </c>
      <c r="B51" s="123" t="s">
        <v>107</v>
      </c>
      <c r="C51" s="124">
        <v>0.32600000000000001</v>
      </c>
      <c r="D51" s="124" t="s">
        <v>240</v>
      </c>
      <c r="E51" s="124">
        <v>1.56</v>
      </c>
      <c r="F51" s="125" t="s">
        <v>156</v>
      </c>
      <c r="G51" s="126">
        <v>0.6</v>
      </c>
      <c r="H51" s="124" t="s">
        <v>241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254</v>
      </c>
      <c r="B52" s="123" t="s">
        <v>107</v>
      </c>
      <c r="C52" s="124">
        <v>0.35899999999999999</v>
      </c>
      <c r="D52" s="124" t="s">
        <v>240</v>
      </c>
      <c r="E52" s="124">
        <v>1.56</v>
      </c>
      <c r="F52" s="125" t="s">
        <v>156</v>
      </c>
      <c r="G52" s="126">
        <v>0.6</v>
      </c>
      <c r="H52" s="124" t="s">
        <v>241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255</v>
      </c>
      <c r="B53" s="123" t="s">
        <v>107</v>
      </c>
      <c r="C53" s="124">
        <v>0.34599999999999997</v>
      </c>
      <c r="D53" s="124" t="s">
        <v>240</v>
      </c>
      <c r="E53" s="124">
        <v>1.56</v>
      </c>
      <c r="F53" s="125" t="s">
        <v>156</v>
      </c>
      <c r="G53" s="126">
        <v>0.6</v>
      </c>
      <c r="H53" s="124" t="s">
        <v>241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256</v>
      </c>
      <c r="B54" s="123" t="s">
        <v>107</v>
      </c>
      <c r="C54" s="124">
        <v>0.32600000000000001</v>
      </c>
      <c r="D54" s="124" t="s">
        <v>240</v>
      </c>
      <c r="E54" s="124">
        <v>1.56</v>
      </c>
      <c r="F54" s="125" t="s">
        <v>156</v>
      </c>
      <c r="G54" s="126">
        <v>0.6</v>
      </c>
      <c r="H54" s="124" t="s">
        <v>241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257</v>
      </c>
      <c r="B55" s="123" t="s">
        <v>107</v>
      </c>
      <c r="C55" s="124">
        <v>0.30499999999999999</v>
      </c>
      <c r="D55" s="124" t="s">
        <v>240</v>
      </c>
      <c r="E55" s="124">
        <v>1.56</v>
      </c>
      <c r="F55" s="125" t="s">
        <v>156</v>
      </c>
      <c r="G55" s="126">
        <v>0.6</v>
      </c>
      <c r="H55" s="124" t="s">
        <v>241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258</v>
      </c>
      <c r="B56" s="123" t="s">
        <v>107</v>
      </c>
      <c r="C56" s="124">
        <v>0.32300000000000001</v>
      </c>
      <c r="D56" s="124" t="s">
        <v>240</v>
      </c>
      <c r="E56" s="124">
        <v>1.56</v>
      </c>
      <c r="F56" s="125" t="s">
        <v>156</v>
      </c>
      <c r="G56" s="126">
        <v>0.6</v>
      </c>
      <c r="H56" s="124" t="s">
        <v>241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259</v>
      </c>
      <c r="B57" s="123" t="s">
        <v>107</v>
      </c>
      <c r="C57" s="124">
        <v>0.36699999999999999</v>
      </c>
      <c r="D57" s="124" t="s">
        <v>240</v>
      </c>
      <c r="E57" s="124">
        <v>1.56</v>
      </c>
      <c r="F57" s="125" t="s">
        <v>156</v>
      </c>
      <c r="G57" s="126">
        <v>0.6</v>
      </c>
      <c r="H57" s="124" t="s">
        <v>241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260</v>
      </c>
      <c r="B58" s="123" t="s">
        <v>107</v>
      </c>
      <c r="C58" s="124">
        <v>0.36</v>
      </c>
      <c r="D58" s="124" t="s">
        <v>240</v>
      </c>
      <c r="E58" s="124">
        <v>1.56</v>
      </c>
      <c r="F58" s="125" t="s">
        <v>156</v>
      </c>
      <c r="G58" s="126">
        <v>0.6</v>
      </c>
      <c r="H58" s="124" t="s">
        <v>241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261</v>
      </c>
      <c r="B59" s="123" t="s">
        <v>107</v>
      </c>
      <c r="C59" s="124">
        <v>0.36799999999999999</v>
      </c>
      <c r="D59" s="124" t="s">
        <v>240</v>
      </c>
      <c r="E59" s="124">
        <v>1.56</v>
      </c>
      <c r="F59" s="125" t="s">
        <v>156</v>
      </c>
      <c r="G59" s="126">
        <v>0.6</v>
      </c>
      <c r="H59" s="124" t="s">
        <v>241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262</v>
      </c>
      <c r="B60" s="123" t="s">
        <v>107</v>
      </c>
      <c r="C60" s="124">
        <v>0.30599999999999999</v>
      </c>
      <c r="D60" s="124" t="s">
        <v>240</v>
      </c>
      <c r="E60" s="124">
        <v>1.56</v>
      </c>
      <c r="F60" s="125" t="s">
        <v>156</v>
      </c>
      <c r="G60" s="126">
        <v>0.6</v>
      </c>
      <c r="H60" s="124" t="s">
        <v>241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263</v>
      </c>
      <c r="B61" s="123" t="s">
        <v>107</v>
      </c>
      <c r="C61" s="124">
        <v>0.313</v>
      </c>
      <c r="D61" s="124" t="s">
        <v>240</v>
      </c>
      <c r="E61" s="124">
        <v>1.56</v>
      </c>
      <c r="F61" s="125" t="s">
        <v>156</v>
      </c>
      <c r="G61" s="126">
        <v>0.6</v>
      </c>
      <c r="H61" s="124" t="s">
        <v>241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264</v>
      </c>
      <c r="B62" s="123" t="s">
        <v>265</v>
      </c>
      <c r="C62" s="124">
        <v>0.37</v>
      </c>
      <c r="D62" s="124" t="s">
        <v>155</v>
      </c>
      <c r="E62" s="124">
        <v>1.56</v>
      </c>
      <c r="F62" s="125" t="s">
        <v>156</v>
      </c>
      <c r="G62" s="126">
        <v>0.6</v>
      </c>
      <c r="H62" s="124" t="s">
        <v>241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266</v>
      </c>
      <c r="B63" s="123" t="s">
        <v>267</v>
      </c>
      <c r="C63" s="124">
        <v>0.45</v>
      </c>
      <c r="D63" s="124" t="s">
        <v>155</v>
      </c>
      <c r="E63" s="124">
        <v>1.3</v>
      </c>
      <c r="F63" s="125" t="s">
        <v>156</v>
      </c>
      <c r="G63" s="126">
        <v>0.45</v>
      </c>
      <c r="H63" s="124" t="s">
        <v>268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269</v>
      </c>
      <c r="B64" s="123" t="s">
        <v>270</v>
      </c>
      <c r="C64" s="124">
        <v>0.39</v>
      </c>
      <c r="D64" s="124" t="s">
        <v>155</v>
      </c>
      <c r="E64" s="124">
        <v>1.3</v>
      </c>
      <c r="F64" s="125" t="s">
        <v>156</v>
      </c>
      <c r="G64" s="126">
        <v>0.45</v>
      </c>
      <c r="H64" s="124" t="s">
        <v>268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271</v>
      </c>
      <c r="B65" s="123" t="s">
        <v>272</v>
      </c>
      <c r="C65" s="124">
        <v>0.44</v>
      </c>
      <c r="D65" s="124" t="s">
        <v>155</v>
      </c>
      <c r="E65" s="124">
        <v>1.3</v>
      </c>
      <c r="F65" s="125" t="s">
        <v>156</v>
      </c>
      <c r="G65" s="126">
        <v>0.45</v>
      </c>
      <c r="H65" s="124" t="s">
        <v>268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273</v>
      </c>
      <c r="B66" s="123" t="s">
        <v>274</v>
      </c>
      <c r="C66" s="124">
        <v>0.46</v>
      </c>
      <c r="D66" s="124" t="s">
        <v>155</v>
      </c>
      <c r="E66" s="124">
        <v>1.3</v>
      </c>
      <c r="F66" s="125" t="s">
        <v>156</v>
      </c>
      <c r="G66" s="126">
        <v>0.45</v>
      </c>
      <c r="H66" s="124" t="s">
        <v>268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19</v>
      </c>
      <c r="B67" s="123" t="s">
        <v>275</v>
      </c>
      <c r="C67" s="124">
        <v>0.46</v>
      </c>
      <c r="D67" s="124" t="s">
        <v>155</v>
      </c>
      <c r="E67" s="124">
        <v>1.3</v>
      </c>
      <c r="F67" s="125" t="s">
        <v>156</v>
      </c>
      <c r="G67" s="126">
        <v>0.45</v>
      </c>
      <c r="H67" s="124" t="s">
        <v>182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276</v>
      </c>
      <c r="B68" s="123" t="s">
        <v>277</v>
      </c>
      <c r="C68" s="124">
        <v>0.44</v>
      </c>
      <c r="D68" s="124" t="s">
        <v>155</v>
      </c>
      <c r="E68" s="124">
        <v>1.3</v>
      </c>
      <c r="F68" s="125" t="s">
        <v>156</v>
      </c>
      <c r="G68" s="126">
        <v>0.45</v>
      </c>
      <c r="H68" s="124" t="s">
        <v>268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278</v>
      </c>
      <c r="B69" s="123" t="s">
        <v>279</v>
      </c>
      <c r="C69" s="124">
        <v>0.46</v>
      </c>
      <c r="D69" s="124" t="s">
        <v>155</v>
      </c>
      <c r="E69" s="124">
        <v>1.3</v>
      </c>
      <c r="F69" s="125" t="s">
        <v>156</v>
      </c>
      <c r="G69" s="126">
        <v>0.45</v>
      </c>
      <c r="H69" s="124" t="s">
        <v>268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280</v>
      </c>
      <c r="B70" s="123" t="s">
        <v>281</v>
      </c>
      <c r="C70" s="124">
        <v>0.48</v>
      </c>
      <c r="D70" s="124" t="s">
        <v>155</v>
      </c>
      <c r="E70" s="124">
        <v>2.4</v>
      </c>
      <c r="F70" s="124" t="s">
        <v>282</v>
      </c>
      <c r="G70" s="126">
        <v>0.45</v>
      </c>
      <c r="H70" s="124" t="s">
        <v>268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283</v>
      </c>
      <c r="B71" s="123" t="s">
        <v>284</v>
      </c>
      <c r="C71" s="124">
        <v>0.46</v>
      </c>
      <c r="D71" s="124" t="s">
        <v>285</v>
      </c>
      <c r="E71" s="124">
        <v>1.3</v>
      </c>
      <c r="F71" s="125" t="s">
        <v>156</v>
      </c>
      <c r="G71" s="126">
        <v>0.45</v>
      </c>
      <c r="H71" s="124" t="s">
        <v>268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286</v>
      </c>
      <c r="B72" s="123" t="s">
        <v>287</v>
      </c>
      <c r="C72" s="124">
        <v>0.44</v>
      </c>
      <c r="D72" s="124" t="s">
        <v>155</v>
      </c>
      <c r="E72" s="124">
        <v>1.3</v>
      </c>
      <c r="F72" s="125" t="s">
        <v>156</v>
      </c>
      <c r="G72" s="126">
        <v>0.45</v>
      </c>
      <c r="H72" s="124" t="s">
        <v>268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288</v>
      </c>
      <c r="B73" s="123" t="s">
        <v>289</v>
      </c>
      <c r="C73" s="124">
        <v>0.46</v>
      </c>
      <c r="D73" s="124" t="s">
        <v>290</v>
      </c>
      <c r="E73" s="124">
        <v>1.3</v>
      </c>
      <c r="F73" s="125" t="s">
        <v>156</v>
      </c>
      <c r="G73" s="126">
        <v>0.45</v>
      </c>
      <c r="H73" s="124" t="s">
        <v>268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291</v>
      </c>
      <c r="B74" s="123" t="s">
        <v>292</v>
      </c>
      <c r="C74" s="124">
        <v>0.34</v>
      </c>
      <c r="D74" s="124" t="s">
        <v>155</v>
      </c>
      <c r="E74" s="124">
        <v>1.3</v>
      </c>
      <c r="F74" s="125" t="s">
        <v>156</v>
      </c>
      <c r="G74" s="126">
        <v>0.45</v>
      </c>
      <c r="H74" s="124" t="s">
        <v>268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293</v>
      </c>
      <c r="B75" s="123" t="s">
        <v>294</v>
      </c>
      <c r="C75" s="124">
        <v>0.5</v>
      </c>
      <c r="D75" s="124" t="s">
        <v>155</v>
      </c>
      <c r="E75" s="124">
        <v>1.56</v>
      </c>
      <c r="F75" s="125" t="s">
        <v>156</v>
      </c>
      <c r="G75" s="126">
        <v>0.53</v>
      </c>
      <c r="H75" s="124" t="s">
        <v>212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295</v>
      </c>
      <c r="B76" s="123" t="s">
        <v>296</v>
      </c>
      <c r="C76" s="124">
        <v>0.57999999999999996</v>
      </c>
      <c r="D76" s="124" t="s">
        <v>155</v>
      </c>
      <c r="E76" s="124">
        <v>1.56</v>
      </c>
      <c r="F76" s="125" t="s">
        <v>156</v>
      </c>
      <c r="G76" s="126">
        <v>0.3</v>
      </c>
      <c r="H76" s="124" t="s">
        <v>297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298</v>
      </c>
      <c r="B77" s="123" t="s">
        <v>299</v>
      </c>
      <c r="C77" s="124">
        <v>0.37</v>
      </c>
      <c r="D77" s="124" t="s">
        <v>155</v>
      </c>
      <c r="E77" s="124">
        <v>1.3</v>
      </c>
      <c r="F77" s="125" t="s">
        <v>156</v>
      </c>
      <c r="G77" s="126">
        <v>0.55000000000000004</v>
      </c>
      <c r="H77" s="124" t="s">
        <v>182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300</v>
      </c>
      <c r="B78" s="123" t="s">
        <v>301</v>
      </c>
      <c r="C78" s="124">
        <v>0.37</v>
      </c>
      <c r="D78" s="124" t="s">
        <v>155</v>
      </c>
      <c r="E78" s="124">
        <v>1.3</v>
      </c>
      <c r="F78" s="125" t="s">
        <v>156</v>
      </c>
      <c r="G78" s="126">
        <v>0.55000000000000004</v>
      </c>
      <c r="H78" s="124" t="s">
        <v>182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302</v>
      </c>
      <c r="B79" s="123" t="s">
        <v>303</v>
      </c>
      <c r="C79" s="124">
        <v>0.38</v>
      </c>
      <c r="D79" s="124" t="s">
        <v>155</v>
      </c>
      <c r="E79" s="124">
        <v>1.3</v>
      </c>
      <c r="F79" s="125" t="s">
        <v>156</v>
      </c>
      <c r="G79" s="126">
        <v>0.55000000000000004</v>
      </c>
      <c r="H79" s="124" t="s">
        <v>172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304</v>
      </c>
      <c r="B80" s="123" t="s">
        <v>305</v>
      </c>
      <c r="C80" s="124">
        <v>0.36</v>
      </c>
      <c r="D80" s="124" t="s">
        <v>155</v>
      </c>
      <c r="E80" s="124">
        <v>1.3</v>
      </c>
      <c r="F80" s="125" t="s">
        <v>156</v>
      </c>
      <c r="G80" s="126">
        <v>0.55000000000000004</v>
      </c>
      <c r="H80" s="124" t="s">
        <v>172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306</v>
      </c>
      <c r="B81" s="123" t="s">
        <v>307</v>
      </c>
      <c r="C81" s="124">
        <v>0.37</v>
      </c>
      <c r="D81" s="124" t="s">
        <v>155</v>
      </c>
      <c r="E81" s="124">
        <v>1.56</v>
      </c>
      <c r="F81" s="125" t="s">
        <v>156</v>
      </c>
      <c r="G81" s="126">
        <v>0.43</v>
      </c>
      <c r="H81" s="124" t="s">
        <v>157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308</v>
      </c>
      <c r="B82" s="123" t="s">
        <v>309</v>
      </c>
      <c r="C82" s="124">
        <v>0.35</v>
      </c>
      <c r="D82" s="124" t="s">
        <v>310</v>
      </c>
      <c r="E82" s="124">
        <v>1.3</v>
      </c>
      <c r="F82" s="125" t="s">
        <v>156</v>
      </c>
      <c r="G82" s="126">
        <v>0.55000000000000004</v>
      </c>
      <c r="H82" s="124" t="s">
        <v>172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311</v>
      </c>
      <c r="B83" s="123" t="s">
        <v>312</v>
      </c>
      <c r="C83" s="124">
        <v>0.34</v>
      </c>
      <c r="D83" s="124" t="s">
        <v>155</v>
      </c>
      <c r="E83" s="124">
        <v>1.3</v>
      </c>
      <c r="F83" s="125" t="s">
        <v>156</v>
      </c>
      <c r="G83" s="126">
        <v>0.55000000000000004</v>
      </c>
      <c r="H83" s="124" t="s">
        <v>172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313</v>
      </c>
      <c r="B84" s="123" t="s">
        <v>314</v>
      </c>
      <c r="C84" s="124">
        <v>0.31</v>
      </c>
      <c r="D84" s="124" t="s">
        <v>155</v>
      </c>
      <c r="E84" s="124">
        <v>1.3</v>
      </c>
      <c r="F84" s="125" t="s">
        <v>156</v>
      </c>
      <c r="G84" s="126">
        <v>0.55000000000000004</v>
      </c>
      <c r="H84" s="124" t="s">
        <v>172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315</v>
      </c>
      <c r="B85" s="123" t="s">
        <v>316</v>
      </c>
      <c r="C85" s="124">
        <v>0.43</v>
      </c>
      <c r="D85" s="124" t="s">
        <v>155</v>
      </c>
      <c r="E85" s="124">
        <v>1.56</v>
      </c>
      <c r="F85" s="125" t="s">
        <v>156</v>
      </c>
      <c r="G85" s="126">
        <v>0.53</v>
      </c>
      <c r="H85" s="124" t="s">
        <v>212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317</v>
      </c>
      <c r="B86" s="123" t="s">
        <v>318</v>
      </c>
      <c r="C86" s="124">
        <v>0.38</v>
      </c>
      <c r="D86" s="124" t="s">
        <v>155</v>
      </c>
      <c r="E86" s="124">
        <v>1.56</v>
      </c>
      <c r="F86" s="125" t="s">
        <v>156</v>
      </c>
      <c r="G86" s="126">
        <v>0.6</v>
      </c>
      <c r="H86" s="124" t="s">
        <v>319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320</v>
      </c>
      <c r="B87" s="252" t="s">
        <v>321</v>
      </c>
      <c r="C87" s="253">
        <v>0.41</v>
      </c>
      <c r="D87" s="253" t="s">
        <v>322</v>
      </c>
      <c r="E87" s="253">
        <v>1.56</v>
      </c>
      <c r="F87" s="254" t="s">
        <v>156</v>
      </c>
      <c r="G87" s="255">
        <v>0.43</v>
      </c>
      <c r="H87" s="253" t="s">
        <v>157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81</v>
      </c>
      <c r="B88" s="130"/>
      <c r="C88" s="124">
        <v>0.42</v>
      </c>
      <c r="D88" s="124" t="s">
        <v>155</v>
      </c>
      <c r="E88" s="124">
        <v>1.3</v>
      </c>
      <c r="F88" s="125" t="s">
        <v>156</v>
      </c>
      <c r="G88" s="131"/>
      <c r="H88" s="130"/>
      <c r="I88" s="132"/>
    </row>
    <row r="89" spans="1:14" ht="15" thickBot="1" x14ac:dyDescent="0.4">
      <c r="A89" s="133" t="s">
        <v>323</v>
      </c>
      <c r="B89" s="134"/>
      <c r="C89" s="135">
        <v>0.56999999999999995</v>
      </c>
      <c r="D89" s="136" t="s">
        <v>155</v>
      </c>
      <c r="E89" s="135">
        <v>1.56</v>
      </c>
      <c r="F89" s="135" t="s">
        <v>156</v>
      </c>
      <c r="G89" s="134"/>
      <c r="H89" s="134"/>
      <c r="I89" s="137"/>
    </row>
    <row r="93" spans="1:14" x14ac:dyDescent="0.35">
      <c r="A93" s="122" t="s">
        <v>82</v>
      </c>
    </row>
    <row r="94" spans="1:14" x14ac:dyDescent="0.35">
      <c r="A94" s="122" t="s">
        <v>83</v>
      </c>
    </row>
    <row r="95" spans="1:14" x14ac:dyDescent="0.35">
      <c r="A95" s="122" t="s">
        <v>84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1B646556-3F16-46C4-9E73-D2C9AA132D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479019-3E33-4F16-BDCA-5EC42661DE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404A52-7464-49AD-B9F8-BD15FA5D5342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REE</vt:lpstr>
      <vt:lpstr>Scénario référence</vt:lpstr>
      <vt:lpstr>VAN</vt:lpstr>
      <vt:lpstr>Calculateur</vt:lpstr>
      <vt:lpstr>Paramètres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Constantin DESCAMPS</cp:lastModifiedBy>
  <cp:revision/>
  <dcterms:created xsi:type="dcterms:W3CDTF">2021-02-01T08:22:39Z</dcterms:created>
  <dcterms:modified xsi:type="dcterms:W3CDTF">2024-03-25T16:38:52Z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MediaServiceImageTags">
    <vt:lpwstr/>
  </property>
</Properties>
</file>