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32-B-PASTAUD-NAQ(47)-CHAMBAREL-Heslot-Montauriol&amp;StMauriceDeL'Estapel-16,47ha/"/>
    </mc:Choice>
  </mc:AlternateContent>
  <xr:revisionPtr revIDLastSave="0" documentId="13_ncr:1_{B1218191-1AD0-CD4F-BE08-2324823595F4}" xr6:coauthVersionLast="47" xr6:coauthVersionMax="47" xr10:uidLastSave="{00000000-0000-0000-0000-000000000000}"/>
  <bookViews>
    <workbookView xWindow="-7140" yWindow="-28300" windowWidth="39540" windowHeight="264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X155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EY163" i="2"/>
  <c r="EA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EB168" i="2"/>
  <c r="EV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DF179" i="2"/>
  <c r="EB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W186" i="2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V190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X193" i="2" l="1"/>
  <c r="DI192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DH195" i="2"/>
  <c r="EB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EB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EX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EI195" i="2" a="1"/>
  <c r="EI195" i="2" s="1"/>
  <c r="CS137" i="2" a="1"/>
  <c r="CS137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16" i="2" a="1"/>
  <c r="DN16" i="2" s="1"/>
  <c r="DN31" i="2" a="1"/>
  <c r="DN31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DN70" i="2" l="1" a="1"/>
  <c r="DN70" i="2" s="1"/>
  <c r="DN55" i="2" a="1"/>
  <c r="DN55" i="2" s="1"/>
  <c r="DN80" i="2" a="1"/>
  <c r="DN80" i="2" s="1"/>
  <c r="DN167" i="2" a="1"/>
  <c r="DN167" i="2" s="1"/>
  <c r="DN168" i="2" a="1"/>
  <c r="DN168" i="2" s="1"/>
  <c r="DN177" i="2" a="1"/>
  <c r="DN177" i="2" s="1"/>
  <c r="DN162" i="2" a="1"/>
  <c r="DN162" i="2" s="1"/>
  <c r="DN115" i="2" a="1"/>
  <c r="DN115" i="2" s="1"/>
  <c r="DN49" i="2" a="1"/>
  <c r="DN49" i="2" s="1"/>
  <c r="DN29" i="2" a="1"/>
  <c r="DN29" i="2" s="1"/>
  <c r="DN63" i="2" a="1"/>
  <c r="DN63" i="2" s="1"/>
  <c r="DN41" i="2" a="1"/>
  <c r="DN41" i="2" s="1"/>
  <c r="BX107" i="2" a="1"/>
  <c r="BX107" i="2" s="1"/>
  <c r="AH163" i="2" a="1"/>
  <c r="AH163" i="2" s="1"/>
  <c r="AH151" i="2" a="1"/>
  <c r="AH151" i="2" s="1"/>
  <c r="CS129" i="2" a="1"/>
  <c r="CS129" i="2" s="1"/>
  <c r="CS116" i="2" a="1"/>
  <c r="CS116" i="2" s="1"/>
  <c r="AH166" i="2" a="1"/>
  <c r="AH166" i="2" s="1"/>
  <c r="BC181" i="2" a="1"/>
  <c r="BC181" i="2" s="1"/>
  <c r="BC32" i="2" a="1"/>
  <c r="BC32" i="2" s="1"/>
  <c r="BC130" i="2" a="1"/>
  <c r="BC130" i="2" s="1"/>
  <c r="BC38" i="2" a="1"/>
  <c r="BC38" i="2" s="1"/>
  <c r="BC82" i="2" a="1"/>
  <c r="BC82" i="2" s="1"/>
  <c r="BC185" i="2" a="1"/>
  <c r="BC185" i="2" s="1"/>
  <c r="BC83" i="2" a="1"/>
  <c r="BC83" i="2" s="1"/>
  <c r="BC143" i="2" a="1"/>
  <c r="BC143" i="2" s="1"/>
  <c r="BC164" i="2" a="1"/>
  <c r="BC164" i="2" s="1"/>
  <c r="BC65" i="2" a="1"/>
  <c r="BC65" i="2" s="1"/>
  <c r="BC58" i="2" a="1"/>
  <c r="BC58" i="2" s="1"/>
  <c r="BC151" i="2" a="1"/>
  <c r="BC151" i="2" s="1"/>
  <c r="BC31" i="2" a="1"/>
  <c r="BC31" i="2" s="1"/>
  <c r="BC192" i="2" a="1"/>
  <c r="BC192" i="2" s="1"/>
  <c r="BC114" i="2" a="1"/>
  <c r="BC114" i="2" s="1"/>
  <c r="BC18" i="2" a="1"/>
  <c r="BC18" i="2" s="1"/>
  <c r="BC7" i="2" a="1"/>
  <c r="BC7" i="2" s="1"/>
  <c r="BC84" i="2" a="1"/>
  <c r="BC84" i="2" s="1"/>
  <c r="BC55" i="2" a="1"/>
  <c r="BC55" i="2" s="1"/>
  <c r="BC117" i="2" a="1"/>
  <c r="BC117" i="2" s="1"/>
  <c r="BC126" i="2" a="1"/>
  <c r="BC126" i="2" s="1"/>
  <c r="BC34" i="2" a="1"/>
  <c r="BC34" i="2" s="1"/>
  <c r="BC47" i="2" a="1"/>
  <c r="BC47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<sst xmlns="http://schemas.openxmlformats.org/spreadsheetml/2006/main" count="1184" uniqueCount="330">
  <si>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</si>
  <si>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</si>
  <si>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</si>
  <si>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</si>
  <si>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</si>
  <si>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</si>
  <si>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</si>
  <si>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</si>
  <si>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</si>
  <si>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</si>
  <si>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</si>
  <si>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</si>
  <si>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</si>
  <si>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</si>
  <si>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</si>
  <si>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</si>
  <si>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</si>
  <si>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</si>
  <si>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</si>
  <si>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</si>
  <si>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</si>
  <si>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</si>
  <si>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</si>
  <si>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</si>
  <si>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</si>
  <si>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</si>
  <si>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</si>
  <si>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</si>
  <si>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</si>
  <si>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</si>
  <si>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</si>
  <si>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</si>
  <si>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</si>
  <si>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</si>
  <si>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</si>
  <si>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</si>
  <si>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</si>
  <si>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</si>
  <si>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</si>
  <si>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</si>
  <si>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</si>
  <si>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</si>
  <si>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</si>
  <si>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</si>
  <si>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</si>
  <si>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</si>
  <si>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</si>
  <si>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</si>
  <si>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</si>
  <si>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</si>
  <si>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</si>
  <si>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</si>
  <si>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</si>
  <si>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</si>
  <si>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</si>
  <si>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</si>
  <si>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</si>
  <si>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</si>
  <si>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</si>
  <si>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</si>
  <si>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</si>
  <si>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</si>
  <si>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</si>
  <si>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</si>
  <si>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</si>
  <si>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</si>
  <si>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</si>
  <si>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</si>
  <si>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</si>
  <si>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</si>
  <si>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</si>
  <si>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</si>
  <si>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</si>
  <si>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</si>
  <si>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</si>
  <si>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</si>
  <si>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</si>
  <si>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</si>
  <si>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</si>
  <si>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</si>
  <si>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</si>
  <si>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</si>
  <si>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</si>
  <si>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</si>
  <si>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</si>
  <si>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</si>
  <si>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</si>
  <si>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</si>
  <si>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</si>
  <si>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</si>
  <si>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</si>
  <si>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</si>
  <si>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</si>
  <si>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</si>
  <si>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</si>
  <si>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</si>
  <si>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</si>
  <si>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</si>
  <si>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</si>
  <si>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</si>
  <si>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</si>
  <si>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</si>
  <si>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</si>
  <si>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</si>
  <si>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</si>
  <si>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</si>
  <si>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</si>
  <si>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</si>
  <si>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</si>
  <si>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</si>
  <si>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</si>
  <si>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</si>
  <si>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</si>
  <si>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</si>
  <si>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</si>
  <si>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</si>
  <si>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</si>
  <si>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</si>
  <si>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</si>
  <si>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</si>
  <si>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</si>
  <si>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</si>
  <si>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</si>
  <si>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</si>
  <si>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</si>
  <si>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</si>
  <si>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</si>
  <si>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</si>
  <si>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</si>
  <si>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</si>
  <si>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</si>
  <si>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</si>
  <si>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</si>
  <si>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</si>
  <si>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</si>
  <si>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</si>
  <si>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</si>
  <si>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</si>
  <si>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</si>
  <si>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</si>
  <si>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</si>
  <si>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</si>
  <si>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</si>
  <si>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</si>
  <si>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</si>
  <si>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</si>
  <si>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</si>
  <si>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</si>
  <si>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</si>
  <si>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</si>
  <si>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</si>
  <si>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</si>
  <si>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</si>
  <si>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</si>
  <si>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</si>
  <si>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</si>
  <si>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</si>
  <si>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</si>
  <si>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</si>
  <si>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</si>
  <si>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</si>
  <si>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</si>
  <si>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</si>
  <si>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</si>
  <si>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</si>
  <si>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</si>
  <si>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</si>
  <si>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</si>
  <si>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</si>
  <si>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</si>
  <si>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</si>
  <si>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</si>
  <si>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</si>
  <si>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</si>
  <si>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</si>
  <si>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</si>
  <si>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</si>
  <si>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</si>
  <si>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</si>
  <si>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</si>
  <si>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</si>
  <si>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</si>
  <si>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</si>
  <si>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</si>
  <si>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</si>
  <si>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</si>
  <si>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</si>
  <si>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</si>
  <si>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</si>
  <si>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</si>
  <si>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</si>
  <si>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</si>
  <si>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</si>
  <si>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</si>
  <si>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</si>
  <si>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</si>
  <si>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</si>
  <si>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</si>
  <si>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</si>
  <si>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</si>
  <si>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</si>
  <si>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</si>
  <si>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</si>
  <si>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</si>
  <si>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</si>
  <si>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</si>
  <si>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</si>
  <si>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</si>
  <si>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</si>
  <si>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</si>
  <si>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</si>
  <si>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</si>
  <si>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</si>
  <si>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</si>
  <si>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</si>
  <si>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</si>
  <si>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</si>
  <si>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</si>
  <si>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</si>
  <si>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</si>
  <si>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</si>
  <si>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</si>
  <si>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</si>
  <si>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</si>
  <si>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</si>
  <si>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</si>
  <si>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</si>
  <si>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</si>
  <si>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</si>
  <si>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</si>
  <si>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</si>
  <si>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</si>
  <si>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</si>
  <si>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</si>
  <si>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</si>
  <si>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</si>
  <si>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</si>
  <si>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</si>
  <si>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</si>
  <si>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</si>
  <si>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</si>
  <si>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</si>
  <si>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</si>
  <si>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</si>
  <si>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</si>
  <si>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</si>
  <si>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</si>
  <si>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</si>
  <si>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</si>
  <si>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</si>
  <si>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</si>
  <si>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</si>
  <si>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</si>
  <si>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</si>
  <si>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</si>
  <si>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</si>
  <si>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</si>
  <si>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</si>
  <si>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</si>
  <si>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</si>
  <si>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</si>
  <si>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</si>
  <si>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</si>
  <si>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</si>
  <si>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</si>
  <si>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</si>
  <si>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</si>
  <si>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</si>
  <si>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</si>
  <si>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</si>
  <si>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</si>
  <si>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</si>
  <si>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</si>
  <si>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</si>
  <si>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</si>
  <si>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</si>
  <si>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</si>
  <si>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</si>
  <si>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</si>
  <si>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</si>
  <si>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</si>
  <si>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</si>
  <si>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</si>
  <si>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</si>
  <si>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</si>
  <si>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</si>
  <si>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</si>
  <si>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</si>
  <si>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</si>
  <si>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</si>
  <si>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</si>
  <si>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</si>
  <si>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</si>
  <si>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</si>
  <si>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</si>
  <si>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</si>
  <si>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</si>
  <si>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</si>
  <si>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</si>
  <si>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</si>
  <si>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</si>
  <si>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</si>
  <si>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</si>
  <si>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</si>
  <si>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</si>
  <si>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</si>
  <si>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</si>
  <si>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</si>
  <si>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</si>
  <si>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</si>
  <si>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</si>
  <si>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</si>
  <si>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</si>
  <si>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</si>
  <si>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</si>
  <si>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</si>
  <si>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</si>
  <si>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</si>
  <si>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</si>
  <si>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</si>
  <si>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</si>
  <si>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</si>
  <si>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</si>
  <si>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</si>
  <si>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Moncalvo</t>
  </si>
  <si>
    <t>Rona</t>
  </si>
  <si>
    <t>Vesten</t>
  </si>
  <si>
    <t>Tucano</t>
  </si>
  <si>
    <t>AF8</t>
  </si>
  <si>
    <t>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</si>
</sst>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1.6879898674949141</c:v>
                </c:pt>
                <c:pt idx="2">
                  <c:v>2.0854566490860464</c:v>
                </c:pt>
                <c:pt idx="3">
                  <c:v>2.5768811064318067</c:v>
                </c:pt>
                <c:pt idx="4">
                  <c:v>3.1845561156178146</c:v>
                </c:pt>
                <c:pt idx="5">
                  <c:v>3.9360821613674299</c:v>
                </c:pt>
                <c:pt idx="6">
                  <c:v>35.362575102179342</c:v>
                </c:pt>
                <c:pt idx="7">
                  <c:v>68.18426908822488</c:v>
                </c:pt>
                <c:pt idx="8">
                  <c:v>105.18874075739923</c:v>
                </c:pt>
                <c:pt idx="9">
                  <c:v>140.72397143205976</c:v>
                </c:pt>
                <c:pt idx="10">
                  <c:v>176.04232886297191</c:v>
                </c:pt>
                <c:pt idx="11">
                  <c:v>212.32525328046401</c:v>
                </c:pt>
                <c:pt idx="12">
                  <c:v>245.08225003541099</c:v>
                </c:pt>
                <c:pt idx="13">
                  <c:v>274.36551974723062</c:v>
                </c:pt>
                <c:pt idx="14">
                  <c:v>300.21113544922036</c:v>
                </c:pt>
                <c:pt idx="15">
                  <c:v>323.76591506204619</c:v>
                </c:pt>
                <c:pt idx="16">
                  <c:v>343.92546889640727</c:v>
                </c:pt>
                <c:pt idx="17">
                  <c:v>365.17687261995815</c:v>
                </c:pt>
                <c:pt idx="18">
                  <c:v>379.70164117358587</c:v>
                </c:pt>
                <c:pt idx="19">
                  <c:v>394.21432426135442</c:v>
                </c:pt>
                <c:pt idx="20">
                  <c:v>405.37002304691242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1.7545659662190822</c:v>
                </c:pt>
                <c:pt idx="2">
                  <c:v>2.2533346750183951</c:v>
                </c:pt>
                <c:pt idx="3">
                  <c:v>2.8944630559914515</c:v>
                </c:pt>
                <c:pt idx="4">
                  <c:v>3.7187387986831424</c:v>
                </c:pt>
                <c:pt idx="5">
                  <c:v>4.7786773772542768</c:v>
                </c:pt>
                <c:pt idx="6">
                  <c:v>6.1419053079854136</c:v>
                </c:pt>
                <c:pt idx="7">
                  <c:v>7.8955223854744299</c:v>
                </c:pt>
                <c:pt idx="8">
                  <c:v>10.151726963377824</c:v>
                </c:pt>
                <c:pt idx="9">
                  <c:v>41.268407893798233</c:v>
                </c:pt>
                <c:pt idx="10">
                  <c:v>75.154841693095705</c:v>
                </c:pt>
                <c:pt idx="11">
                  <c:v>110.93786523534801</c:v>
                </c:pt>
                <c:pt idx="12">
                  <c:v>149.85670075971817</c:v>
                </c:pt>
                <c:pt idx="13">
                  <c:v>191.93562952471487</c:v>
                </c:pt>
                <c:pt idx="14">
                  <c:v>229.28193394845107</c:v>
                </c:pt>
                <c:pt idx="15">
                  <c:v>267.61439341566046</c:v>
                </c:pt>
                <c:pt idx="16">
                  <c:v>305.82302433005219</c:v>
                </c:pt>
                <c:pt idx="17">
                  <c:v>338.3282714304305</c:v>
                </c:pt>
                <c:pt idx="18">
                  <c:v>370.76478640470526</c:v>
                </c:pt>
                <c:pt idx="19">
                  <c:v>399.79301616201769</c:v>
                </c:pt>
                <c:pt idx="20">
                  <c:v>425.43369739515919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40.075147827011037</c:v>
                </c:pt>
                <c:pt idx="10">
                  <c:v>72.978392622949812</c:v>
                </c:pt>
                <c:pt idx="11">
                  <c:v>107.72202293155276</c:v>
                </c:pt>
                <c:pt idx="12">
                  <c:v>145.50949477852396</c:v>
                </c:pt>
                <c:pt idx="13">
                  <c:v>186.36444976459833</c:v>
                </c:pt>
                <c:pt idx="14">
                  <c:v>222.62393730733984</c:v>
                </c:pt>
                <c:pt idx="15">
                  <c:v>259.84048040204476</c:v>
                </c:pt>
                <c:pt idx="16">
                  <c:v>296.93645704405805</c:v>
                </c:pt>
                <c:pt idx="17">
                  <c:v>328.49490068546294</c:v>
                </c:pt>
                <c:pt idx="18">
                  <c:v>359.98642285809751</c:v>
                </c:pt>
                <c:pt idx="19">
                  <c:v>388.16880820600954</c:v>
                </c:pt>
                <c:pt idx="20">
                  <c:v>413.06224714113165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1.8809533420480171</c:v>
                </c:pt>
                <c:pt idx="2">
                  <c:v>3.066315848133208</c:v>
                </c:pt>
                <c:pt idx="3">
                  <c:v>5.0024199524504693</c:v>
                </c:pt>
                <c:pt idx="4">
                  <c:v>8.1669593600294874</c:v>
                </c:pt>
                <c:pt idx="5">
                  <c:v>13.342890928257825</c:v>
                </c:pt>
                <c:pt idx="6">
                  <c:v>21.814277712198262</c:v>
                </c:pt>
                <c:pt idx="7">
                  <c:v>55.543193722091296</c:v>
                </c:pt>
                <c:pt idx="8">
                  <c:v>90.636401142604498</c:v>
                </c:pt>
                <c:pt idx="9">
                  <c:v>126.3432898000454</c:v>
                </c:pt>
                <c:pt idx="10">
                  <c:v>163.71414076379008</c:v>
                </c:pt>
                <c:pt idx="11">
                  <c:v>196.12671900587847</c:v>
                </c:pt>
                <c:pt idx="12">
                  <c:v>228.41463048777476</c:v>
                </c:pt>
                <c:pt idx="13">
                  <c:v>257.76208586428635</c:v>
                </c:pt>
                <c:pt idx="14">
                  <c:v>285.14755944378334</c:v>
                </c:pt>
                <c:pt idx="15">
                  <c:v>307.76660666579431</c:v>
                </c:pt>
                <c:pt idx="16">
                  <c:v>326.58748080891706</c:v>
                </c:pt>
                <c:pt idx="17">
                  <c:v>346.32365295129557</c:v>
                </c:pt>
                <c:pt idx="18">
                  <c:v>361.34408218599719</c:v>
                </c:pt>
                <c:pt idx="19">
                  <c:v>373.53810229236774</c:v>
                </c:pt>
                <c:pt idx="20">
                  <c:v>385.72344931967268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34.340499100461251</c:v>
                </c:pt>
                <c:pt idx="10">
                  <c:v>60.556368030357454</c:v>
                </c:pt>
                <c:pt idx="11">
                  <c:v>87.589856064566405</c:v>
                </c:pt>
                <c:pt idx="12">
                  <c:v>116.63868653131253</c:v>
                </c:pt>
                <c:pt idx="13">
                  <c:v>142.18586719742532</c:v>
                </c:pt>
                <c:pt idx="14">
                  <c:v>168.72649854710286</c:v>
                </c:pt>
                <c:pt idx="15">
                  <c:v>194.06855653987475</c:v>
                </c:pt>
                <c:pt idx="16">
                  <c:v>217.13943416178634</c:v>
                </c:pt>
                <c:pt idx="17">
                  <c:v>237.96432737707607</c:v>
                </c:pt>
                <c:pt idx="18">
                  <c:v>257.6548036297558</c:v>
                </c:pt>
                <c:pt idx="19">
                  <c:v>274.03742715328451</c:v>
                </c:pt>
                <c:pt idx="20">
                  <c:v>289.30799460505648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1.7042974025924702</c:v>
                </c:pt>
                <c:pt idx="2">
                  <c:v>2.1887254462288022</c:v>
                </c:pt>
                <c:pt idx="3">
                  <c:v>2.8114063023578826</c:v>
                </c:pt>
                <c:pt idx="4">
                  <c:v>3.6119473150358368</c:v>
                </c:pt>
                <c:pt idx="5">
                  <c:v>4.6413432401622412</c:v>
                </c:pt>
                <c:pt idx="6">
                  <c:v>5.965261048901418</c:v>
                </c:pt>
                <c:pt idx="7">
                  <c:v>7.6682751513835692</c:v>
                </c:pt>
                <c:pt idx="8">
                  <c:v>9.8593288013918841</c:v>
                </c:pt>
                <c:pt idx="9">
                  <c:v>34.340499100461251</c:v>
                </c:pt>
                <c:pt idx="10">
                  <c:v>60.556368030357454</c:v>
                </c:pt>
                <c:pt idx="11">
                  <c:v>87.589856064566405</c:v>
                </c:pt>
                <c:pt idx="12">
                  <c:v>116.63868653131253</c:v>
                </c:pt>
                <c:pt idx="13">
                  <c:v>142.18586719742532</c:v>
                </c:pt>
                <c:pt idx="14">
                  <c:v>168.72649854710286</c:v>
                </c:pt>
                <c:pt idx="15">
                  <c:v>194.06855653987475</c:v>
                </c:pt>
                <c:pt idx="16">
                  <c:v>217.13943416178634</c:v>
                </c:pt>
                <c:pt idx="17">
                  <c:v>237.96432737707607</c:v>
                </c:pt>
                <c:pt idx="18">
                  <c:v>257.6548036297558</c:v>
                </c:pt>
                <c:pt idx="19">
                  <c:v>274.03742715328451</c:v>
                </c:pt>
                <c:pt idx="20">
                  <c:v>289.30799460505648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5" x14ac:dyDescent="0.2"/>
  <cols>
    <col min="1" max="1" width="6.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9" zoomScale="135" zoomScaleNormal="80" workbookViewId="0">
      <selection activeCell="B121" sqref="B121"/>
    </sheetView>
  </sheetViews>
  <sheetFormatPr baseColWidth="10" defaultColWidth="11.5" defaultRowHeight="15" x14ac:dyDescent="0.2"/>
  <cols>
    <col min="1" max="1" width="13.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5" style="23" customWidth="1"/>
    <col min="6" max="6" width="28.83203125" style="23" bestFit="1" customWidth="1"/>
    <col min="7" max="8" width="14.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16.47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123</v>
      </c>
      <c r="C9" s="32">
        <v>0.13392899999999999</v>
      </c>
      <c r="D9" s="33">
        <f t="shared" ref="D9:D18" si="0">C9*$C$5</f>
        <v>2.2058106299999998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3" t="s">
        <v>324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123</v>
      </c>
      <c r="C10" s="32">
        <v>0.20833299999999999</v>
      </c>
      <c r="D10" s="33">
        <f t="shared" si="0"/>
        <v>3.4312445099999995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112</v>
      </c>
      <c r="C11" s="32">
        <v>0.13392899999999999</v>
      </c>
      <c r="D11" s="33">
        <f t="shared" si="0"/>
        <v>2.2058106299999998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111</v>
      </c>
      <c r="C12" s="32">
        <v>0.16666700000000001</v>
      </c>
      <c r="D12" s="33">
        <f t="shared" si="0"/>
        <v>2.74500549</v>
      </c>
      <c r="E12" s="34">
        <v>20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112</v>
      </c>
      <c r="C13" s="32">
        <v>0.17857100000000001</v>
      </c>
      <c r="D13" s="33">
        <f t="shared" si="0"/>
        <v>2.9410643699999999</v>
      </c>
      <c r="E13" s="34">
        <v>20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328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112</v>
      </c>
      <c r="C14" s="32">
        <v>0.17857100000000001</v>
      </c>
      <c r="D14" s="33">
        <f t="shared" si="0"/>
        <v>2.9410643699999999</v>
      </c>
      <c r="E14" s="34">
        <v>20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329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16.47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Peuplier Dorskamp</v>
      </c>
      <c r="C32" s="23" t="s">
        <v>324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5</v>
      </c>
      <c r="B36" s="60">
        <v>3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6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7</v>
      </c>
      <c r="B38" s="60">
        <v>57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8</v>
      </c>
      <c r="B39" s="60">
        <v>89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9</v>
      </c>
      <c r="B40" s="60">
        <v>120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10</v>
      </c>
      <c r="B41" s="60">
        <v>151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11</v>
      </c>
      <c r="B42" s="60">
        <v>183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12</v>
      </c>
      <c r="B43" s="60">
        <v>212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29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13</v>
      </c>
      <c r="B44" s="60">
        <v>238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26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14</v>
      </c>
      <c r="B45" s="60">
        <v>261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23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15</v>
      </c>
      <c r="B46" s="60">
        <v>282</v>
      </c>
      <c r="C46" s="60">
        <v>0</v>
      </c>
      <c r="D46" s="60">
        <v>0</v>
      </c>
      <c r="E46" s="51">
        <v>0.47</v>
      </c>
      <c r="F46" s="51">
        <v>0.21</v>
      </c>
      <c r="G46" s="51"/>
      <c r="H46" s="51">
        <v>0.31</v>
      </c>
      <c r="I46" s="49">
        <f t="shared" si="1"/>
        <v>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16</v>
      </c>
      <c r="B47" s="60">
        <v>300</v>
      </c>
      <c r="C47" s="60">
        <v>0</v>
      </c>
      <c r="D47" s="60">
        <v>0</v>
      </c>
      <c r="E47" s="51">
        <v>0.47</v>
      </c>
      <c r="F47" s="51">
        <v>0.21</v>
      </c>
      <c r="G47" s="51"/>
      <c r="H47" s="51">
        <v>0.31</v>
      </c>
      <c r="I47" s="49">
        <f t="shared" si="1"/>
        <v>18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17</v>
      </c>
      <c r="B48" s="60">
        <v>319</v>
      </c>
      <c r="C48" s="60">
        <v>0</v>
      </c>
      <c r="D48" s="60">
        <v>0</v>
      </c>
      <c r="E48" s="51">
        <v>0.47</v>
      </c>
      <c r="F48" s="51">
        <v>0.21</v>
      </c>
      <c r="G48" s="51"/>
      <c r="H48" s="51">
        <v>0.31</v>
      </c>
      <c r="I48" s="49">
        <f t="shared" si="1"/>
        <v>19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18</v>
      </c>
      <c r="B49" s="60">
        <v>332</v>
      </c>
      <c r="C49" s="60">
        <v>0</v>
      </c>
      <c r="D49" s="60">
        <v>0</v>
      </c>
      <c r="E49" s="51">
        <v>0.47</v>
      </c>
      <c r="F49" s="51">
        <v>0.21</v>
      </c>
      <c r="G49" s="51"/>
      <c r="H49" s="51">
        <v>0.31</v>
      </c>
      <c r="I49" s="49">
        <f t="shared" si="1"/>
        <v>13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19</v>
      </c>
      <c r="B50" s="50">
        <v>345</v>
      </c>
      <c r="C50" s="50">
        <v>0</v>
      </c>
      <c r="D50" s="50">
        <v>0</v>
      </c>
      <c r="E50" s="51">
        <v>0.47</v>
      </c>
      <c r="F50" s="51">
        <v>0.21</v>
      </c>
      <c r="G50" s="51"/>
      <c r="H50" s="51">
        <v>0.31</v>
      </c>
      <c r="I50" s="49">
        <f t="shared" si="1"/>
        <v>13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20</v>
      </c>
      <c r="B51" s="50">
        <v>355</v>
      </c>
      <c r="C51" s="50">
        <v>1</v>
      </c>
      <c r="D51" s="50">
        <v>355</v>
      </c>
      <c r="E51" s="51">
        <v>0.47</v>
      </c>
      <c r="F51" s="51">
        <v>0.21</v>
      </c>
      <c r="G51" s="51"/>
      <c r="H51" s="51">
        <v>0.31</v>
      </c>
      <c r="I51" s="49">
        <f t="shared" si="1"/>
        <v>10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Peuplier Dorskamp</v>
      </c>
      <c r="C58" s="23" t="s">
        <v>325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8</v>
      </c>
      <c r="B62" s="60">
        <v>8</v>
      </c>
      <c r="C62" s="60">
        <v>0</v>
      </c>
      <c r="D62" s="60">
        <v>0</v>
      </c>
      <c r="E62" s="51">
        <v>0.47</v>
      </c>
      <c r="F62" s="51">
        <v>0.21</v>
      </c>
      <c r="G62" s="51"/>
      <c r="H62" s="51">
        <v>0.31</v>
      </c>
      <c r="I62" s="53">
        <f>IFERROR(B62/A62,"")</f>
        <v>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9</v>
      </c>
      <c r="B63" s="60">
        <v>34</v>
      </c>
      <c r="C63" s="60">
        <v>0</v>
      </c>
      <c r="D63" s="60">
        <v>0</v>
      </c>
      <c r="E63" s="51">
        <v>0.47</v>
      </c>
      <c r="F63" s="51">
        <v>0.21</v>
      </c>
      <c r="G63" s="51"/>
      <c r="H63" s="51">
        <v>0.31</v>
      </c>
      <c r="I63" s="49">
        <f>IF(A63&lt;&gt;0,(B63-(B62-D62))/(A63-A62),"")</f>
        <v>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10</v>
      </c>
      <c r="B64" s="60">
        <v>63</v>
      </c>
      <c r="C64" s="60">
        <v>0</v>
      </c>
      <c r="D64" s="60">
        <v>0</v>
      </c>
      <c r="E64" s="51">
        <v>0.47</v>
      </c>
      <c r="F64" s="51">
        <v>0.21</v>
      </c>
      <c r="G64" s="51"/>
      <c r="H64" s="51">
        <v>0.31</v>
      </c>
      <c r="I64" s="49">
        <f>IF(A64&lt;&gt;0,(B64-(B63-D63))/(A64-A63),"")</f>
        <v>29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11</v>
      </c>
      <c r="B65" s="60">
        <v>94</v>
      </c>
      <c r="C65" s="60">
        <v>0</v>
      </c>
      <c r="D65" s="60">
        <v>0</v>
      </c>
      <c r="E65" s="51">
        <v>0.47</v>
      </c>
      <c r="F65" s="51">
        <v>0.21</v>
      </c>
      <c r="G65" s="51"/>
      <c r="H65" s="51">
        <v>0.31</v>
      </c>
      <c r="I65" s="49">
        <f>IF(A65&lt;&gt;0,(B65-(B64-D64))/(A65-A64),"")</f>
        <v>31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12</v>
      </c>
      <c r="B66" s="60">
        <v>128</v>
      </c>
      <c r="C66" s="60">
        <v>0</v>
      </c>
      <c r="D66" s="60">
        <v>0</v>
      </c>
      <c r="E66" s="51">
        <v>0.47</v>
      </c>
      <c r="F66" s="51">
        <v>0.21</v>
      </c>
      <c r="G66" s="51"/>
      <c r="H66" s="51">
        <v>0.31</v>
      </c>
      <c r="I66" s="49">
        <f t="shared" ref="I66:I81" si="2">IF(A66&lt;&gt;0,(B66-(B65-D65))/(A66-A65),"")</f>
        <v>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13</v>
      </c>
      <c r="B67" s="60">
        <v>165</v>
      </c>
      <c r="C67" s="60">
        <v>0</v>
      </c>
      <c r="D67" s="60">
        <v>0</v>
      </c>
      <c r="E67" s="51">
        <v>0.47</v>
      </c>
      <c r="F67" s="51">
        <v>0.21</v>
      </c>
      <c r="G67" s="51"/>
      <c r="H67" s="51">
        <v>0.31</v>
      </c>
      <c r="I67" s="49">
        <f t="shared" si="2"/>
        <v>37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14</v>
      </c>
      <c r="B68" s="60">
        <v>198</v>
      </c>
      <c r="C68" s="60">
        <v>0</v>
      </c>
      <c r="D68" s="60">
        <v>0</v>
      </c>
      <c r="E68" s="51">
        <v>0.47</v>
      </c>
      <c r="F68" s="51">
        <v>0.21</v>
      </c>
      <c r="G68" s="51"/>
      <c r="H68" s="51">
        <v>0.31</v>
      </c>
      <c r="I68" s="49">
        <f t="shared" si="2"/>
        <v>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15</v>
      </c>
      <c r="B69" s="50">
        <v>232</v>
      </c>
      <c r="C69" s="50">
        <v>1</v>
      </c>
      <c r="D69" s="50">
        <v>0</v>
      </c>
      <c r="E69" s="51">
        <v>0.47</v>
      </c>
      <c r="F69" s="51">
        <v>0.21</v>
      </c>
      <c r="G69" s="51"/>
      <c r="H69" s="51">
        <v>0.31</v>
      </c>
      <c r="I69" s="49">
        <f t="shared" si="2"/>
        <v>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16</v>
      </c>
      <c r="B70" s="50">
        <v>266</v>
      </c>
      <c r="C70" s="50">
        <v>0</v>
      </c>
      <c r="D70" s="50">
        <v>0</v>
      </c>
      <c r="E70" s="51">
        <v>0.47</v>
      </c>
      <c r="F70" s="51">
        <v>0.21</v>
      </c>
      <c r="G70" s="51"/>
      <c r="H70" s="51">
        <v>0.31</v>
      </c>
      <c r="I70" s="49">
        <f t="shared" si="2"/>
        <v>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17</v>
      </c>
      <c r="B71" s="50">
        <v>295</v>
      </c>
      <c r="C71" s="50">
        <v>0</v>
      </c>
      <c r="D71" s="50">
        <v>0</v>
      </c>
      <c r="E71" s="51">
        <v>0.47</v>
      </c>
      <c r="F71" s="51">
        <v>0.21</v>
      </c>
      <c r="G71" s="51"/>
      <c r="H71" s="51">
        <v>0.31</v>
      </c>
      <c r="I71" s="49">
        <f t="shared" si="2"/>
        <v>29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18</v>
      </c>
      <c r="B72" s="50">
        <v>324</v>
      </c>
      <c r="C72" s="50">
        <v>0</v>
      </c>
      <c r="D72" s="50">
        <v>0</v>
      </c>
      <c r="E72" s="51">
        <v>0.47</v>
      </c>
      <c r="F72" s="51">
        <v>0.21</v>
      </c>
      <c r="G72" s="51"/>
      <c r="H72" s="51">
        <v>0.31</v>
      </c>
      <c r="I72" s="49">
        <f t="shared" si="2"/>
        <v>29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19</v>
      </c>
      <c r="B73" s="50">
        <v>350</v>
      </c>
      <c r="C73" s="50">
        <v>0</v>
      </c>
      <c r="D73" s="50">
        <v>0</v>
      </c>
      <c r="E73" s="51">
        <v>0.47</v>
      </c>
      <c r="F73" s="51">
        <v>0.21</v>
      </c>
      <c r="G73" s="51"/>
      <c r="H73" s="51">
        <v>0.31</v>
      </c>
      <c r="I73" s="49">
        <f t="shared" si="2"/>
        <v>26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20</v>
      </c>
      <c r="B74" s="50">
        <v>373</v>
      </c>
      <c r="C74" s="50">
        <v>1</v>
      </c>
      <c r="D74" s="50">
        <v>373</v>
      </c>
      <c r="E74" s="51">
        <v>0.47</v>
      </c>
      <c r="F74" s="51">
        <v>0.21</v>
      </c>
      <c r="G74" s="51"/>
      <c r="H74" s="51">
        <v>0.31</v>
      </c>
      <c r="I74" s="49">
        <f t="shared" si="2"/>
        <v>23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Peuplier Koster</v>
      </c>
      <c r="C84" s="23" t="s">
        <v>326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8</v>
      </c>
      <c r="B88" s="60">
        <v>8</v>
      </c>
      <c r="C88" s="60">
        <v>0</v>
      </c>
      <c r="D88" s="60">
        <v>0</v>
      </c>
      <c r="E88" s="51">
        <v>0.47</v>
      </c>
      <c r="F88" s="51">
        <v>0.21</v>
      </c>
      <c r="G88" s="51"/>
      <c r="H88" s="87">
        <v>0.31</v>
      </c>
      <c r="I88" s="53">
        <f>IFERROR(B88/A88,"")</f>
        <v>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9</v>
      </c>
      <c r="B89" s="60">
        <v>34</v>
      </c>
      <c r="C89" s="60">
        <v>0</v>
      </c>
      <c r="D89" s="60">
        <v>0</v>
      </c>
      <c r="E89" s="51">
        <v>0.47</v>
      </c>
      <c r="F89" s="51">
        <v>0.21</v>
      </c>
      <c r="G89" s="51"/>
      <c r="H89" s="87">
        <v>0.31</v>
      </c>
      <c r="I89" s="53">
        <f t="shared" ref="I89:I107" si="3">IF(A89&lt;&gt;0,(B89-(B88-D88))/(A89-A88),"")</f>
        <v>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10</v>
      </c>
      <c r="B90" s="60">
        <v>63</v>
      </c>
      <c r="C90" s="60">
        <v>0</v>
      </c>
      <c r="D90" s="60">
        <v>0</v>
      </c>
      <c r="E90" s="87">
        <v>0.47</v>
      </c>
      <c r="F90" s="87">
        <v>0.21</v>
      </c>
      <c r="G90" s="87"/>
      <c r="H90" s="87">
        <v>0.31</v>
      </c>
      <c r="I90" s="53">
        <f t="shared" si="3"/>
        <v>29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11</v>
      </c>
      <c r="B91" s="60">
        <v>94</v>
      </c>
      <c r="C91" s="60">
        <v>0</v>
      </c>
      <c r="D91" s="60">
        <v>0</v>
      </c>
      <c r="E91" s="87">
        <v>0.47</v>
      </c>
      <c r="F91" s="87">
        <v>0.21</v>
      </c>
      <c r="G91" s="87"/>
      <c r="H91" s="87">
        <v>0.31</v>
      </c>
      <c r="I91" s="53">
        <f t="shared" si="3"/>
        <v>31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12</v>
      </c>
      <c r="B92" s="60">
        <v>128</v>
      </c>
      <c r="C92" s="60">
        <v>0</v>
      </c>
      <c r="D92" s="60">
        <v>0</v>
      </c>
      <c r="E92" s="87">
        <v>0.47</v>
      </c>
      <c r="F92" s="87">
        <v>0.21</v>
      </c>
      <c r="G92" s="87"/>
      <c r="H92" s="87">
        <v>0.31</v>
      </c>
      <c r="I92" s="53">
        <f t="shared" si="3"/>
        <v>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13</v>
      </c>
      <c r="B93" s="60">
        <v>165</v>
      </c>
      <c r="C93" s="60">
        <v>0</v>
      </c>
      <c r="D93" s="60">
        <v>0</v>
      </c>
      <c r="E93" s="87">
        <v>0.47</v>
      </c>
      <c r="F93" s="87">
        <v>0.21</v>
      </c>
      <c r="G93" s="87"/>
      <c r="H93" s="87">
        <v>0.31</v>
      </c>
      <c r="I93" s="53">
        <f t="shared" si="3"/>
        <v>37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14</v>
      </c>
      <c r="B94" s="60">
        <v>198</v>
      </c>
      <c r="C94" s="60">
        <v>0</v>
      </c>
      <c r="D94" s="60">
        <v>0</v>
      </c>
      <c r="E94" s="87">
        <v>0.47</v>
      </c>
      <c r="F94" s="87">
        <v>0.21</v>
      </c>
      <c r="G94" s="87"/>
      <c r="H94" s="87">
        <v>0.31</v>
      </c>
      <c r="I94" s="53">
        <f t="shared" si="3"/>
        <v>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15</v>
      </c>
      <c r="B95" s="60">
        <v>232</v>
      </c>
      <c r="C95" s="60">
        <v>1</v>
      </c>
      <c r="D95" s="60">
        <v>0</v>
      </c>
      <c r="E95" s="87">
        <v>0.47</v>
      </c>
      <c r="F95" s="87">
        <v>0.21</v>
      </c>
      <c r="G95" s="87"/>
      <c r="H95" s="87">
        <v>0.31</v>
      </c>
      <c r="I95" s="53">
        <f t="shared" si="3"/>
        <v>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16</v>
      </c>
      <c r="B96" s="60">
        <v>266</v>
      </c>
      <c r="C96" s="60">
        <v>0</v>
      </c>
      <c r="D96" s="60">
        <v>0</v>
      </c>
      <c r="E96" s="87">
        <v>0.47</v>
      </c>
      <c r="F96" s="87">
        <v>0.21</v>
      </c>
      <c r="G96" s="87"/>
      <c r="H96" s="87">
        <v>0.31</v>
      </c>
      <c r="I96" s="53">
        <f t="shared" si="3"/>
        <v>34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17</v>
      </c>
      <c r="B97" s="60">
        <v>295</v>
      </c>
      <c r="C97" s="60">
        <v>0</v>
      </c>
      <c r="D97" s="60">
        <v>0</v>
      </c>
      <c r="E97" s="87">
        <v>0.47</v>
      </c>
      <c r="F97" s="87">
        <v>0.21</v>
      </c>
      <c r="G97" s="87"/>
      <c r="H97" s="87">
        <v>0.31</v>
      </c>
      <c r="I97" s="53">
        <f t="shared" si="3"/>
        <v>29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18</v>
      </c>
      <c r="B98" s="60">
        <v>324</v>
      </c>
      <c r="C98" s="60">
        <v>0</v>
      </c>
      <c r="D98" s="60">
        <v>0</v>
      </c>
      <c r="E98" s="87">
        <v>0.47</v>
      </c>
      <c r="F98" s="87">
        <v>0.21</v>
      </c>
      <c r="G98" s="87"/>
      <c r="H98" s="87">
        <v>0.31</v>
      </c>
      <c r="I98" s="53">
        <f t="shared" si="3"/>
        <v>29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19</v>
      </c>
      <c r="B99" s="60">
        <v>350</v>
      </c>
      <c r="C99" s="60">
        <v>0</v>
      </c>
      <c r="D99" s="60">
        <v>0</v>
      </c>
      <c r="E99" s="87">
        <v>0.47</v>
      </c>
      <c r="F99" s="87">
        <v>0.21</v>
      </c>
      <c r="G99" s="87"/>
      <c r="H99" s="87">
        <v>0.31</v>
      </c>
      <c r="I99" s="53">
        <f t="shared" si="3"/>
        <v>26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20</v>
      </c>
      <c r="B100" s="60">
        <v>373</v>
      </c>
      <c r="C100" s="60">
        <v>1</v>
      </c>
      <c r="D100" s="60">
        <v>373</v>
      </c>
      <c r="E100" s="65">
        <v>0.47</v>
      </c>
      <c r="F100" s="65">
        <v>0.21</v>
      </c>
      <c r="G100" s="65"/>
      <c r="H100" s="65">
        <v>0.31</v>
      </c>
      <c r="I100" s="53">
        <f t="shared" si="3"/>
        <v>23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Peuplier I-214</v>
      </c>
      <c r="C110" s="23" t="s">
        <v>327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6</v>
      </c>
      <c r="B114" s="60">
        <v>21</v>
      </c>
      <c r="C114" s="50">
        <v>0</v>
      </c>
      <c r="D114" s="60">
        <v>0</v>
      </c>
      <c r="E114" s="51">
        <v>0.47</v>
      </c>
      <c r="F114" s="51">
        <v>0.21</v>
      </c>
      <c r="G114" s="51"/>
      <c r="H114" s="87">
        <v>0.31</v>
      </c>
      <c r="I114" s="53">
        <f>IFERROR(B114/A114,"")</f>
        <v>3.5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7</v>
      </c>
      <c r="B115" s="60">
        <v>55</v>
      </c>
      <c r="C115" s="50">
        <v>0</v>
      </c>
      <c r="D115" s="60">
        <v>0</v>
      </c>
      <c r="E115" s="51">
        <v>0.47</v>
      </c>
      <c r="F115" s="51">
        <v>0.21</v>
      </c>
      <c r="G115" s="51"/>
      <c r="H115" s="87">
        <v>0.31</v>
      </c>
      <c r="I115" s="53">
        <f t="shared" ref="I115:I133" si="4">IF(A115&lt;&gt;0,(B115-(B114-D114))/(A115-A114),"")</f>
        <v>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8</v>
      </c>
      <c r="B116" s="60">
        <v>91</v>
      </c>
      <c r="C116" s="50">
        <v>0</v>
      </c>
      <c r="D116" s="60">
        <v>0</v>
      </c>
      <c r="E116" s="51">
        <v>0.47</v>
      </c>
      <c r="F116" s="51">
        <v>0.21</v>
      </c>
      <c r="G116" s="51"/>
      <c r="H116" s="87">
        <v>0.31</v>
      </c>
      <c r="I116" s="53">
        <f t="shared" si="4"/>
        <v>36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9</v>
      </c>
      <c r="B117" s="60">
        <v>128</v>
      </c>
      <c r="C117" s="50">
        <v>0</v>
      </c>
      <c r="D117" s="60">
        <v>0</v>
      </c>
      <c r="E117" s="51">
        <v>0.47</v>
      </c>
      <c r="F117" s="51">
        <v>0.21</v>
      </c>
      <c r="G117" s="51"/>
      <c r="H117" s="87">
        <v>0.31</v>
      </c>
      <c r="I117" s="53">
        <f t="shared" si="4"/>
        <v>37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10</v>
      </c>
      <c r="B118" s="60">
        <v>167</v>
      </c>
      <c r="C118" s="50">
        <v>0</v>
      </c>
      <c r="D118" s="60">
        <v>0</v>
      </c>
      <c r="E118" s="51">
        <v>0.47</v>
      </c>
      <c r="F118" s="51">
        <v>0.21</v>
      </c>
      <c r="G118" s="51"/>
      <c r="H118" s="87">
        <v>0.31</v>
      </c>
      <c r="I118" s="53">
        <f t="shared" si="4"/>
        <v>39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11</v>
      </c>
      <c r="B119" s="60">
        <v>201</v>
      </c>
      <c r="C119" s="50">
        <v>0</v>
      </c>
      <c r="D119" s="60">
        <v>0</v>
      </c>
      <c r="E119" s="51">
        <v>0.47</v>
      </c>
      <c r="F119" s="51">
        <v>0.21</v>
      </c>
      <c r="G119" s="51"/>
      <c r="H119" s="87">
        <v>0.31</v>
      </c>
      <c r="I119" s="53">
        <f t="shared" si="4"/>
        <v>34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12</v>
      </c>
      <c r="B120" s="60">
        <v>235</v>
      </c>
      <c r="C120" s="60">
        <v>0</v>
      </c>
      <c r="D120" s="60">
        <v>0</v>
      </c>
      <c r="E120" s="87">
        <v>0.47</v>
      </c>
      <c r="F120" s="87">
        <v>0.21</v>
      </c>
      <c r="G120" s="87"/>
      <c r="H120" s="87">
        <v>0.31</v>
      </c>
      <c r="I120" s="53">
        <f t="shared" si="4"/>
        <v>34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13</v>
      </c>
      <c r="B121" s="60">
        <v>266</v>
      </c>
      <c r="C121" s="60">
        <v>0</v>
      </c>
      <c r="D121" s="60">
        <v>0</v>
      </c>
      <c r="E121" s="87">
        <v>0.47</v>
      </c>
      <c r="F121" s="87">
        <v>0.21</v>
      </c>
      <c r="G121" s="87"/>
      <c r="H121" s="87">
        <v>0.31</v>
      </c>
      <c r="I121" s="53">
        <f t="shared" si="4"/>
        <v>31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14</v>
      </c>
      <c r="B122" s="60">
        <v>295</v>
      </c>
      <c r="C122" s="60">
        <v>0</v>
      </c>
      <c r="D122" s="60">
        <v>0</v>
      </c>
      <c r="E122" s="87">
        <v>0.47</v>
      </c>
      <c r="F122" s="87">
        <v>0.21</v>
      </c>
      <c r="G122" s="87"/>
      <c r="H122" s="87">
        <v>0.31</v>
      </c>
      <c r="I122" s="53">
        <f t="shared" si="4"/>
        <v>29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15</v>
      </c>
      <c r="B123" s="60">
        <v>319</v>
      </c>
      <c r="C123" s="60">
        <v>0</v>
      </c>
      <c r="D123" s="60">
        <v>0</v>
      </c>
      <c r="E123" s="87">
        <v>0.47</v>
      </c>
      <c r="F123" s="87">
        <v>0.21</v>
      </c>
      <c r="G123" s="87"/>
      <c r="H123" s="87">
        <v>0.31</v>
      </c>
      <c r="I123" s="53">
        <f t="shared" si="4"/>
        <v>24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16</v>
      </c>
      <c r="B124" s="60">
        <v>339</v>
      </c>
      <c r="C124" s="60">
        <v>0</v>
      </c>
      <c r="D124" s="60">
        <v>0</v>
      </c>
      <c r="E124" s="87">
        <v>0.47</v>
      </c>
      <c r="F124" s="87">
        <v>0.21</v>
      </c>
      <c r="G124" s="87"/>
      <c r="H124" s="87">
        <v>0.31</v>
      </c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17</v>
      </c>
      <c r="B125" s="60">
        <v>360</v>
      </c>
      <c r="C125" s="60">
        <v>0</v>
      </c>
      <c r="D125" s="60">
        <v>0</v>
      </c>
      <c r="E125" s="87">
        <v>0.47</v>
      </c>
      <c r="F125" s="87">
        <v>0.21</v>
      </c>
      <c r="G125" s="87"/>
      <c r="H125" s="87">
        <v>0.31</v>
      </c>
      <c r="I125" s="53">
        <f t="shared" si="4"/>
        <v>21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18</v>
      </c>
      <c r="B126" s="60">
        <v>376</v>
      </c>
      <c r="C126" s="60">
        <v>0</v>
      </c>
      <c r="D126" s="60">
        <v>0</v>
      </c>
      <c r="E126" s="65">
        <v>0.47</v>
      </c>
      <c r="F126" s="65">
        <v>0.21</v>
      </c>
      <c r="G126" s="65"/>
      <c r="H126" s="87">
        <v>0.31</v>
      </c>
      <c r="I126" s="53">
        <f t="shared" si="4"/>
        <v>16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19</v>
      </c>
      <c r="B127" s="60">
        <v>389</v>
      </c>
      <c r="C127" s="60">
        <v>0</v>
      </c>
      <c r="D127" s="60">
        <v>0</v>
      </c>
      <c r="E127" s="65">
        <v>0.47</v>
      </c>
      <c r="F127" s="65">
        <v>0.21</v>
      </c>
      <c r="G127" s="65"/>
      <c r="H127" s="87">
        <v>0.31</v>
      </c>
      <c r="I127" s="53">
        <f t="shared" si="4"/>
        <v>13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20</v>
      </c>
      <c r="B128" s="50">
        <v>402</v>
      </c>
      <c r="C128" s="50">
        <v>1</v>
      </c>
      <c r="D128" s="50">
        <v>402</v>
      </c>
      <c r="E128" s="54">
        <v>0.47</v>
      </c>
      <c r="F128" s="54">
        <v>0.21</v>
      </c>
      <c r="G128" s="54"/>
      <c r="H128" s="87">
        <v>0.31</v>
      </c>
      <c r="I128" s="53">
        <f t="shared" si="4"/>
        <v>13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65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Peuplier Koster</v>
      </c>
      <c r="C136" s="23" t="s">
        <v>328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8</v>
      </c>
      <c r="B140" s="60">
        <v>8</v>
      </c>
      <c r="C140" s="50">
        <v>0</v>
      </c>
      <c r="D140" s="60">
        <v>0</v>
      </c>
      <c r="E140" s="51">
        <v>0.47</v>
      </c>
      <c r="F140" s="51">
        <v>0.21</v>
      </c>
      <c r="G140" s="51"/>
      <c r="H140" s="87">
        <v>0.31</v>
      </c>
      <c r="I140" s="57">
        <f>IFERROR(B140/A140,"")</f>
        <v>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9</v>
      </c>
      <c r="B141" s="60">
        <v>29</v>
      </c>
      <c r="C141" s="50">
        <v>0</v>
      </c>
      <c r="D141" s="60">
        <v>0</v>
      </c>
      <c r="E141" s="51">
        <v>0.47</v>
      </c>
      <c r="F141" s="51">
        <v>0.21</v>
      </c>
      <c r="G141" s="51"/>
      <c r="H141" s="87">
        <v>0.31</v>
      </c>
      <c r="I141" s="57">
        <f t="shared" ref="I141:I159" si="5">IF(A141&lt;&gt;0,(B141-(B140-D140))/(A141-A140),"")</f>
        <v>21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10</v>
      </c>
      <c r="B142" s="60">
        <v>52</v>
      </c>
      <c r="C142" s="50">
        <v>0</v>
      </c>
      <c r="D142" s="60">
        <v>0</v>
      </c>
      <c r="E142" s="51">
        <v>0.47</v>
      </c>
      <c r="F142" s="51">
        <v>0.21</v>
      </c>
      <c r="G142" s="51"/>
      <c r="H142" s="87">
        <v>0.31</v>
      </c>
      <c r="I142" s="57">
        <f t="shared" si="5"/>
        <v>23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11</v>
      </c>
      <c r="B143" s="60">
        <v>76</v>
      </c>
      <c r="C143" s="50">
        <v>0</v>
      </c>
      <c r="D143" s="60">
        <v>0</v>
      </c>
      <c r="E143" s="51">
        <v>0.47</v>
      </c>
      <c r="F143" s="51">
        <v>0.21</v>
      </c>
      <c r="G143" s="51"/>
      <c r="H143" s="87">
        <v>0.31</v>
      </c>
      <c r="I143" s="57">
        <f t="shared" si="5"/>
        <v>24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12</v>
      </c>
      <c r="B144" s="60">
        <v>102</v>
      </c>
      <c r="C144" s="50">
        <v>0</v>
      </c>
      <c r="D144" s="60">
        <v>0</v>
      </c>
      <c r="E144" s="51">
        <v>0.47</v>
      </c>
      <c r="F144" s="51">
        <v>0.21</v>
      </c>
      <c r="G144" s="51"/>
      <c r="H144" s="87">
        <v>0.31</v>
      </c>
      <c r="I144" s="57">
        <f t="shared" si="5"/>
        <v>26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13</v>
      </c>
      <c r="B145" s="60">
        <v>125</v>
      </c>
      <c r="C145" s="50">
        <v>0</v>
      </c>
      <c r="D145" s="60">
        <v>0</v>
      </c>
      <c r="E145" s="51">
        <v>0.47</v>
      </c>
      <c r="F145" s="51">
        <v>0.21</v>
      </c>
      <c r="G145" s="51"/>
      <c r="H145" s="87">
        <v>0.31</v>
      </c>
      <c r="I145" s="57">
        <f t="shared" si="5"/>
        <v>23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14</v>
      </c>
      <c r="B146" s="60">
        <v>149</v>
      </c>
      <c r="C146" s="50">
        <v>0</v>
      </c>
      <c r="D146" s="60">
        <v>0</v>
      </c>
      <c r="E146" s="51">
        <v>0.47</v>
      </c>
      <c r="F146" s="51">
        <v>0.21</v>
      </c>
      <c r="G146" s="51"/>
      <c r="H146" s="87">
        <v>0.31</v>
      </c>
      <c r="I146" s="57">
        <f t="shared" si="5"/>
        <v>24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15</v>
      </c>
      <c r="B147" s="60">
        <v>172</v>
      </c>
      <c r="C147" s="50">
        <v>0</v>
      </c>
      <c r="D147" s="60">
        <v>0</v>
      </c>
      <c r="E147" s="51">
        <v>0.47</v>
      </c>
      <c r="F147" s="51">
        <v>0.21</v>
      </c>
      <c r="G147" s="51"/>
      <c r="H147" s="87">
        <v>0.31</v>
      </c>
      <c r="I147" s="57">
        <f>IF(A147&lt;&gt;0,(B147-(B146-D146))/(A147-A146),"")</f>
        <v>23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16</v>
      </c>
      <c r="B148" s="60">
        <v>193</v>
      </c>
      <c r="C148" s="50">
        <v>0</v>
      </c>
      <c r="D148" s="60">
        <v>0</v>
      </c>
      <c r="E148" s="51">
        <v>0.47</v>
      </c>
      <c r="F148" s="51">
        <v>0.21</v>
      </c>
      <c r="G148" s="51"/>
      <c r="H148" s="87">
        <v>0.31</v>
      </c>
      <c r="I148" s="57">
        <f t="shared" si="5"/>
        <v>21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17</v>
      </c>
      <c r="B149" s="60">
        <v>212</v>
      </c>
      <c r="C149" s="50">
        <v>0</v>
      </c>
      <c r="D149" s="60">
        <v>0</v>
      </c>
      <c r="E149" s="51">
        <v>0.47</v>
      </c>
      <c r="F149" s="51">
        <v>0.21</v>
      </c>
      <c r="G149" s="51"/>
      <c r="H149" s="87">
        <v>0.31</v>
      </c>
      <c r="I149" s="57">
        <f t="shared" si="5"/>
        <v>19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18</v>
      </c>
      <c r="B150" s="60">
        <v>230</v>
      </c>
      <c r="C150" s="50">
        <v>0</v>
      </c>
      <c r="D150" s="60">
        <v>0</v>
      </c>
      <c r="E150" s="51">
        <v>0.47</v>
      </c>
      <c r="F150" s="51">
        <v>0.21</v>
      </c>
      <c r="G150" s="51"/>
      <c r="H150" s="87">
        <v>0.31</v>
      </c>
      <c r="I150" s="57">
        <f t="shared" si="5"/>
        <v>18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19</v>
      </c>
      <c r="B151" s="60">
        <v>245</v>
      </c>
      <c r="C151" s="50">
        <v>0</v>
      </c>
      <c r="D151" s="60">
        <v>0</v>
      </c>
      <c r="E151" s="51">
        <v>0.47</v>
      </c>
      <c r="F151" s="51">
        <v>0.21</v>
      </c>
      <c r="G151" s="51"/>
      <c r="H151" s="87">
        <v>0.31</v>
      </c>
      <c r="I151" s="57">
        <f t="shared" si="5"/>
        <v>15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20</v>
      </c>
      <c r="B152" s="60">
        <v>259</v>
      </c>
      <c r="C152" s="50">
        <v>1</v>
      </c>
      <c r="D152" s="60">
        <v>259</v>
      </c>
      <c r="E152" s="54">
        <v>0.47</v>
      </c>
      <c r="F152" s="54">
        <v>0.21</v>
      </c>
      <c r="G152" s="54"/>
      <c r="H152" s="65">
        <v>0.31</v>
      </c>
      <c r="I152" s="57">
        <f t="shared" si="5"/>
        <v>14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Peuplier Koster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8</v>
      </c>
      <c r="B166" s="60">
        <v>8</v>
      </c>
      <c r="C166" s="60">
        <v>0</v>
      </c>
      <c r="D166" s="60">
        <v>0</v>
      </c>
      <c r="E166" s="51">
        <v>0.47</v>
      </c>
      <c r="F166" s="51">
        <v>0.21</v>
      </c>
      <c r="G166" s="51"/>
      <c r="H166" s="87">
        <v>0.31</v>
      </c>
      <c r="I166" s="49">
        <f>IFERROR(B166/A166,"")</f>
        <v>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9</v>
      </c>
      <c r="B167" s="60">
        <v>29</v>
      </c>
      <c r="C167" s="60">
        <v>0</v>
      </c>
      <c r="D167" s="60">
        <v>0</v>
      </c>
      <c r="E167" s="51">
        <v>0.47</v>
      </c>
      <c r="F167" s="51">
        <v>0.21</v>
      </c>
      <c r="G167" s="51"/>
      <c r="H167" s="87">
        <v>0.31</v>
      </c>
      <c r="I167" s="49">
        <f t="shared" ref="I167:I185" si="6">IF(A167&lt;&gt;0,(B167-(B166-D166))/(A167-A166),"")</f>
        <v>21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10</v>
      </c>
      <c r="B168" s="60">
        <v>52</v>
      </c>
      <c r="C168" s="60">
        <v>0</v>
      </c>
      <c r="D168" s="60">
        <v>0</v>
      </c>
      <c r="E168" s="51">
        <v>0.47</v>
      </c>
      <c r="F168" s="51">
        <v>0.21</v>
      </c>
      <c r="G168" s="51"/>
      <c r="H168" s="87">
        <v>0.31</v>
      </c>
      <c r="I168" s="49">
        <f t="shared" si="6"/>
        <v>23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11</v>
      </c>
      <c r="B169" s="60">
        <v>76</v>
      </c>
      <c r="C169" s="60">
        <v>0</v>
      </c>
      <c r="D169" s="60">
        <v>0</v>
      </c>
      <c r="E169" s="51">
        <v>0.47</v>
      </c>
      <c r="F169" s="51">
        <v>0.21</v>
      </c>
      <c r="G169" s="51"/>
      <c r="H169" s="87">
        <v>0.31</v>
      </c>
      <c r="I169" s="49">
        <f t="shared" si="6"/>
        <v>24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12</v>
      </c>
      <c r="B170" s="60">
        <v>102</v>
      </c>
      <c r="C170" s="60">
        <v>0</v>
      </c>
      <c r="D170" s="60">
        <v>0</v>
      </c>
      <c r="E170" s="51">
        <v>0.47</v>
      </c>
      <c r="F170" s="51">
        <v>0.21</v>
      </c>
      <c r="G170" s="51"/>
      <c r="H170" s="87">
        <v>0.31</v>
      </c>
      <c r="I170" s="49">
        <f t="shared" si="6"/>
        <v>26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13</v>
      </c>
      <c r="B171" s="60">
        <v>125</v>
      </c>
      <c r="C171" s="60">
        <v>0</v>
      </c>
      <c r="D171" s="60">
        <v>0</v>
      </c>
      <c r="E171" s="51">
        <v>0.47</v>
      </c>
      <c r="F171" s="51">
        <v>0.21</v>
      </c>
      <c r="G171" s="51"/>
      <c r="H171" s="87">
        <v>0.31</v>
      </c>
      <c r="I171" s="49">
        <f t="shared" si="6"/>
        <v>23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14</v>
      </c>
      <c r="B172" s="60">
        <v>149</v>
      </c>
      <c r="C172" s="60">
        <v>0</v>
      </c>
      <c r="D172" s="60">
        <v>0</v>
      </c>
      <c r="E172" s="51">
        <v>0.47</v>
      </c>
      <c r="F172" s="51">
        <v>0.21</v>
      </c>
      <c r="G172" s="51"/>
      <c r="H172" s="87">
        <v>0.31</v>
      </c>
      <c r="I172" s="49">
        <f t="shared" si="6"/>
        <v>24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15</v>
      </c>
      <c r="B173" s="50">
        <v>172</v>
      </c>
      <c r="C173" s="50">
        <v>0</v>
      </c>
      <c r="D173" s="50">
        <v>0</v>
      </c>
      <c r="E173" s="51">
        <v>0.47</v>
      </c>
      <c r="F173" s="51">
        <v>0.21</v>
      </c>
      <c r="G173" s="51"/>
      <c r="H173" s="87">
        <v>0.31</v>
      </c>
      <c r="I173" s="49">
        <f t="shared" si="6"/>
        <v>23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16</v>
      </c>
      <c r="B174" s="50">
        <v>193</v>
      </c>
      <c r="C174" s="50">
        <v>0</v>
      </c>
      <c r="D174" s="50">
        <v>0</v>
      </c>
      <c r="E174" s="51">
        <v>0.47</v>
      </c>
      <c r="F174" s="51">
        <v>0.21</v>
      </c>
      <c r="G174" s="51"/>
      <c r="H174" s="87">
        <v>0.31</v>
      </c>
      <c r="I174" s="49">
        <f t="shared" si="6"/>
        <v>21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17</v>
      </c>
      <c r="B175" s="50">
        <v>212</v>
      </c>
      <c r="C175" s="50">
        <v>0</v>
      </c>
      <c r="D175" s="50">
        <v>0</v>
      </c>
      <c r="E175" s="51">
        <v>0.47</v>
      </c>
      <c r="F175" s="51">
        <v>0.21</v>
      </c>
      <c r="G175" s="51"/>
      <c r="H175" s="87">
        <v>0.31</v>
      </c>
      <c r="I175" s="49">
        <f t="shared" si="6"/>
        <v>19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18</v>
      </c>
      <c r="B176" s="50">
        <v>230</v>
      </c>
      <c r="C176" s="50">
        <v>0</v>
      </c>
      <c r="D176" s="50">
        <v>0</v>
      </c>
      <c r="E176" s="51">
        <v>0.47</v>
      </c>
      <c r="F176" s="51">
        <v>0.21</v>
      </c>
      <c r="G176" s="51"/>
      <c r="H176" s="87">
        <v>0.31</v>
      </c>
      <c r="I176" s="49">
        <f t="shared" si="6"/>
        <v>18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19</v>
      </c>
      <c r="B177" s="50">
        <v>245</v>
      </c>
      <c r="C177" s="50">
        <v>0</v>
      </c>
      <c r="D177" s="50">
        <v>0</v>
      </c>
      <c r="E177" s="51">
        <v>0.47</v>
      </c>
      <c r="F177" s="51">
        <v>0.21</v>
      </c>
      <c r="G177" s="51"/>
      <c r="H177" s="87">
        <v>0.31</v>
      </c>
      <c r="I177" s="49">
        <f t="shared" si="6"/>
        <v>15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20</v>
      </c>
      <c r="B178" s="50">
        <v>259</v>
      </c>
      <c r="C178" s="50">
        <v>1</v>
      </c>
      <c r="D178" s="50">
        <v>259</v>
      </c>
      <c r="E178" s="51">
        <v>0.47</v>
      </c>
      <c r="F178" s="51">
        <v>0.21</v>
      </c>
      <c r="G178" s="51"/>
      <c r="H178" s="65">
        <v>0.31</v>
      </c>
      <c r="I178" s="49">
        <f t="shared" si="6"/>
        <v>14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5" style="1" customWidth="1"/>
    <col min="6" max="6" width="14.5" style="1" customWidth="1"/>
    <col min="7" max="7" width="73.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5" style="4" bestFit="1" customWidth="1"/>
    <col min="25" max="25" width="14.5" style="4" bestFit="1" customWidth="1"/>
    <col min="26" max="26" width="12.5" style="4" bestFit="1" customWidth="1"/>
    <col min="27" max="27" width="9.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5" style="4" bestFit="1" customWidth="1"/>
    <col min="45" max="45" width="11.5" style="4" bestFit="1" customWidth="1"/>
    <col min="46" max="46" width="8.5" style="4" bestFit="1" customWidth="1"/>
    <col min="47" max="48" width="9.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5" style="4" bestFit="1" customWidth="1"/>
    <col min="66" max="66" width="11.5" style="4" bestFit="1" customWidth="1"/>
    <col min="67" max="67" width="8.5" style="4" bestFit="1" customWidth="1"/>
    <col min="68" max="69" width="9.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5" style="4" bestFit="1" customWidth="1"/>
    <col min="87" max="87" width="11.5" style="4" bestFit="1" customWidth="1"/>
    <col min="88" max="88" width="8.5" style="4" bestFit="1" customWidth="1"/>
    <col min="89" max="90" width="9.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5" style="4" bestFit="1" customWidth="1"/>
    <col min="108" max="108" width="11.5" style="4" bestFit="1" customWidth="1"/>
    <col min="109" max="109" width="8.5" style="4" bestFit="1" customWidth="1"/>
    <col min="110" max="111" width="9.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5" style="4" bestFit="1" customWidth="1"/>
    <col min="129" max="129" width="11.5" style="4" bestFit="1" customWidth="1"/>
    <col min="130" max="130" width="8.5" style="4" bestFit="1" customWidth="1"/>
    <col min="131" max="132" width="9.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5" style="4" bestFit="1" customWidth="1"/>
    <col min="150" max="150" width="11.5" style="4" bestFit="1" customWidth="1"/>
    <col min="151" max="151" width="8.5" style="4" bestFit="1" customWidth="1"/>
    <col min="152" max="153" width="9.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5" style="4" bestFit="1" customWidth="1"/>
    <col min="171" max="171" width="11.5" style="4" bestFit="1" customWidth="1"/>
    <col min="172" max="172" width="8.1640625" style="4" bestFit="1" customWidth="1"/>
    <col min="173" max="174" width="9.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5" style="4" bestFit="1" customWidth="1"/>
    <col min="192" max="192" width="11.5" style="4"/>
    <col min="193" max="193" width="8.5" style="4" bestFit="1" customWidth="1"/>
    <col min="194" max="195" width="9.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5" style="4" bestFit="1" customWidth="1"/>
    <col min="213" max="213" width="11.5" style="4" bestFit="1" customWidth="1"/>
    <col min="214" max="214" width="8.5" style="4" bestFit="1" customWidth="1"/>
    <col min="215" max="216" width="9.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Peuplier Dorskamp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Peuplier Dorskamp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Peuplier Koster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Peuplier I-214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Peuplier Koster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Peuplier Koster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476.66666666666669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458.33333333333331</v>
      </c>
      <c r="S3" s="59">
        <f ca="1">AVERAGE(OFFSET($R$3,0,0,'Données projet'!$E$9+1,1))-AVERAGE(OFFSET($H$3,0,0,'Données projet'!$E$9+1,1))</f>
        <v>167.42995526007479</v>
      </c>
      <c r="T3" s="59">
        <f>IF('Données projet'!E9&gt;30,$R$33-$H$33,LOOKUP('Données projet'!$E$9,$A$3:$A$203,R3:R203)-LOOKUP('Données projet'!$E$9,$A$3:$A$203,$H$3:$H$203))</f>
        <v>397.36718389105215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458.33333333333331</v>
      </c>
      <c r="AN3" s="59">
        <f ca="1">AVERAGE(OFFSET($AM$3,0,0,'Données projet'!$E$10+1,1))-AVERAGE(OFFSET($H$3,0,0,'Données projet'!$E$10+1,1))</f>
        <v>127.55710992710948</v>
      </c>
      <c r="AO3" s="59">
        <f>IF('Données projet'!E10&gt;30,$AM$33-$H$33,LOOKUP('Données projet'!$E$10,$A$3:$A$203,AM3:AM203)-LOOKUP('Données projet'!$E$10,$A$3:$A$203,$H$3:$H$203))</f>
        <v>417.43085823929903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458.33333333333331</v>
      </c>
      <c r="BI3" s="59">
        <f ca="1">AVERAGE(OFFSET($BH$3,0,0,'Données projet'!$E$11+1,1))-AVERAGE(OFFSET($H$3,0,0,'Données projet'!$E$11+1,1))</f>
        <v>123.48243581061803</v>
      </c>
      <c r="BJ3" s="59">
        <f>IF('Données projet'!E11&gt;30,$BH$33-$H$33,LOOKUP('Données projet'!$E$11,$A$3:$A$203,BH3:BH203)-LOOKUP('Données projet'!$E$11,$A$3:$A$203,$H$3:$H$203))</f>
        <v>405.05940798527138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458.33333333333331</v>
      </c>
      <c r="CD3" s="59">
        <f ca="1">AVERAGE(OFFSET($CC$3,0,0,'Données projet'!$E$12+1,1))-AVERAGE(OFFSET($H$3,0,0,'Données projet'!$E$12+1,1))</f>
        <v>156.72204844493132</v>
      </c>
      <c r="CE3" s="59">
        <f>IF('Données projet'!E12&gt;30,$CC$33-$H$33,LOOKUP('Données projet'!$E$12,$A$3:$A$203,CC3:CC203)-LOOKUP('Données projet'!$E$12,$A$3:$A$203,$H$3:$H$203))</f>
        <v>377.72061016381247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458.33333333333331</v>
      </c>
      <c r="CY3" s="59">
        <f ca="1">AVERAGE(OFFSET($CX$3,0,0,'Données projet'!$E$13+1,1))-AVERAGE(OFFSET($H$3,0,0,'Données projet'!$E$13+1,1))</f>
        <v>88.170414732964616</v>
      </c>
      <c r="CZ3" s="59">
        <f>IF('Données projet'!E13&gt;30,$CX$33-$H$33,LOOKUP('Données projet'!$E$13,$A$3:$A$203,CX3:CX203)-LOOKUP('Données projet'!$E$13,$A$3:$A$203,$H$3:$H$203))</f>
        <v>281.30515544919626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458.33333333333331</v>
      </c>
      <c r="DT3" s="59">
        <f ca="1">AVERAGE(OFFSET($DS$3,0,0,'Données projet'!$E$14+1,1))-AVERAGE(OFFSET($H$3,0,0,'Données projet'!$E$14+1,1))</f>
        <v>88.170414732964616</v>
      </c>
      <c r="DU3" s="59">
        <f>IF('Données projet'!E14&gt;30,$DS$33-$H$33,LOOKUP('Données projet'!$E$14,$A$3:$A$203,DS3:DS203)-LOOKUP('Données projet'!$E$14,$A$3:$A$203,$H$3:$H$203))</f>
        <v>281.30515544919626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115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28.40408850090634</v>
      </c>
      <c r="H4" s="67">
        <f t="shared" ref="H4:H67" si="1">(B4+E4+F4)*44/12+(C4+D4)*0.475*44/12</f>
        <v>478.93888080135036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0.6</v>
      </c>
      <c r="N4" s="13">
        <f>IF('Données projet'!$A$36&gt;35,N3+M4-V3,IF(A4&lt;'Données projet'!$A$36,$K$205^A4,IF(A4='Données projet'!$A$36,'Données projet'!$B$36,N3+M4-V3)))</f>
        <v>1.2457309396155174</v>
      </c>
      <c r="O4" s="13">
        <f>N4*VLOOKUP('Données projet'!$B$9,Paramètres!$A$1:$I$89,3,0)*VLOOKUP('Données projet'!$B$9,Paramètres!$A$1:$I$89,5,0)</f>
        <v>0.65296232930886966</v>
      </c>
      <c r="P4" s="13">
        <f>EXP(-1.0587+0.8836*LN(O4)+0.284)</f>
        <v>0.31621845585567432</v>
      </c>
      <c r="Q4" s="20">
        <f t="shared" ref="Q4:Q34" si="2">(O4+P4)*0.475*44/12</f>
        <v>1.6879898674949141</v>
      </c>
      <c r="R4" s="59">
        <f t="shared" si="0"/>
        <v>462.83375715375206</v>
      </c>
      <c r="S4" s="59">
        <f ca="1">AVERAGE(OFFSET($R$3,0,0,'Données projet'!$E$9+1,1))-AVERAGE(OFFSET($H$3,0,0,'Données projet'!$E$9+1,1))</f>
        <v>167.42995526007479</v>
      </c>
      <c r="T4" s="59">
        <f>$T$3</f>
        <v>397.36718389105215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</v>
      </c>
      <c r="AI4" s="13">
        <f>IF('Données projet'!$A$62&gt;35,AI3+AH4-AQ3,IF(A4&lt;'Données projet'!$A$62,$AF$205^A4,IF(A4='Données projet'!$A$62,'Données projet'!$B$62,AI3+AH4-AQ3)))</f>
        <v>1.2968395546510096</v>
      </c>
      <c r="AJ4" s="13">
        <f>AI4*VLOOKUP('Données projet'!$B$10,Paramètres!$A$1:$I$89,3,0)*VLOOKUP('Données projet'!$B$10,Paramètres!$A$1:$I$89,5,0)</f>
        <v>0.67975142096587327</v>
      </c>
      <c r="AK4" s="13">
        <f>EXP(-1.0587+0.8836*LN(AJ4)+0.284)</f>
        <v>0.32765487542785832</v>
      </c>
      <c r="AL4" s="20">
        <f t="shared" ref="AL4:AL67" si="4">(AJ4+AK4)*0.475*44/12</f>
        <v>1.7545659662190822</v>
      </c>
      <c r="AM4" s="59">
        <f t="shared" ref="AM4:AM67" si="5">AL4+(AD4+AE4)*44/12</f>
        <v>462.90033325247623</v>
      </c>
      <c r="AN4" s="59">
        <f ca="1">AVERAGE(OFFSET($AM$3,0,0,'Données projet'!$E$10+1,1))-AVERAGE(OFFSET($H$3,0,0,'Données projet'!$E$10+1,1))</f>
        <v>127.55710992710948</v>
      </c>
      <c r="AO4" s="59">
        <f>$AO$3</f>
        <v>417.43085823929903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</v>
      </c>
      <c r="BD4" s="12">
        <f>IF('Données projet'!$A$88&gt;35,BD3+BC4-BL3,IF(A4&lt;'Données projet'!$A$88,$BA$205^A4,IF(A4='Données projet'!$A$88,'Données projet'!$B$88,BD3+BC4-BL3)))</f>
        <v>1.2968395546510096</v>
      </c>
      <c r="BE4" s="13">
        <f>BD4*VLOOKUP('Données projet'!$B$11,Paramètres!$A$1:$I$89,3,0)*VLOOKUP('Données projet'!$B$11,Paramètres!$A$1:$I$89,5,0)</f>
        <v>0.65952072391331751</v>
      </c>
      <c r="BF4" s="13">
        <f>EXP(-1.0587+0.8836*LN(BE4)+0.284)</f>
        <v>0.31902323929767035</v>
      </c>
      <c r="BG4" s="20">
        <f t="shared" ref="BG4:BG67" si="7">(BE4+BF4)*0.475*44/12</f>
        <v>1.7042974025924702</v>
      </c>
      <c r="BH4" s="59">
        <f t="shared" ref="BH4:BH67" si="8">BG4+(AY4+AZ4)*44/12</f>
        <v>462.85006468884961</v>
      </c>
      <c r="BI4" s="59">
        <f ca="1">AVERAGE(OFFSET($BH$3,0,0,'Données projet'!$E$11+1,1))-AVERAGE(OFFSET($H$3,0,0,'Données projet'!$E$11+1,1))</f>
        <v>123.48243581061803</v>
      </c>
      <c r="BJ4" s="59">
        <f>$BJ$3</f>
        <v>405.05940798527138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3.5</v>
      </c>
      <c r="BY4" s="12">
        <f>IF('Données projet'!$A$114&gt;35,BY3+BX4-CG3,IF(A4&lt;'Données projet'!$A$114,$BV$205^A4,IF(A4='Données projet'!$A$114,'Données projet'!$B$114,BY3+BX4-CG3)))</f>
        <v>1.661000956165023</v>
      </c>
      <c r="BZ4" s="13">
        <f>BY4*VLOOKUP('Données projet'!$B$12,Paramètres!$A$1:$I$89,3,0)*VLOOKUP('Données projet'!$B$12,Paramètres!$A$1:$I$89,5,0)</f>
        <v>0.73070754063611687</v>
      </c>
      <c r="CA4" s="13">
        <f>EXP(-1.0587+0.8836*LN(BZ4)+0.284)</f>
        <v>0.34926567010915627</v>
      </c>
      <c r="CB4" s="20">
        <f t="shared" ref="CB4:CB67" si="10">(BZ4+CA4)*0.475*44/12</f>
        <v>1.8809533420480171</v>
      </c>
      <c r="CC4" s="59">
        <f t="shared" ref="CC4:CC67" si="11">CB4+(BT4+BU4)*44/12</f>
        <v>463.02672062830516</v>
      </c>
      <c r="CD4" s="59">
        <f ca="1">AVERAGE(OFFSET($CC$3,0,0,'Données projet'!$E$12+1,1))-AVERAGE(OFFSET($H$3,0,0,'Données projet'!$E$12+1,1))</f>
        <v>156.72204844493132</v>
      </c>
      <c r="CE4" s="59">
        <f>$CE$3</f>
        <v>377.72061016381247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</v>
      </c>
      <c r="CT4" s="12">
        <f>IF('Données projet'!$A$140&gt;35,CT3+CS4-DB3,IF(A4&lt;'Données projet'!$A$140,$CQ$205^A4,IF(A4='Données projet'!$A$140,'Données projet'!$B$140,CT3+CS4-DB3)))</f>
        <v>1.2968395546510096</v>
      </c>
      <c r="CU4" s="17">
        <f>CT4*VLOOKUP('Données projet'!$B$13,Paramètres!$A$1:$I$89,3,0)*VLOOKUP('Données projet'!$B$13,Paramètres!$A$1:$I$89,5,0)</f>
        <v>0.65952072391331751</v>
      </c>
      <c r="CV4" s="13">
        <f>EXP(-1.0587+0.8836*LN(CU4)+0.284)</f>
        <v>0.31902323929767035</v>
      </c>
      <c r="CW4" s="20">
        <f t="shared" ref="CW4:CW67" si="13">(CU4+CV4)*0.475*44/12</f>
        <v>1.7042974025924702</v>
      </c>
      <c r="CX4" s="59">
        <f t="shared" ref="CX4:CX67" si="14">CW4+(CO4+CP4)*44/12</f>
        <v>462.85006468884961</v>
      </c>
      <c r="CY4" s="59">
        <f ca="1">AVERAGE(OFFSET($CX$3,0,0,'Données projet'!$E$13+1,1))-AVERAGE(OFFSET($H$3,0,0,'Données projet'!$E$13+1,1))</f>
        <v>88.170414732964616</v>
      </c>
      <c r="CZ4" s="59">
        <f>$CZ$3</f>
        <v>281.30515544919626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</v>
      </c>
      <c r="DO4" s="12">
        <f>IF('Données projet'!$A$166&gt;35,DO3+DN4-DW3,IF(A4&lt;'Données projet'!$A$166,$DL$205^A4,IF(A4='Données projet'!$A$166,'Données projet'!$B$166,DO3+DN4-DW3)))</f>
        <v>1.2968395546510096</v>
      </c>
      <c r="DP4" s="17">
        <f>DO4*VLOOKUP('Données projet'!$B$14,Paramètres!$A$1:$I$89,3,0)*VLOOKUP('Données projet'!$B$14,Paramètres!$A$1:$I$89,5,0)</f>
        <v>0.65952072391331751</v>
      </c>
      <c r="DQ4" s="13">
        <f>EXP(-1.0587+0.8836*LN(DP4)+0.284)</f>
        <v>0.31902323929767035</v>
      </c>
      <c r="DR4" s="20">
        <f t="shared" ref="DR4:DR67" si="16">(DP4+DQ4)*0.475*44/12</f>
        <v>1.7042974025924702</v>
      </c>
      <c r="DS4" s="59">
        <f t="shared" ref="DS4:DS67" si="17">DR4+(DJ4+DK4)*44/12</f>
        <v>462.85006468884961</v>
      </c>
      <c r="DT4" s="59">
        <f ca="1">AVERAGE(OFFSET($DS$3,0,0,'Données projet'!$E$14+1,1))-AVERAGE(OFFSET($H$3,0,0,'Données projet'!$E$14+1,1))</f>
        <v>88.170414732964616</v>
      </c>
      <c r="DU4" s="59">
        <f>$DU$3</f>
        <v>281.30515544919626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115.43369410837317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37.977711250953433</v>
      </c>
      <c r="H5" s="67">
        <f t="shared" si="1"/>
        <v>481.0989294343297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0.6</v>
      </c>
      <c r="N5" s="13">
        <f>IF('Données projet'!$A$36&gt;35,N4+M5-V4,IF(A5&lt;'Données projet'!$A$36,$K$205^A5,IF(A5='Données projet'!$A$36,'Données projet'!$B$36,N4+M5-V4)))</f>
        <v>1.5518455739153598</v>
      </c>
      <c r="O5" s="13">
        <f>N5*VLOOKUP('Données projet'!$B$9,Paramètres!$A$1:$I$89,3,0)*VLOOKUP('Données projet'!$B$9,Paramètres!$A$1:$I$89,5,0)</f>
        <v>0.81341537602347502</v>
      </c>
      <c r="P5" s="13">
        <f t="shared" ref="P5:P68" si="33">EXP(-1.0587+0.8836*LN(O5)+0.284)</f>
        <v>0.38397600144219768</v>
      </c>
      <c r="Q5" s="20">
        <f t="shared" si="2"/>
        <v>2.0854566490860464</v>
      </c>
      <c r="R5" s="59">
        <f t="shared" si="0"/>
        <v>466.01607126992025</v>
      </c>
      <c r="S5" s="59">
        <f ca="1">AVERAGE(OFFSET($R$3,0,0,'Données projet'!$E$9+1,1))-AVERAGE(OFFSET($H$3,0,0,'Données projet'!$E$9+1,1))</f>
        <v>167.42995526007479</v>
      </c>
      <c r="T5" s="59">
        <f t="shared" ref="T5:T68" si="34">$T$3</f>
        <v>397.36718389105215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</v>
      </c>
      <c r="AI5" s="13">
        <f>IF('Données projet'!$A$62&gt;35,AI4+AH5-AQ4,IF(A5&lt;'Données projet'!$A$62,$AF$205^A5,IF(A5='Données projet'!$A$62,'Données projet'!$B$62,AI4+AH5-AQ4)))</f>
        <v>1.681792830507429</v>
      </c>
      <c r="AJ5" s="13">
        <f>AI5*VLOOKUP('Données projet'!$B$10,Paramètres!$A$1:$I$89,3,0)*VLOOKUP('Données projet'!$B$10,Paramètres!$A$1:$I$89,5,0)</f>
        <v>0.88152853003877407</v>
      </c>
      <c r="AK5" s="13">
        <f t="shared" ref="AK5:AK68" si="35">EXP(-1.0587+0.8836*LN(AJ5)+0.284)</f>
        <v>0.41225214461293608</v>
      </c>
      <c r="AL5" s="20">
        <f t="shared" si="4"/>
        <v>2.2533346750183951</v>
      </c>
      <c r="AM5" s="59">
        <f t="shared" si="5"/>
        <v>466.18394929585259</v>
      </c>
      <c r="AN5" s="59">
        <f ca="1">AVERAGE(OFFSET($AM$3,0,0,'Données projet'!$E$10+1,1))-AVERAGE(OFFSET($H$3,0,0,'Données projet'!$E$10+1,1))</f>
        <v>127.55710992710948</v>
      </c>
      <c r="AO5" s="59">
        <f t="shared" ref="AO5:AO68" si="36">$AO$3</f>
        <v>417.43085823929903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</v>
      </c>
      <c r="BD5" s="12">
        <f>IF('Données projet'!$A$88&gt;35,BD4+BC5-BL4,IF(A5&lt;'Données projet'!$A$88,$BA$205^A5,IF(A5='Données projet'!$A$88,'Données projet'!$B$88,BD4+BC5-BL4)))</f>
        <v>1.681792830507429</v>
      </c>
      <c r="BE5" s="13">
        <f>BD5*VLOOKUP('Données projet'!$B$11,Paramètres!$A$1:$I$89,3,0)*VLOOKUP('Données projet'!$B$11,Paramètres!$A$1:$I$89,5,0)</f>
        <v>0.85529256188285807</v>
      </c>
      <c r="BF5" s="13">
        <f t="shared" ref="BF5:BF68" si="37">EXP(-1.0587+0.8836*LN(BE5)+0.284)</f>
        <v>0.40139190485138254</v>
      </c>
      <c r="BG5" s="20">
        <f t="shared" si="7"/>
        <v>2.1887254462288022</v>
      </c>
      <c r="BH5" s="59">
        <f t="shared" si="8"/>
        <v>466.11934006706304</v>
      </c>
      <c r="BI5" s="59">
        <f ca="1">AVERAGE(OFFSET($BH$3,0,0,'Données projet'!$E$11+1,1))-AVERAGE(OFFSET($H$3,0,0,'Données projet'!$E$11+1,1))</f>
        <v>123.48243581061803</v>
      </c>
      <c r="BJ5" s="59">
        <f t="shared" ref="BJ5:BJ68" si="38">$BJ$3</f>
        <v>405.05940798527138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3.5</v>
      </c>
      <c r="BY5" s="12">
        <f>IF('Données projet'!$A$114&gt;35,BY4+BX5-CG4,IF(A5&lt;'Données projet'!$A$114,$BV$205^A5,IF(A5='Données projet'!$A$114,'Données projet'!$B$114,BY4+BX5-CG4)))</f>
        <v>2.7589241763811208</v>
      </c>
      <c r="BZ5" s="13">
        <f>BY5*VLOOKUP('Données projet'!$B$12,Paramètres!$A$1:$I$89,3,0)*VLOOKUP('Données projet'!$B$12,Paramètres!$A$1:$I$89,5,0)</f>
        <v>1.2137059236735825</v>
      </c>
      <c r="CA5" s="13">
        <f t="shared" ref="CA5:CA68" si="39">EXP(-1.0587+0.8836*LN(BZ5)+0.284)</f>
        <v>0.54685819965648919</v>
      </c>
      <c r="CB5" s="20">
        <f t="shared" si="10"/>
        <v>3.066315848133208</v>
      </c>
      <c r="CC5" s="59">
        <f t="shared" si="11"/>
        <v>466.99693046896743</v>
      </c>
      <c r="CD5" s="59">
        <f ca="1">AVERAGE(OFFSET($CC$3,0,0,'Données projet'!$E$12+1,1))-AVERAGE(OFFSET($H$3,0,0,'Données projet'!$E$12+1,1))</f>
        <v>156.72204844493132</v>
      </c>
      <c r="CE5" s="59">
        <f t="shared" ref="CE5:CE68" si="40">$CE$3</f>
        <v>377.72061016381247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</v>
      </c>
      <c r="CT5" s="12">
        <f>IF('Données projet'!$A$140&gt;35,CT4+CS5-DB4,IF(A5&lt;'Données projet'!$A$140,$CQ$205^A5,IF(A5='Données projet'!$A$140,'Données projet'!$B$140,CT4+CS5-DB4)))</f>
        <v>1.681792830507429</v>
      </c>
      <c r="CU5" s="17">
        <f>CT5*VLOOKUP('Données projet'!$B$13,Paramètres!$A$1:$I$89,3,0)*VLOOKUP('Données projet'!$B$13,Paramètres!$A$1:$I$89,5,0)</f>
        <v>0.85529256188285807</v>
      </c>
      <c r="CV5" s="13">
        <f t="shared" ref="CV5:CV68" si="41">EXP(-1.0587+0.8836*LN(CU5)+0.284)</f>
        <v>0.40139190485138254</v>
      </c>
      <c r="CW5" s="20">
        <f t="shared" si="13"/>
        <v>2.1887254462288022</v>
      </c>
      <c r="CX5" s="59">
        <f t="shared" si="14"/>
        <v>466.11934006706304</v>
      </c>
      <c r="CY5" s="59">
        <f ca="1">AVERAGE(OFFSET($CX$3,0,0,'Données projet'!$E$13+1,1))-AVERAGE(OFFSET($H$3,0,0,'Données projet'!$E$13+1,1))</f>
        <v>88.170414732964616</v>
      </c>
      <c r="CZ5" s="59">
        <f t="shared" ref="CZ5:CZ68" si="42">$CZ$3</f>
        <v>281.30515544919626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</v>
      </c>
      <c r="DO5" s="12">
        <f>IF('Données projet'!$A$166&gt;35,DO4+DN5-DW4,IF(A5&lt;'Données projet'!$A$166,$DL$205^A5,IF(A5='Données projet'!$A$166,'Données projet'!$B$166,DO4+DN5-DW4)))</f>
        <v>1.681792830507429</v>
      </c>
      <c r="DP5" s="17">
        <f>DO5*VLOOKUP('Données projet'!$B$14,Paramètres!$A$1:$I$89,3,0)*VLOOKUP('Données projet'!$B$14,Paramètres!$A$1:$I$89,5,0)</f>
        <v>0.85529256188285807</v>
      </c>
      <c r="DQ5" s="13">
        <f t="shared" ref="DQ5:DQ68" si="43">EXP(-1.0587+0.8836*LN(DP5)+0.284)</f>
        <v>0.40139190485138254</v>
      </c>
      <c r="DR5" s="20">
        <f t="shared" si="16"/>
        <v>2.1887254462288022</v>
      </c>
      <c r="DS5" s="59">
        <f t="shared" si="17"/>
        <v>466.11934006706304</v>
      </c>
      <c r="DT5" s="59">
        <f ca="1">AVERAGE(OFFSET($DS$3,0,0,'Données projet'!$E$14+1,1))-AVERAGE(OFFSET($H$3,0,0,'Données projet'!$E$14+1,1))</f>
        <v>88.170414732964616</v>
      </c>
      <c r="DU5" s="59">
        <f t="shared" ref="DU5:DU68" si="44">$DU$3</f>
        <v>281.30515544919626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115.85986459356084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47.390785184625955</v>
      </c>
      <c r="H6" s="67">
        <f t="shared" si="1"/>
        <v>483.22275424061456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0.6</v>
      </c>
      <c r="N6" s="13">
        <f>IF('Données projet'!$A$36&gt;35,N5+M6-V5,IF(A6&lt;'Données projet'!$A$36,$K$205^A6,IF(A6='Données projet'!$A$36,'Données projet'!$B$36,N5+M6-V5)))</f>
        <v>1.9331820449317632</v>
      </c>
      <c r="O6" s="13">
        <f>N6*VLOOKUP('Données projet'!$B$9,Paramètres!$A$1:$I$89,3,0)*VLOOKUP('Données projet'!$B$9,Paramètres!$A$1:$I$89,5,0)</f>
        <v>1.0132967006714331</v>
      </c>
      <c r="P6" s="13">
        <f t="shared" si="33"/>
        <v>0.46625225995926933</v>
      </c>
      <c r="Q6" s="20">
        <f t="shared" si="2"/>
        <v>2.5768811064318067</v>
      </c>
      <c r="R6" s="59">
        <f t="shared" si="0"/>
        <v>469.2652350096501</v>
      </c>
      <c r="S6" s="59">
        <f ca="1">AVERAGE(OFFSET($R$3,0,0,'Données projet'!$E$9+1,1))-AVERAGE(OFFSET($H$3,0,0,'Données projet'!$E$9+1,1))</f>
        <v>167.42995526007479</v>
      </c>
      <c r="T6" s="59">
        <f t="shared" si="34"/>
        <v>397.36718389105215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</v>
      </c>
      <c r="AI6" s="13">
        <f>IF('Données projet'!$A$62&gt;35,AI5+AH6-AQ5,IF(A6&lt;'Données projet'!$A$62,$AF$205^A6,IF(A6='Données projet'!$A$62,'Données projet'!$B$62,AI5+AH6-AQ5)))</f>
        <v>2.1810154653305154</v>
      </c>
      <c r="AJ6" s="13">
        <f>AI6*VLOOKUP('Données projet'!$B$10,Paramètres!$A$1:$I$89,3,0)*VLOOKUP('Données projet'!$B$10,Paramètres!$A$1:$I$89,5,0)</f>
        <v>1.1432010663076431</v>
      </c>
      <c r="AK6" s="13">
        <f t="shared" si="35"/>
        <v>0.51869159741950621</v>
      </c>
      <c r="AL6" s="20">
        <f t="shared" si="4"/>
        <v>2.8944630559914515</v>
      </c>
      <c r="AM6" s="59">
        <f t="shared" si="5"/>
        <v>469.58281695920971</v>
      </c>
      <c r="AN6" s="59">
        <f ca="1">AVERAGE(OFFSET($AM$3,0,0,'Données projet'!$E$10+1,1))-AVERAGE(OFFSET($H$3,0,0,'Données projet'!$E$10+1,1))</f>
        <v>127.55710992710948</v>
      </c>
      <c r="AO6" s="59">
        <f t="shared" si="36"/>
        <v>417.43085823929903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</v>
      </c>
      <c r="BD6" s="12">
        <f>IF('Données projet'!$A$88&gt;35,BD5+BC6-BL5,IF(A6&lt;'Données projet'!$A$88,$BA$205^A6,IF(A6='Données projet'!$A$88,'Données projet'!$B$88,BD5+BC6-BL5)))</f>
        <v>2.1810154653305154</v>
      </c>
      <c r="BE6" s="13">
        <f>BD6*VLOOKUP('Données projet'!$B$11,Paramètres!$A$1:$I$89,3,0)*VLOOKUP('Données projet'!$B$11,Paramètres!$A$1:$I$89,5,0)</f>
        <v>1.109177225048487</v>
      </c>
      <c r="BF6" s="13">
        <f t="shared" si="37"/>
        <v>0.50502735046800051</v>
      </c>
      <c r="BG6" s="20">
        <f t="shared" si="7"/>
        <v>2.8114063023578826</v>
      </c>
      <c r="BH6" s="59">
        <f t="shared" si="8"/>
        <v>469.49976020557619</v>
      </c>
      <c r="BI6" s="59">
        <f ca="1">AVERAGE(OFFSET($BH$3,0,0,'Données projet'!$E$11+1,1))-AVERAGE(OFFSET($H$3,0,0,'Données projet'!$E$11+1,1))</f>
        <v>123.48243581061803</v>
      </c>
      <c r="BJ6" s="59">
        <f t="shared" si="38"/>
        <v>405.05940798527138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3.5</v>
      </c>
      <c r="BY6" s="12">
        <f>IF('Données projet'!$A$114&gt;35,BY5+BX6-CG5,IF(A6&lt;'Données projet'!$A$114,$BV$205^A6,IF(A6='Données projet'!$A$114,'Données projet'!$B$114,BY5+BX6-CG5)))</f>
        <v>4.5825756949558398</v>
      </c>
      <c r="BZ6" s="13">
        <f>BY6*VLOOKUP('Données projet'!$B$12,Paramètres!$A$1:$I$89,3,0)*VLOOKUP('Données projet'!$B$12,Paramètres!$A$1:$I$89,5,0)</f>
        <v>2.0159666997249728</v>
      </c>
      <c r="CA6" s="13">
        <f t="shared" si="39"/>
        <v>0.85623614378725821</v>
      </c>
      <c r="CB6" s="20">
        <f t="shared" si="10"/>
        <v>5.0024199524504693</v>
      </c>
      <c r="CC6" s="59">
        <f t="shared" si="11"/>
        <v>471.69077385566874</v>
      </c>
      <c r="CD6" s="59">
        <f ca="1">AVERAGE(OFFSET($CC$3,0,0,'Données projet'!$E$12+1,1))-AVERAGE(OFFSET($H$3,0,0,'Données projet'!$E$12+1,1))</f>
        <v>156.72204844493132</v>
      </c>
      <c r="CE6" s="59">
        <f t="shared" si="40"/>
        <v>377.72061016381247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</v>
      </c>
      <c r="CT6" s="12">
        <f>IF('Données projet'!$A$140&gt;35,CT5+CS6-DB5,IF(A6&lt;'Données projet'!$A$140,$CQ$205^A6,IF(A6='Données projet'!$A$140,'Données projet'!$B$140,CT5+CS6-DB5)))</f>
        <v>2.1810154653305154</v>
      </c>
      <c r="CU6" s="17">
        <f>CT6*VLOOKUP('Données projet'!$B$13,Paramètres!$A$1:$I$89,3,0)*VLOOKUP('Données projet'!$B$13,Paramètres!$A$1:$I$89,5,0)</f>
        <v>1.109177225048487</v>
      </c>
      <c r="CV6" s="13">
        <f t="shared" si="41"/>
        <v>0.50502735046800051</v>
      </c>
      <c r="CW6" s="20">
        <f t="shared" si="13"/>
        <v>2.8114063023578826</v>
      </c>
      <c r="CX6" s="59">
        <f t="shared" si="14"/>
        <v>469.49976020557619</v>
      </c>
      <c r="CY6" s="59">
        <f ca="1">AVERAGE(OFFSET($CX$3,0,0,'Données projet'!$E$13+1,1))-AVERAGE(OFFSET($H$3,0,0,'Données projet'!$E$13+1,1))</f>
        <v>88.170414732964616</v>
      </c>
      <c r="CZ6" s="59">
        <f t="shared" si="42"/>
        <v>281.30515544919626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</v>
      </c>
      <c r="DO6" s="12">
        <f>IF('Données projet'!$A$166&gt;35,DO5+DN6-DW5,IF(A6&lt;'Données projet'!$A$166,$DL$205^A6,IF(A6='Données projet'!$A$166,'Données projet'!$B$166,DO5+DN6-DW5)))</f>
        <v>2.1810154653305154</v>
      </c>
      <c r="DP6" s="17">
        <f>DO6*VLOOKUP('Données projet'!$B$14,Paramètres!$A$1:$I$89,3,0)*VLOOKUP('Données projet'!$B$14,Paramètres!$A$1:$I$89,5,0)</f>
        <v>1.109177225048487</v>
      </c>
      <c r="DQ6" s="13">
        <f t="shared" si="43"/>
        <v>0.50502735046800051</v>
      </c>
      <c r="DR6" s="20">
        <f t="shared" si="16"/>
        <v>2.8114063023578826</v>
      </c>
      <c r="DS6" s="59">
        <f t="shared" si="17"/>
        <v>469.49976020557619</v>
      </c>
      <c r="DT6" s="59">
        <f ca="1">AVERAGE(OFFSET($DS$3,0,0,'Données projet'!$E$14+1,1))-AVERAGE(OFFSET($H$3,0,0,'Données projet'!$E$14+1,1))</f>
        <v>88.170414732964616</v>
      </c>
      <c r="DU6" s="59">
        <f t="shared" si="44"/>
        <v>281.30515544919626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116.27864197360498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56.704893092326316</v>
      </c>
      <c r="H7" s="67">
        <f t="shared" si="1"/>
        <v>485.32424983728947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0.6</v>
      </c>
      <c r="N7" s="13">
        <f>IF('Données projet'!$A$36&gt;35,N6+M7-V6,IF(A7&lt;'Données projet'!$A$36,$K$205^A7,IF(A7='Données projet'!$A$36,'Données projet'!$B$36,N6+M7-V6)))</f>
        <v>2.4082246852806923</v>
      </c>
      <c r="O7" s="13">
        <f>N7*VLOOKUP('Données projet'!$B$9,Paramètres!$A$1:$I$89,3,0)*VLOOKUP('Données projet'!$B$9,Paramètres!$A$1:$I$89,5,0)</f>
        <v>1.2622950510367279</v>
      </c>
      <c r="P7" s="13">
        <f t="shared" si="33"/>
        <v>0.56615822108833347</v>
      </c>
      <c r="Q7" s="20">
        <f t="shared" si="2"/>
        <v>3.1845561156178146</v>
      </c>
      <c r="R7" s="59">
        <f t="shared" si="0"/>
        <v>472.60401151312806</v>
      </c>
      <c r="S7" s="59">
        <f ca="1">AVERAGE(OFFSET($R$3,0,0,'Données projet'!$E$9+1,1))-AVERAGE(OFFSET($H$3,0,0,'Données projet'!$E$9+1,1))</f>
        <v>167.42995526007479</v>
      </c>
      <c r="T7" s="59">
        <f t="shared" si="34"/>
        <v>397.36718389105215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</v>
      </c>
      <c r="AI7" s="13">
        <f>IF('Données projet'!$A$62&gt;35,AI6+AH7-AQ6,IF(A7&lt;'Données projet'!$A$62,$AF$205^A7,IF(A7='Données projet'!$A$62,'Données projet'!$B$62,AI6+AH7-AQ6)))</f>
        <v>2.8284271247461898</v>
      </c>
      <c r="AJ7" s="13">
        <f>AI7*VLOOKUP('Données projet'!$B$10,Paramètres!$A$1:$I$89,3,0)*VLOOKUP('Données projet'!$B$10,Paramètres!$A$1:$I$89,5,0)</f>
        <v>1.482548361706963</v>
      </c>
      <c r="AK7" s="13">
        <f t="shared" si="35"/>
        <v>0.65261267102976972</v>
      </c>
      <c r="AL7" s="20">
        <f t="shared" si="4"/>
        <v>3.7187387986831424</v>
      </c>
      <c r="AM7" s="59">
        <f t="shared" si="5"/>
        <v>473.13819419619341</v>
      </c>
      <c r="AN7" s="59">
        <f ca="1">AVERAGE(OFFSET($AM$3,0,0,'Données projet'!$E$10+1,1))-AVERAGE(OFFSET($H$3,0,0,'Données projet'!$E$10+1,1))</f>
        <v>127.55710992710948</v>
      </c>
      <c r="AO7" s="59">
        <f t="shared" si="36"/>
        <v>417.43085823929903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</v>
      </c>
      <c r="BD7" s="12">
        <f>IF('Données projet'!$A$88&gt;35,BD6+BC7-BL6,IF(A7&lt;'Données projet'!$A$88,$BA$205^A7,IF(A7='Données projet'!$A$88,'Données projet'!$B$88,BD6+BC7-BL6)))</f>
        <v>2.8284271247461898</v>
      </c>
      <c r="BE7" s="13">
        <f>BD7*VLOOKUP('Données projet'!$B$11,Paramètres!$A$1:$I$89,3,0)*VLOOKUP('Données projet'!$B$11,Paramètres!$A$1:$I$89,5,0)</f>
        <v>1.4384248985609225</v>
      </c>
      <c r="BF7" s="13">
        <f t="shared" si="37"/>
        <v>0.63542044978501278</v>
      </c>
      <c r="BG7" s="20">
        <f t="shared" si="7"/>
        <v>3.6119473150358368</v>
      </c>
      <c r="BH7" s="59">
        <f t="shared" si="8"/>
        <v>473.03140271254608</v>
      </c>
      <c r="BI7" s="59">
        <f ca="1">AVERAGE(OFFSET($BH$3,0,0,'Données projet'!$E$11+1,1))-AVERAGE(OFFSET($H$3,0,0,'Données projet'!$E$11+1,1))</f>
        <v>123.48243581061803</v>
      </c>
      <c r="BJ7" s="59">
        <f t="shared" si="38"/>
        <v>405.05940798527138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3.5</v>
      </c>
      <c r="BY7" s="12">
        <f>IF('Données projet'!$A$114&gt;35,BY6+BX7-CG6,IF(A7&lt;'Données projet'!$A$114,$BV$205^A7,IF(A7='Données projet'!$A$114,'Données projet'!$B$114,BY6+BX7-CG6)))</f>
        <v>7.6116626110202459</v>
      </c>
      <c r="BZ7" s="13">
        <f>BY7*VLOOKUP('Données projet'!$B$12,Paramètres!$A$1:$I$89,3,0)*VLOOKUP('Données projet'!$B$12,Paramètres!$A$1:$I$89,5,0)</f>
        <v>3.3485226158400261</v>
      </c>
      <c r="CA7" s="13">
        <f t="shared" si="39"/>
        <v>1.3406406530764263</v>
      </c>
      <c r="CB7" s="20">
        <f t="shared" si="10"/>
        <v>8.1669593600294874</v>
      </c>
      <c r="CC7" s="59">
        <f t="shared" si="11"/>
        <v>477.58641475753973</v>
      </c>
      <c r="CD7" s="59">
        <f ca="1">AVERAGE(OFFSET($CC$3,0,0,'Données projet'!$E$12+1,1))-AVERAGE(OFFSET($H$3,0,0,'Données projet'!$E$12+1,1))</f>
        <v>156.72204844493132</v>
      </c>
      <c r="CE7" s="59">
        <f t="shared" si="40"/>
        <v>377.72061016381247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</v>
      </c>
      <c r="CT7" s="12">
        <f>IF('Données projet'!$A$140&gt;35,CT6+CS7-DB6,IF(A7&lt;'Données projet'!$A$140,$CQ$205^A7,IF(A7='Données projet'!$A$140,'Données projet'!$B$140,CT6+CS7-DB6)))</f>
        <v>2.8284271247461898</v>
      </c>
      <c r="CU7" s="17">
        <f>CT7*VLOOKUP('Données projet'!$B$13,Paramètres!$A$1:$I$89,3,0)*VLOOKUP('Données projet'!$B$13,Paramètres!$A$1:$I$89,5,0)</f>
        <v>1.4384248985609225</v>
      </c>
      <c r="CV7" s="13">
        <f t="shared" si="41"/>
        <v>0.63542044978501278</v>
      </c>
      <c r="CW7" s="20">
        <f t="shared" si="13"/>
        <v>3.6119473150358368</v>
      </c>
      <c r="CX7" s="59">
        <f t="shared" si="14"/>
        <v>473.03140271254608</v>
      </c>
      <c r="CY7" s="59">
        <f ca="1">AVERAGE(OFFSET($CX$3,0,0,'Données projet'!$E$13+1,1))-AVERAGE(OFFSET($H$3,0,0,'Données projet'!$E$13+1,1))</f>
        <v>88.170414732964616</v>
      </c>
      <c r="CZ7" s="59">
        <f t="shared" si="42"/>
        <v>281.30515544919626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</v>
      </c>
      <c r="DO7" s="12">
        <f>IF('Données projet'!$A$166&gt;35,DO6+DN7-DW6,IF(A7&lt;'Données projet'!$A$166,$DL$205^A7,IF(A7='Données projet'!$A$166,'Données projet'!$B$166,DO6+DN7-DW6)))</f>
        <v>2.8284271247461898</v>
      </c>
      <c r="DP7" s="17">
        <f>DO7*VLOOKUP('Données projet'!$B$14,Paramètres!$A$1:$I$89,3,0)*VLOOKUP('Données projet'!$B$14,Paramètres!$A$1:$I$89,5,0)</f>
        <v>1.4384248985609225</v>
      </c>
      <c r="DQ7" s="13">
        <f t="shared" si="43"/>
        <v>0.63542044978501278</v>
      </c>
      <c r="DR7" s="20">
        <f t="shared" si="16"/>
        <v>3.6119473150358368</v>
      </c>
      <c r="DS7" s="59">
        <f t="shared" si="17"/>
        <v>473.03140271254608</v>
      </c>
      <c r="DT7" s="59">
        <f ca="1">AVERAGE(OFFSET($DS$3,0,0,'Données projet'!$E$14+1,1))-AVERAGE(OFFSET($H$3,0,0,'Données projet'!$E$14+1,1))</f>
        <v>88.170414732964616</v>
      </c>
      <c r="DU7" s="59">
        <f t="shared" si="44"/>
        <v>281.30515544919626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116.69015450235129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65.947946313482234</v>
      </c>
      <c r="H8" s="67">
        <f t="shared" si="1"/>
        <v>487.40971372031277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K8" s="12">
        <f>VLOOKUP(A8,'Données projet'!$A$35:$I$55,2,0)</f>
        <v>3</v>
      </c>
      <c r="L8" s="12">
        <f>VLOOKUP(A8,'Données projet'!$A$35:$I$55,9,0)</f>
        <v>0.6</v>
      </c>
      <c r="M8" s="12">
        <f t="array" ref="M8">INDEX(L:L,MIN(IF(ISNUMBER(L8:L204),ROW(L8:L204),"")))</f>
        <v>0.6</v>
      </c>
      <c r="N8" s="13">
        <f>IF('Données projet'!$A$36&gt;35,N7+M8-V7,IF(A8&lt;'Données projet'!$A$36,$K$205^A8,IF(A8='Données projet'!$A$36,'Données projet'!$B$36,N7+M8-V7)))</f>
        <v>3</v>
      </c>
      <c r="O8" s="13">
        <f>N8*VLOOKUP('Données projet'!$B$9,Paramètres!$A$1:$I$89,3,0)*VLOOKUP('Données projet'!$B$9,Paramètres!$A$1:$I$89,5,0)</f>
        <v>1.5724800000000001</v>
      </c>
      <c r="P8" s="13">
        <f t="shared" si="33"/>
        <v>0.6874714802109646</v>
      </c>
      <c r="Q8" s="20">
        <f t="shared" si="2"/>
        <v>3.9360821613674299</v>
      </c>
      <c r="R8" s="59">
        <f t="shared" si="0"/>
        <v>476.0604633711481</v>
      </c>
      <c r="S8" s="59">
        <f ca="1">AVERAGE(OFFSET($R$3,0,0,'Données projet'!$E$9+1,1))-AVERAGE(OFFSET($H$3,0,0,'Données projet'!$E$9+1,1))</f>
        <v>167.42995526007479</v>
      </c>
      <c r="T8" s="59">
        <f t="shared" si="34"/>
        <v>397.36718389105215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0.28199999999999997</v>
      </c>
      <c r="X8" s="16">
        <f>IF(ISNA(VLOOKUP(A8,'Données projet'!$A$35:$I$55,6,0)),0%,VLOOKUP(A8,'Données projet'!$A$35:$I$55,6,0)*VLOOKUP('Données projet'!$B$9,Paramètres!$A$1:$I$89,7,0))</f>
        <v>0.126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</v>
      </c>
      <c r="AI8" s="13">
        <f>IF('Données projet'!$A$62&gt;35,AI7+AH8-AQ7,IF(A8&lt;'Données projet'!$A$62,$AF$205^A8,IF(A8='Données projet'!$A$62,'Données projet'!$B$62,AI7+AH8-AQ7)))</f>
        <v>3.6680161728186844</v>
      </c>
      <c r="AJ8" s="13">
        <f>AI8*VLOOKUP('Données projet'!$B$10,Paramètres!$A$1:$I$89,3,0)*VLOOKUP('Données projet'!$B$10,Paramètres!$A$1:$I$89,5,0)</f>
        <v>1.9226273571446419</v>
      </c>
      <c r="AK8" s="13">
        <f t="shared" si="35"/>
        <v>0.82111084989130712</v>
      </c>
      <c r="AL8" s="20">
        <f t="shared" si="4"/>
        <v>4.7786773772542768</v>
      </c>
      <c r="AM8" s="59">
        <f t="shared" si="5"/>
        <v>476.90305858703493</v>
      </c>
      <c r="AN8" s="59">
        <f ca="1">AVERAGE(OFFSET($AM$3,0,0,'Données projet'!$E$10+1,1))-AVERAGE(OFFSET($H$3,0,0,'Données projet'!$E$10+1,1))</f>
        <v>127.55710992710948</v>
      </c>
      <c r="AO8" s="59">
        <f t="shared" si="36"/>
        <v>417.43085823929903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</v>
      </c>
      <c r="BD8" s="12">
        <f>IF('Données projet'!$A$88&gt;35,BD7+BC8-BL7,IF(A8&lt;'Données projet'!$A$88,$BA$205^A8,IF(A8='Données projet'!$A$88,'Données projet'!$B$88,BD7+BC8-BL7)))</f>
        <v>3.6680161728186844</v>
      </c>
      <c r="BE8" s="13">
        <f>BD8*VLOOKUP('Données projet'!$B$11,Paramètres!$A$1:$I$89,3,0)*VLOOKUP('Données projet'!$B$11,Paramètres!$A$1:$I$89,5,0)</f>
        <v>1.8654063048486704</v>
      </c>
      <c r="BF8" s="13">
        <f t="shared" si="37"/>
        <v>0.79947976605787985</v>
      </c>
      <c r="BG8" s="20">
        <f t="shared" si="7"/>
        <v>4.6413432401622412</v>
      </c>
      <c r="BH8" s="59">
        <f t="shared" si="8"/>
        <v>476.76572444994292</v>
      </c>
      <c r="BI8" s="59">
        <f ca="1">AVERAGE(OFFSET($BH$3,0,0,'Données projet'!$E$11+1,1))-AVERAGE(OFFSET($H$3,0,0,'Données projet'!$E$11+1,1))</f>
        <v>123.48243581061803</v>
      </c>
      <c r="BJ8" s="59">
        <f t="shared" si="38"/>
        <v>405.05940798527138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3.5</v>
      </c>
      <c r="BY8" s="12">
        <f>IF('Données projet'!$A$114&gt;35,BY7+BX8-CG7,IF(A8&lt;'Données projet'!$A$114,$BV$205^A8,IF(A8='Données projet'!$A$114,'Données projet'!$B$114,BY7+BX8-CG7)))</f>
        <v>12.642978874910185</v>
      </c>
      <c r="BZ8" s="13">
        <f>BY8*VLOOKUP('Données projet'!$B$12,Paramètres!$A$1:$I$89,3,0)*VLOOKUP('Données projet'!$B$12,Paramètres!$A$1:$I$89,5,0)</f>
        <v>5.5618992666504878</v>
      </c>
      <c r="CA8" s="13">
        <f t="shared" si="39"/>
        <v>2.0990907400047241</v>
      </c>
      <c r="CB8" s="20">
        <f t="shared" si="10"/>
        <v>13.342890928257825</v>
      </c>
      <c r="CC8" s="59">
        <f t="shared" si="11"/>
        <v>485.46727213803848</v>
      </c>
      <c r="CD8" s="59">
        <f ca="1">AVERAGE(OFFSET($CC$3,0,0,'Données projet'!$E$12+1,1))-AVERAGE(OFFSET($H$3,0,0,'Données projet'!$E$12+1,1))</f>
        <v>156.72204844493132</v>
      </c>
      <c r="CE8" s="59">
        <f t="shared" si="40"/>
        <v>377.72061016381247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</v>
      </c>
      <c r="CT8" s="12">
        <f>IF('Données projet'!$A$140&gt;35,CT7+CS8-DB7,IF(A8&lt;'Données projet'!$A$140,$CQ$205^A8,IF(A8='Données projet'!$A$140,'Données projet'!$B$140,CT7+CS8-DB7)))</f>
        <v>3.6680161728186844</v>
      </c>
      <c r="CU8" s="17">
        <f>CT8*VLOOKUP('Données projet'!$B$13,Paramètres!$A$1:$I$89,3,0)*VLOOKUP('Données projet'!$B$13,Paramètres!$A$1:$I$89,5,0)</f>
        <v>1.8654063048486704</v>
      </c>
      <c r="CV8" s="13">
        <f t="shared" si="41"/>
        <v>0.79947976605787985</v>
      </c>
      <c r="CW8" s="20">
        <f t="shared" si="13"/>
        <v>4.6413432401622412</v>
      </c>
      <c r="CX8" s="59">
        <f t="shared" si="14"/>
        <v>476.76572444994292</v>
      </c>
      <c r="CY8" s="59">
        <f ca="1">AVERAGE(OFFSET($CX$3,0,0,'Données projet'!$E$13+1,1))-AVERAGE(OFFSET($H$3,0,0,'Données projet'!$E$13+1,1))</f>
        <v>88.170414732964616</v>
      </c>
      <c r="CZ8" s="59">
        <f t="shared" si="42"/>
        <v>281.30515544919626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</v>
      </c>
      <c r="DO8" s="12">
        <f>IF('Données projet'!$A$166&gt;35,DO7+DN8-DW7,IF(A8&lt;'Données projet'!$A$166,$DL$205^A8,IF(A8='Données projet'!$A$166,'Données projet'!$B$166,DO7+DN8-DW7)))</f>
        <v>3.6680161728186844</v>
      </c>
      <c r="DP8" s="17">
        <f>DO8*VLOOKUP('Données projet'!$B$14,Paramètres!$A$1:$I$89,3,0)*VLOOKUP('Données projet'!$B$14,Paramètres!$A$1:$I$89,5,0)</f>
        <v>1.8654063048486704</v>
      </c>
      <c r="DQ8" s="13">
        <f t="shared" si="43"/>
        <v>0.79947976605787985</v>
      </c>
      <c r="DR8" s="20">
        <f t="shared" si="16"/>
        <v>4.6413432401622412</v>
      </c>
      <c r="DS8" s="59">
        <f t="shared" si="17"/>
        <v>476.76572444994292</v>
      </c>
      <c r="DT8" s="59">
        <f ca="1">AVERAGE(OFFSET($DS$3,0,0,'Données projet'!$E$14+1,1))-AVERAGE(OFFSET($H$3,0,0,'Données projet'!$E$14+1,1))</f>
        <v>88.170414732964616</v>
      </c>
      <c r="DU8" s="59">
        <f t="shared" si="44"/>
        <v>281.30515544919626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117.09452820872806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75.135866641434262</v>
      </c>
      <c r="H9" s="67">
        <f t="shared" si="1"/>
        <v>489.48273824430697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K9" s="12">
        <f>VLOOKUP(A9,'Données projet'!$A$35:$I$55,2,0)</f>
        <v>29</v>
      </c>
      <c r="L9" s="12">
        <f>VLOOKUP(A9,'Données projet'!$A$35:$I$55,9,0)</f>
        <v>26</v>
      </c>
      <c r="M9" s="12">
        <f t="array" ref="M9">INDEX(L:L,MIN(IF(ISNUMBER(L9:L205),ROW(L9:L205),"")))</f>
        <v>26</v>
      </c>
      <c r="N9" s="13">
        <f>IF('Données projet'!$A$36&gt;35,N8+M9-V8,IF(A9&lt;'Données projet'!$A$36,$K$205^A9,IF(A9='Données projet'!$A$36,'Données projet'!$B$36,N8+M9-V8)))</f>
        <v>29</v>
      </c>
      <c r="O9" s="13">
        <f>N9*VLOOKUP('Données projet'!$B$9,Paramètres!$A$1:$I$89,3,0)*VLOOKUP('Données projet'!$B$9,Paramètres!$A$1:$I$89,5,0)</f>
        <v>15.20064</v>
      </c>
      <c r="P9" s="13">
        <f t="shared" si="33"/>
        <v>5.1032308720646968</v>
      </c>
      <c r="Q9" s="20">
        <f t="shared" si="2"/>
        <v>35.362575102179342</v>
      </c>
      <c r="R9" s="59">
        <f t="shared" si="0"/>
        <v>510.16616053177171</v>
      </c>
      <c r="S9" s="59">
        <f ca="1">AVERAGE(OFFSET($R$3,0,0,'Données projet'!$E$9+1,1))-AVERAGE(OFFSET($H$3,0,0,'Données projet'!$E$9+1,1))</f>
        <v>167.42995526007479</v>
      </c>
      <c r="T9" s="59">
        <f t="shared" si="34"/>
        <v>397.36718389105215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</v>
      </c>
      <c r="AI9" s="13">
        <f>IF('Données projet'!$A$62&gt;35,AI8+AH9-AQ8,IF(A9&lt;'Données projet'!$A$62,$AF$205^A9,IF(A9='Données projet'!$A$62,'Données projet'!$B$62,AI8+AH9-AQ8)))</f>
        <v>4.7568284600108832</v>
      </c>
      <c r="AJ9" s="13">
        <f>AI9*VLOOKUP('Données projet'!$B$10,Paramètres!$A$1:$I$89,3,0)*VLOOKUP('Données projet'!$B$10,Paramètres!$A$1:$I$89,5,0)</f>
        <v>2.4933392055993044</v>
      </c>
      <c r="AK9" s="13">
        <f t="shared" si="35"/>
        <v>1.0331136028133738</v>
      </c>
      <c r="AL9" s="20">
        <f t="shared" si="4"/>
        <v>6.1419053079854136</v>
      </c>
      <c r="AM9" s="59">
        <f t="shared" si="5"/>
        <v>480.94549073757781</v>
      </c>
      <c r="AN9" s="59">
        <f ca="1">AVERAGE(OFFSET($AM$3,0,0,'Données projet'!$E$10+1,1))-AVERAGE(OFFSET($H$3,0,0,'Données projet'!$E$10+1,1))</f>
        <v>127.55710992710948</v>
      </c>
      <c r="AO9" s="59">
        <f t="shared" si="36"/>
        <v>417.43085823929903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</v>
      </c>
      <c r="BD9" s="12">
        <f>IF('Données projet'!$A$88&gt;35,BD8+BC9-BL8,IF(A9&lt;'Données projet'!$A$88,$BA$205^A9,IF(A9='Données projet'!$A$88,'Données projet'!$B$88,BD8+BC9-BL8)))</f>
        <v>4.7568284600108832</v>
      </c>
      <c r="BE9" s="13">
        <f>BD9*VLOOKUP('Données projet'!$B$11,Paramètres!$A$1:$I$89,3,0)*VLOOKUP('Données projet'!$B$11,Paramètres!$A$1:$I$89,5,0)</f>
        <v>2.4191326816231347</v>
      </c>
      <c r="BF9" s="13">
        <f t="shared" si="37"/>
        <v>1.0058975856886845</v>
      </c>
      <c r="BG9" s="20">
        <f t="shared" si="7"/>
        <v>5.965261048901418</v>
      </c>
      <c r="BH9" s="59">
        <f t="shared" si="8"/>
        <v>480.7688464784938</v>
      </c>
      <c r="BI9" s="59">
        <f ca="1">AVERAGE(OFFSET($BH$3,0,0,'Données projet'!$E$11+1,1))-AVERAGE(OFFSET($H$3,0,0,'Données projet'!$E$11+1,1))</f>
        <v>123.48243581061803</v>
      </c>
      <c r="BJ9" s="59">
        <f t="shared" si="38"/>
        <v>405.05940798527138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V9" s="12">
        <f>VLOOKUP(A9,'Données projet'!$A$113:$I$133,2,0)</f>
        <v>21</v>
      </c>
      <c r="BW9" s="12">
        <f>VLOOKUP(A9,'Données projet'!$A$113:$I$133,9,0)</f>
        <v>3.5</v>
      </c>
      <c r="BX9" s="12">
        <f t="array" ref="BX9">INDEX(BW:BW,MIN(IF(ISNUMBER(BW9:BW205),ROW(BW9:BW205),"")))</f>
        <v>3.5</v>
      </c>
      <c r="BY9" s="12">
        <f>IF('Données projet'!$A$114&gt;35,BY8+BX9-CG8,IF(A9&lt;'Données projet'!$A$114,$BV$205^A9,IF(A9='Données projet'!$A$114,'Données projet'!$B$114,BY8+BX9-CG8)))</f>
        <v>21</v>
      </c>
      <c r="BZ9" s="13">
        <f>BY9*VLOOKUP('Données projet'!$B$12,Paramètres!$A$1:$I$89,3,0)*VLOOKUP('Données projet'!$B$12,Paramètres!$A$1:$I$89,5,0)</f>
        <v>9.2383199999999999</v>
      </c>
      <c r="CA9" s="13">
        <f t="shared" si="39"/>
        <v>3.2866241409750794</v>
      </c>
      <c r="CB9" s="20">
        <f t="shared" si="10"/>
        <v>21.814277712198262</v>
      </c>
      <c r="CC9" s="59">
        <f t="shared" si="11"/>
        <v>496.61786314179062</v>
      </c>
      <c r="CD9" s="59">
        <f ca="1">AVERAGE(OFFSET($CC$3,0,0,'Données projet'!$E$12+1,1))-AVERAGE(OFFSET($H$3,0,0,'Données projet'!$E$12+1,1))</f>
        <v>156.72204844493132</v>
      </c>
      <c r="CE9" s="59">
        <f t="shared" si="40"/>
        <v>377.72061016381247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0.28199999999999997</v>
      </c>
      <c r="CI9" s="16">
        <f>IF(ISNA(VLOOKUP(A9,'Données projet'!$A$113:$I$133,6,0)),0%,VLOOKUP(A9,'Données projet'!$A$113:$I$133,6,0)*VLOOKUP('Données projet'!$B$12,Paramètres!$A$1:$I$89,7,0))</f>
        <v>0.126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</v>
      </c>
      <c r="CT9" s="12">
        <f>IF('Données projet'!$A$140&gt;35,CT8+CS9-DB8,IF(A9&lt;'Données projet'!$A$140,$CQ$205^A9,IF(A9='Données projet'!$A$140,'Données projet'!$B$140,CT8+CS9-DB8)))</f>
        <v>4.7568284600108832</v>
      </c>
      <c r="CU9" s="17">
        <f>CT9*VLOOKUP('Données projet'!$B$13,Paramètres!$A$1:$I$89,3,0)*VLOOKUP('Données projet'!$B$13,Paramètres!$A$1:$I$89,5,0)</f>
        <v>2.4191326816231347</v>
      </c>
      <c r="CV9" s="13">
        <f t="shared" si="41"/>
        <v>1.0058975856886845</v>
      </c>
      <c r="CW9" s="20">
        <f t="shared" si="13"/>
        <v>5.965261048901418</v>
      </c>
      <c r="CX9" s="59">
        <f t="shared" si="14"/>
        <v>480.7688464784938</v>
      </c>
      <c r="CY9" s="59">
        <f ca="1">AVERAGE(OFFSET($CX$3,0,0,'Données projet'!$E$13+1,1))-AVERAGE(OFFSET($H$3,0,0,'Données projet'!$E$13+1,1))</f>
        <v>88.170414732964616</v>
      </c>
      <c r="CZ9" s="59">
        <f t="shared" si="42"/>
        <v>281.30515544919626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</v>
      </c>
      <c r="DO9" s="12">
        <f>IF('Données projet'!$A$166&gt;35,DO8+DN9-DW8,IF(A9&lt;'Données projet'!$A$166,$DL$205^A9,IF(A9='Données projet'!$A$166,'Données projet'!$B$166,DO8+DN9-DW8)))</f>
        <v>4.7568284600108832</v>
      </c>
      <c r="DP9" s="17">
        <f>DO9*VLOOKUP('Données projet'!$B$14,Paramètres!$A$1:$I$89,3,0)*VLOOKUP('Données projet'!$B$14,Paramètres!$A$1:$I$89,5,0)</f>
        <v>2.4191326816231347</v>
      </c>
      <c r="DQ9" s="13">
        <f t="shared" si="43"/>
        <v>1.0058975856886845</v>
      </c>
      <c r="DR9" s="20">
        <f t="shared" si="16"/>
        <v>5.965261048901418</v>
      </c>
      <c r="DS9" s="59">
        <f t="shared" si="17"/>
        <v>480.7688464784938</v>
      </c>
      <c r="DT9" s="59">
        <f ca="1">AVERAGE(OFFSET($DS$3,0,0,'Données projet'!$E$14+1,1))-AVERAGE(OFFSET($H$3,0,0,'Données projet'!$E$14+1,1))</f>
        <v>88.170414732964616</v>
      </c>
      <c r="DU9" s="59">
        <f t="shared" si="44"/>
        <v>281.30515544919626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117.49188693534336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84.278918240723954</v>
      </c>
      <c r="H10" s="67">
        <f t="shared" si="1"/>
        <v>491.54563926139667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K10" s="12">
        <f>VLOOKUP(A10,'Données projet'!$A$35:$I$55,2,0)</f>
        <v>57</v>
      </c>
      <c r="L10" s="12">
        <f>VLOOKUP(A10,'Données projet'!$A$35:$I$55,9,0)</f>
        <v>28</v>
      </c>
      <c r="M10" s="12">
        <f t="array" ref="M10">INDEX(L:L,MIN(IF(ISNUMBER(L10:L206),ROW(L10:L206),"")))</f>
        <v>28</v>
      </c>
      <c r="N10" s="13">
        <f>IF('Données projet'!$A$36&gt;35,N9+M10-V9,IF(A10&lt;'Données projet'!$A$36,$K$205^A10,IF(A10='Données projet'!$A$36,'Données projet'!$B$36,N9+M10-V9)))</f>
        <v>57</v>
      </c>
      <c r="O10" s="13">
        <f>N10*VLOOKUP('Données projet'!$B$9,Paramètres!$A$1:$I$89,3,0)*VLOOKUP('Données projet'!$B$9,Paramètres!$A$1:$I$89,5,0)</f>
        <v>29.877120000000001</v>
      </c>
      <c r="P10" s="13">
        <f t="shared" si="33"/>
        <v>9.2717426343874898</v>
      </c>
      <c r="Q10" s="20">
        <f t="shared" si="2"/>
        <v>68.18426908822488</v>
      </c>
      <c r="R10" s="59">
        <f t="shared" si="0"/>
        <v>545.64178335729457</v>
      </c>
      <c r="S10" s="59">
        <f ca="1">AVERAGE(OFFSET($R$3,0,0,'Données projet'!$E$9+1,1))-AVERAGE(OFFSET($H$3,0,0,'Données projet'!$E$9+1,1))</f>
        <v>167.42995526007479</v>
      </c>
      <c r="T10" s="59">
        <f t="shared" si="34"/>
        <v>397.36718389105215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</v>
      </c>
      <c r="AI10" s="13">
        <f>IF('Données projet'!$A$62&gt;35,AI9+AH10-AQ9,IF(A10&lt;'Données projet'!$A$62,$AF$205^A10,IF(A10='Données projet'!$A$62,'Données projet'!$B$62,AI9+AH10-AQ9)))</f>
        <v>6.168843301631763</v>
      </c>
      <c r="AJ10" s="13">
        <f>AI10*VLOOKUP('Données projet'!$B$10,Paramètres!$A$1:$I$89,3,0)*VLOOKUP('Données projet'!$B$10,Paramètres!$A$1:$I$89,5,0)</f>
        <v>3.2334609049833056</v>
      </c>
      <c r="AK10" s="13">
        <f t="shared" si="35"/>
        <v>1.2998533833273729</v>
      </c>
      <c r="AL10" s="20">
        <f t="shared" si="4"/>
        <v>7.8955223854744299</v>
      </c>
      <c r="AM10" s="59">
        <f t="shared" si="5"/>
        <v>485.35303665454404</v>
      </c>
      <c r="AN10" s="59">
        <f ca="1">AVERAGE(OFFSET($AM$3,0,0,'Données projet'!$E$10+1,1))-AVERAGE(OFFSET($H$3,0,0,'Données projet'!$E$10+1,1))</f>
        <v>127.55710992710948</v>
      </c>
      <c r="AO10" s="59">
        <f t="shared" si="36"/>
        <v>417.43085823929903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</v>
      </c>
      <c r="BD10" s="12">
        <f>IF('Données projet'!$A$88&gt;35,BD9+BC10-BL9,IF(A10&lt;'Données projet'!$A$88,$BA$205^A10,IF(A10='Données projet'!$A$88,'Données projet'!$B$88,BD9+BC10-BL9)))</f>
        <v>6.168843301631763</v>
      </c>
      <c r="BE10" s="13">
        <f>BD10*VLOOKUP('Données projet'!$B$11,Paramètres!$A$1:$I$89,3,0)*VLOOKUP('Données projet'!$B$11,Paramètres!$A$1:$I$89,5,0)</f>
        <v>3.1372269494778497</v>
      </c>
      <c r="BF10" s="13">
        <f t="shared" si="37"/>
        <v>1.2656104580151082</v>
      </c>
      <c r="BG10" s="20">
        <f t="shared" si="7"/>
        <v>7.6682751513835692</v>
      </c>
      <c r="BH10" s="59">
        <f t="shared" si="8"/>
        <v>485.1257894204532</v>
      </c>
      <c r="BI10" s="59">
        <f ca="1">AVERAGE(OFFSET($BH$3,0,0,'Données projet'!$E$11+1,1))-AVERAGE(OFFSET($H$3,0,0,'Données projet'!$E$11+1,1))</f>
        <v>123.48243581061803</v>
      </c>
      <c r="BJ10" s="59">
        <f t="shared" si="38"/>
        <v>405.05940798527138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V10" s="12">
        <f>VLOOKUP(A10,'Données projet'!$A$113:$I$133,2,0)</f>
        <v>55</v>
      </c>
      <c r="BW10" s="12">
        <f>VLOOKUP(A10,'Données projet'!$A$113:$I$133,9,0)</f>
        <v>34</v>
      </c>
      <c r="BX10" s="12">
        <f t="array" ref="BX10">INDEX(BW:BW,MIN(IF(ISNUMBER(BW10:BW206),ROW(BW10:BW206),"")))</f>
        <v>34</v>
      </c>
      <c r="BY10" s="12">
        <f>IF('Données projet'!$A$114&gt;35,BY9+BX10-CG9,IF(A10&lt;'Données projet'!$A$114,$BV$205^A10,IF(A10='Données projet'!$A$114,'Données projet'!$B$114,BY9+BX10-CG9)))</f>
        <v>55</v>
      </c>
      <c r="BZ10" s="13">
        <f>BY10*VLOOKUP('Données projet'!$B$12,Paramètres!$A$1:$I$89,3,0)*VLOOKUP('Données projet'!$B$12,Paramètres!$A$1:$I$89,5,0)</f>
        <v>24.195599999999999</v>
      </c>
      <c r="CA10" s="13">
        <f t="shared" si="39"/>
        <v>7.6952289313442845</v>
      </c>
      <c r="CB10" s="20">
        <f t="shared" si="10"/>
        <v>55.543193722091296</v>
      </c>
      <c r="CC10" s="59">
        <f t="shared" si="11"/>
        <v>533.00070799116088</v>
      </c>
      <c r="CD10" s="59">
        <f ca="1">AVERAGE(OFFSET($CC$3,0,0,'Données projet'!$E$12+1,1))-AVERAGE(OFFSET($H$3,0,0,'Données projet'!$E$12+1,1))</f>
        <v>156.72204844493132</v>
      </c>
      <c r="CE10" s="59">
        <f t="shared" si="40"/>
        <v>377.72061016381247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0.28199999999999997</v>
      </c>
      <c r="CI10" s="16">
        <f>IF(ISNA(VLOOKUP(A10,'Données projet'!$A$113:$I$133,6,0)),0%,VLOOKUP(A10,'Données projet'!$A$113:$I$133,6,0)*VLOOKUP('Données projet'!$B$12,Paramètres!$A$1:$I$89,7,0))</f>
        <v>0.126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</v>
      </c>
      <c r="CT10" s="12">
        <f>IF('Données projet'!$A$140&gt;35,CT9+CS10-DB9,IF(A10&lt;'Données projet'!$A$140,$CQ$205^A10,IF(A10='Données projet'!$A$140,'Données projet'!$B$140,CT9+CS10-DB9)))</f>
        <v>6.168843301631763</v>
      </c>
      <c r="CU10" s="17">
        <f>CT10*VLOOKUP('Données projet'!$B$13,Paramètres!$A$1:$I$89,3,0)*VLOOKUP('Données projet'!$B$13,Paramètres!$A$1:$I$89,5,0)</f>
        <v>3.1372269494778497</v>
      </c>
      <c r="CV10" s="13">
        <f t="shared" si="41"/>
        <v>1.2656104580151082</v>
      </c>
      <c r="CW10" s="20">
        <f t="shared" si="13"/>
        <v>7.6682751513835692</v>
      </c>
      <c r="CX10" s="59">
        <f t="shared" si="14"/>
        <v>485.1257894204532</v>
      </c>
      <c r="CY10" s="59">
        <f ca="1">AVERAGE(OFFSET($CX$3,0,0,'Données projet'!$E$13+1,1))-AVERAGE(OFFSET($H$3,0,0,'Données projet'!$E$13+1,1))</f>
        <v>88.170414732964616</v>
      </c>
      <c r="CZ10" s="59">
        <f t="shared" si="42"/>
        <v>281.30515544919626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</v>
      </c>
      <c r="DO10" s="12">
        <f>IF('Données projet'!$A$166&gt;35,DO9+DN10-DW9,IF(A10&lt;'Données projet'!$A$166,$DL$205^A10,IF(A10='Données projet'!$A$166,'Données projet'!$B$166,DO9+DN10-DW9)))</f>
        <v>6.168843301631763</v>
      </c>
      <c r="DP10" s="17">
        <f>DO10*VLOOKUP('Données projet'!$B$14,Paramètres!$A$1:$I$89,3,0)*VLOOKUP('Données projet'!$B$14,Paramètres!$A$1:$I$89,5,0)</f>
        <v>3.1372269494778497</v>
      </c>
      <c r="DQ10" s="13">
        <f t="shared" si="43"/>
        <v>1.2656104580151082</v>
      </c>
      <c r="DR10" s="20">
        <f t="shared" si="16"/>
        <v>7.6682751513835692</v>
      </c>
      <c r="DS10" s="59">
        <f t="shared" si="17"/>
        <v>485.1257894204532</v>
      </c>
      <c r="DT10" s="59">
        <f ca="1">AVERAGE(OFFSET($DS$3,0,0,'Données projet'!$E$14+1,1))-AVERAGE(OFFSET($H$3,0,0,'Données projet'!$E$14+1,1))</f>
        <v>88.170414732964616</v>
      </c>
      <c r="DU10" s="59">
        <f t="shared" si="44"/>
        <v>281.30515544919626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117.88235237641291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93.384250507183424</v>
      </c>
      <c r="H11" s="67">
        <f t="shared" si="1"/>
        <v>493.60002985401661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K11" s="12">
        <f>VLOOKUP(A11,'Données projet'!$A$35:$I$55,2,0)</f>
        <v>89</v>
      </c>
      <c r="L11" s="12">
        <f>VLOOKUP(A11,'Données projet'!$A$35:$I$55,9,0)</f>
        <v>32</v>
      </c>
      <c r="M11" s="12">
        <f t="array" ref="M11">INDEX(L:L,MIN(IF(ISNUMBER(L11:L207),ROW(L11:L207),"")))</f>
        <v>32</v>
      </c>
      <c r="N11" s="13">
        <f>IF('Données projet'!$A$36&gt;35,N10+M11-V10,IF(A11&lt;'Données projet'!$A$36,$K$205^A11,IF(A11='Données projet'!$A$36,'Données projet'!$B$36,N10+M11-V10)))</f>
        <v>89</v>
      </c>
      <c r="O11" s="13">
        <f>N11*VLOOKUP('Données projet'!$B$9,Paramètres!$A$1:$I$89,3,0)*VLOOKUP('Données projet'!$B$9,Paramètres!$A$1:$I$89,5,0)</f>
        <v>46.650240000000004</v>
      </c>
      <c r="P11" s="13">
        <f t="shared" si="33"/>
        <v>13.745209238698116</v>
      </c>
      <c r="Q11" s="20">
        <f t="shared" si="2"/>
        <v>105.18874075739923</v>
      </c>
      <c r="R11" s="59">
        <f t="shared" si="0"/>
        <v>585.27534695695317</v>
      </c>
      <c r="S11" s="59">
        <f ca="1">AVERAGE(OFFSET($R$3,0,0,'Données projet'!$E$9+1,1))-AVERAGE(OFFSET($H$3,0,0,'Données projet'!$E$9+1,1))</f>
        <v>167.42995526007479</v>
      </c>
      <c r="T11" s="59">
        <f t="shared" si="34"/>
        <v>397.36718389105215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AF11" s="12">
        <f>VLOOKUP(A11,'Données projet'!$A$61:$I$81,2,0)</f>
        <v>8</v>
      </c>
      <c r="AG11" s="12">
        <f>VLOOKUP(A11,'Données projet'!$A$61:$I$81,9,0)</f>
        <v>1</v>
      </c>
      <c r="AH11" s="12">
        <f t="array" ref="AH11">INDEX(AG:AG,MIN(IF(ISNUMBER(AG11:AG207),ROW(AG11:AG207),"")))</f>
        <v>1</v>
      </c>
      <c r="AI11" s="13">
        <f>IF('Données projet'!$A$62&gt;35,AI10+AH11-AQ10,IF(A11&lt;'Données projet'!$A$62,$AF$205^A11,IF(A11='Données projet'!$A$62,'Données projet'!$B$62,AI10+AH11-AQ10)))</f>
        <v>8</v>
      </c>
      <c r="AJ11" s="13">
        <f>AI11*VLOOKUP('Données projet'!$B$10,Paramètres!$A$1:$I$89,3,0)*VLOOKUP('Données projet'!$B$10,Paramètres!$A$1:$I$89,5,0)</f>
        <v>4.1932800000000006</v>
      </c>
      <c r="AK11" s="13">
        <f t="shared" si="35"/>
        <v>1.6354627540925306</v>
      </c>
      <c r="AL11" s="20">
        <f t="shared" si="4"/>
        <v>10.151726963377824</v>
      </c>
      <c r="AM11" s="59">
        <f t="shared" si="5"/>
        <v>490.23833316293172</v>
      </c>
      <c r="AN11" s="59">
        <f ca="1">AVERAGE(OFFSET($AM$3,0,0,'Données projet'!$E$10+1,1))-AVERAGE(OFFSET($H$3,0,0,'Données projet'!$E$10+1,1))</f>
        <v>127.55710992710948</v>
      </c>
      <c r="AO11" s="59">
        <f t="shared" si="36"/>
        <v>417.43085823929903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0.28199999999999997</v>
      </c>
      <c r="AS11" s="16">
        <f>IF(ISNA(VLOOKUP(A11,'Données projet'!$A$61:$I$81,6,0)),0%,VLOOKUP(A11,'Données projet'!$A$61:$I$81,6,0)*VLOOKUP('Données projet'!$B$10,Paramètres!$A$1:$I$89,7,0))</f>
        <v>0.126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A11" s="12">
        <f>VLOOKUP(A11,'Données projet'!$A$87:$I$107,2,0)</f>
        <v>8</v>
      </c>
      <c r="BB11" s="12">
        <f>VLOOKUP(A11,'Données projet'!$A$87:$I$107,9,0)</f>
        <v>1</v>
      </c>
      <c r="BC11" s="12">
        <f t="array" ref="BC11">INDEX(BB:BB,MIN(IF(ISNUMBER(BB11:BB207),ROW(BB11:BB207),"")))</f>
        <v>1</v>
      </c>
      <c r="BD11" s="12">
        <f>IF('Données projet'!$A$88&gt;35,BD10+BC11-BL10,IF(A11&lt;'Données projet'!$A$88,$BA$205^A11,IF(A11='Données projet'!$A$88,'Données projet'!$B$88,BD10+BC11-BL10)))</f>
        <v>8</v>
      </c>
      <c r="BE11" s="13">
        <f>BD11*VLOOKUP('Données projet'!$B$11,Paramètres!$A$1:$I$89,3,0)*VLOOKUP('Données projet'!$B$11,Paramètres!$A$1:$I$89,5,0)</f>
        <v>4.0684800000000001</v>
      </c>
      <c r="BF11" s="13">
        <f t="shared" si="37"/>
        <v>1.5923786419474943</v>
      </c>
      <c r="BG11" s="20">
        <f t="shared" si="7"/>
        <v>9.8593288013918841</v>
      </c>
      <c r="BH11" s="59">
        <f t="shared" si="8"/>
        <v>489.94593500094578</v>
      </c>
      <c r="BI11" s="59">
        <f ca="1">AVERAGE(OFFSET($BH$3,0,0,'Données projet'!$E$11+1,1))-AVERAGE(OFFSET($H$3,0,0,'Données projet'!$E$11+1,1))</f>
        <v>123.48243581061803</v>
      </c>
      <c r="BJ11" s="59">
        <f t="shared" si="38"/>
        <v>405.05940798527138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0.28199999999999997</v>
      </c>
      <c r="BN11" s="16">
        <f>IF(ISNA(VLOOKUP(A11,'Données projet'!$A$87:$I$107,6,0)),0%,VLOOKUP(A11,'Données projet'!$A$87:$I$107,6,0)*VLOOKUP('Données projet'!$B$11,Paramètres!$A$1:$I$89,7,0))</f>
        <v>0.126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V11" s="12">
        <f>VLOOKUP(A11,'Données projet'!$A$113:$I$133,2,0)</f>
        <v>91</v>
      </c>
      <c r="BW11" s="12">
        <f>VLOOKUP(A11,'Données projet'!$A$113:$I$133,9,0)</f>
        <v>36</v>
      </c>
      <c r="BX11" s="12">
        <f t="array" ref="BX11">INDEX(BW:BW,MIN(IF(ISNUMBER(BW11:BW207),ROW(BW11:BW207),"")))</f>
        <v>36</v>
      </c>
      <c r="BY11" s="12">
        <f>IF('Données projet'!$A$114&gt;35,BY10+BX11-CG10,IF(A11&lt;'Données projet'!$A$114,$BV$205^A11,IF(A11='Données projet'!$A$114,'Données projet'!$B$114,BY10+BX11-CG10)))</f>
        <v>91</v>
      </c>
      <c r="BZ11" s="13">
        <f>BY11*VLOOKUP('Données projet'!$B$12,Paramètres!$A$1:$I$89,3,0)*VLOOKUP('Données projet'!$B$12,Paramètres!$A$1:$I$89,5,0)</f>
        <v>40.032719999999998</v>
      </c>
      <c r="CA11" s="13">
        <f t="shared" si="39"/>
        <v>12.007318933552831</v>
      </c>
      <c r="CB11" s="20">
        <f t="shared" si="10"/>
        <v>90.636401142604498</v>
      </c>
      <c r="CC11" s="59">
        <f t="shared" si="11"/>
        <v>570.72300734215844</v>
      </c>
      <c r="CD11" s="59">
        <f ca="1">AVERAGE(OFFSET($CC$3,0,0,'Données projet'!$E$12+1,1))-AVERAGE(OFFSET($H$3,0,0,'Données projet'!$E$12+1,1))</f>
        <v>156.72204844493132</v>
      </c>
      <c r="CE11" s="59">
        <f t="shared" si="40"/>
        <v>377.72061016381247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0.28199999999999997</v>
      </c>
      <c r="CI11" s="16">
        <f>IF(ISNA(VLOOKUP(A11,'Données projet'!$A$113:$I$133,6,0)),0%,VLOOKUP(A11,'Données projet'!$A$113:$I$133,6,0)*VLOOKUP('Données projet'!$B$12,Paramètres!$A$1:$I$89,7,0))</f>
        <v>0.126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CQ11" s="12">
        <f>VLOOKUP(A11,'Données projet'!$A$139:$I$159,2,0)</f>
        <v>8</v>
      </c>
      <c r="CR11" s="12">
        <f>VLOOKUP(A11,'Données projet'!$A$139:$I$159,9,0)</f>
        <v>1</v>
      </c>
      <c r="CS11" s="12">
        <f t="array" ref="CS11">INDEX(CR:CR,MIN(IF(ISNUMBER(CR11:CR207),ROW(CR11:CR207),"")))</f>
        <v>1</v>
      </c>
      <c r="CT11" s="12">
        <f>IF('Données projet'!$A$140&gt;35,CT10+CS11-DB10,IF(A11&lt;'Données projet'!$A$140,$CQ$205^A11,IF(A11='Données projet'!$A$140,'Données projet'!$B$140,CT10+CS11-DB10)))</f>
        <v>8</v>
      </c>
      <c r="CU11" s="17">
        <f>CT11*VLOOKUP('Données projet'!$B$13,Paramètres!$A$1:$I$89,3,0)*VLOOKUP('Données projet'!$B$13,Paramètres!$A$1:$I$89,5,0)</f>
        <v>4.0684800000000001</v>
      </c>
      <c r="CV11" s="13">
        <f t="shared" si="41"/>
        <v>1.5923786419474943</v>
      </c>
      <c r="CW11" s="20">
        <f t="shared" si="13"/>
        <v>9.8593288013918841</v>
      </c>
      <c r="CX11" s="59">
        <f t="shared" si="14"/>
        <v>489.94593500094578</v>
      </c>
      <c r="CY11" s="59">
        <f ca="1">AVERAGE(OFFSET($CX$3,0,0,'Données projet'!$E$13+1,1))-AVERAGE(OFFSET($H$3,0,0,'Données projet'!$E$13+1,1))</f>
        <v>88.170414732964616</v>
      </c>
      <c r="CZ11" s="59">
        <f t="shared" si="42"/>
        <v>281.30515544919626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0.28199999999999997</v>
      </c>
      <c r="DD11" s="16">
        <f>IF(ISNA(VLOOKUP(A11,'Données projet'!$A$139:$I$159,6,0)),0%,VLOOKUP(A11,'Données projet'!$A$139:$I$159,6,0)*VLOOKUP('Données projet'!$B$13,Paramètres!$A$1:$I$89,7,0))</f>
        <v>0.126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DL11" s="12">
        <f>VLOOKUP(A11,'Données projet'!$A$165:$I$185,2,0)</f>
        <v>8</v>
      </c>
      <c r="DM11" s="12">
        <f>VLOOKUP(A11,'Données projet'!$A$165:$I$185,9,0)</f>
        <v>1</v>
      </c>
      <c r="DN11" s="12">
        <f t="array" ref="DN11">INDEX(DM:DM,MIN(IF(ISNUMBER(DM11:DM207),ROW(DM11:DM207),"")))</f>
        <v>1</v>
      </c>
      <c r="DO11" s="12">
        <f>IF('Données projet'!$A$166&gt;35,DO10+DN11-DW10,IF(A11&lt;'Données projet'!$A$166,$DL$205^A11,IF(A11='Données projet'!$A$166,'Données projet'!$B$166,DO10+DN11-DW10)))</f>
        <v>8</v>
      </c>
      <c r="DP11" s="17">
        <f>DO11*VLOOKUP('Données projet'!$B$14,Paramètres!$A$1:$I$89,3,0)*VLOOKUP('Données projet'!$B$14,Paramètres!$A$1:$I$89,5,0)</f>
        <v>4.0684800000000001</v>
      </c>
      <c r="DQ11" s="13">
        <f t="shared" si="43"/>
        <v>1.5923786419474943</v>
      </c>
      <c r="DR11" s="20">
        <f t="shared" si="16"/>
        <v>9.8593288013918841</v>
      </c>
      <c r="DS11" s="59">
        <f t="shared" si="17"/>
        <v>489.94593500094578</v>
      </c>
      <c r="DT11" s="59">
        <f ca="1">AVERAGE(OFFSET($DS$3,0,0,'Données projet'!$E$14+1,1))-AVERAGE(OFFSET($H$3,0,0,'Données projet'!$E$14+1,1))</f>
        <v>88.170414732964616</v>
      </c>
      <c r="DU11" s="59">
        <f t="shared" si="44"/>
        <v>281.30515544919626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0.28199999999999997</v>
      </c>
      <c r="DY11" s="16">
        <f>IF(ISNA(VLOOKUP(A11,'Données projet'!$A$165:$I$185,6,0)),0%,VLOOKUP(A11,'Données projet'!$A$165:$I$185,6,0)*VLOOKUP('Données projet'!$B$14,Paramètres!$A$1:$I$89,7,0))</f>
        <v>0.126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118.26604411502986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102.45711833769694</v>
      </c>
      <c r="H12" s="67">
        <f t="shared" si="1"/>
        <v>495.64709565827621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K12" s="12">
        <f>VLOOKUP(A12,'Données projet'!$A$35:$I$55,2,0)</f>
        <v>120</v>
      </c>
      <c r="L12" s="12">
        <f>VLOOKUP(A12,'Données projet'!$A$35:$I$55,9,0)</f>
        <v>31</v>
      </c>
      <c r="M12" s="12">
        <f t="array" ref="M12">INDEX(L:L,MIN(IF(ISNUMBER(L12:L208),ROW(L12:L208),"")))</f>
        <v>31</v>
      </c>
      <c r="N12" s="13">
        <f>IF('Données projet'!$A$36&gt;35,N11+M12-V11,IF(A12&lt;'Données projet'!$A$36,$K$205^A12,IF(A12='Données projet'!$A$36,'Données projet'!$B$36,N11+M12-V11)))</f>
        <v>120</v>
      </c>
      <c r="O12" s="13">
        <f>N12*VLOOKUP('Données projet'!$B$9,Paramètres!$A$1:$I$89,3,0)*VLOOKUP('Données projet'!$B$9,Paramètres!$A$1:$I$89,5,0)</f>
        <v>62.8992</v>
      </c>
      <c r="P12" s="13">
        <f t="shared" si="33"/>
        <v>17.899252496876414</v>
      </c>
      <c r="Q12" s="20">
        <f t="shared" si="2"/>
        <v>140.72397143205976</v>
      </c>
      <c r="R12" s="59">
        <f t="shared" si="0"/>
        <v>623.41526351794914</v>
      </c>
      <c r="S12" s="59">
        <f ca="1">AVERAGE(OFFSET($R$3,0,0,'Données projet'!$E$9+1,1))-AVERAGE(OFFSET($H$3,0,0,'Données projet'!$E$9+1,1))</f>
        <v>167.42995526007479</v>
      </c>
      <c r="T12" s="59">
        <f t="shared" si="34"/>
        <v>397.36718389105215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AF12" s="12">
        <f>VLOOKUP(A12,'Données projet'!$A$61:$I$81,2,0)</f>
        <v>34</v>
      </c>
      <c r="AG12" s="12">
        <f>VLOOKUP(A12,'Données projet'!$A$61:$I$81,9,0)</f>
        <v>26</v>
      </c>
      <c r="AH12" s="12">
        <f t="array" ref="AH12">INDEX(AG:AG,MIN(IF(ISNUMBER(AG12:AG208),ROW(AG12:AG208),"")))</f>
        <v>26</v>
      </c>
      <c r="AI12" s="13">
        <f>IF('Données projet'!$A$62&gt;35,AI11+AH12-AQ11,IF(A12&lt;'Données projet'!$A$62,$AF$205^A12,IF(A12='Données projet'!$A$62,'Données projet'!$B$62,AI11+AH12-AQ11)))</f>
        <v>34</v>
      </c>
      <c r="AJ12" s="13">
        <f>AI12*VLOOKUP('Données projet'!$B$10,Paramètres!$A$1:$I$89,3,0)*VLOOKUP('Données projet'!$B$10,Paramètres!$A$1:$I$89,5,0)</f>
        <v>17.821440000000003</v>
      </c>
      <c r="AK12" s="13">
        <f t="shared" si="35"/>
        <v>5.873339651941567</v>
      </c>
      <c r="AL12" s="20">
        <f t="shared" si="4"/>
        <v>41.268407893798233</v>
      </c>
      <c r="AM12" s="59">
        <f t="shared" si="5"/>
        <v>523.95969997968768</v>
      </c>
      <c r="AN12" s="59">
        <f ca="1">AVERAGE(OFFSET($AM$3,0,0,'Données projet'!$E$10+1,1))-AVERAGE(OFFSET($H$3,0,0,'Données projet'!$E$10+1,1))</f>
        <v>127.55710992710948</v>
      </c>
      <c r="AO12" s="59">
        <f t="shared" si="36"/>
        <v>417.43085823929903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0.28199999999999997</v>
      </c>
      <c r="AS12" s="16">
        <f>IF(ISNA(VLOOKUP(A12,'Données projet'!$A$61:$I$81,6,0)),0%,VLOOKUP(A12,'Données projet'!$A$61:$I$81,6,0)*VLOOKUP('Données projet'!$B$10,Paramètres!$A$1:$I$89,7,0))</f>
        <v>0.126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A12" s="12">
        <f>VLOOKUP(A12,'Données projet'!$A$87:$I$107,2,0)</f>
        <v>34</v>
      </c>
      <c r="BB12" s="12">
        <f>VLOOKUP(A12,'Données projet'!$A$87:$I$107,9,0)</f>
        <v>26</v>
      </c>
      <c r="BC12" s="12">
        <f t="array" ref="BC12">INDEX(BB:BB,MIN(IF(ISNUMBER(BB12:BB208),ROW(BB12:BB208),"")))</f>
        <v>26</v>
      </c>
      <c r="BD12" s="12">
        <f>IF('Données projet'!$A$88&gt;35,BD11+BC12-BL11,IF(A12&lt;'Données projet'!$A$88,$BA$205^A12,IF(A12='Données projet'!$A$88,'Données projet'!$B$88,BD11+BC12-BL11)))</f>
        <v>34</v>
      </c>
      <c r="BE12" s="13">
        <f>BD12*VLOOKUP('Données projet'!$B$11,Paramètres!$A$1:$I$89,3,0)*VLOOKUP('Données projet'!$B$11,Paramètres!$A$1:$I$89,5,0)</f>
        <v>17.291039999999999</v>
      </c>
      <c r="BF12" s="13">
        <f t="shared" si="37"/>
        <v>5.7186142547431791</v>
      </c>
      <c r="BG12" s="20">
        <f t="shared" si="7"/>
        <v>40.075147827011037</v>
      </c>
      <c r="BH12" s="59">
        <f t="shared" si="8"/>
        <v>522.76643991290041</v>
      </c>
      <c r="BI12" s="59">
        <f ca="1">AVERAGE(OFFSET($BH$3,0,0,'Données projet'!$E$11+1,1))-AVERAGE(OFFSET($H$3,0,0,'Données projet'!$E$11+1,1))</f>
        <v>123.48243581061803</v>
      </c>
      <c r="BJ12" s="59">
        <f t="shared" si="38"/>
        <v>405.05940798527138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0.28199999999999997</v>
      </c>
      <c r="BN12" s="16">
        <f>IF(ISNA(VLOOKUP(A12,'Données projet'!$A$87:$I$107,6,0)),0%,VLOOKUP(A12,'Données projet'!$A$87:$I$107,6,0)*VLOOKUP('Données projet'!$B$11,Paramètres!$A$1:$I$89,7,0))</f>
        <v>0.126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V12" s="12">
        <f>VLOOKUP(A12,'Données projet'!$A$113:$I$133,2,0)</f>
        <v>128</v>
      </c>
      <c r="BW12" s="12">
        <f>VLOOKUP(A12,'Données projet'!$A$113:$I$133,9,0)</f>
        <v>37</v>
      </c>
      <c r="BX12" s="12">
        <f t="array" ref="BX12">INDEX(BW:BW,MIN(IF(ISNUMBER(BW12:BW208),ROW(BW12:BW208),"")))</f>
        <v>37</v>
      </c>
      <c r="BY12" s="12">
        <f>IF('Données projet'!$A$114&gt;35,BY11+BX12-CG11,IF(A12&lt;'Données projet'!$A$114,$BV$205^A12,IF(A12='Données projet'!$A$114,'Données projet'!$B$114,BY11+BX12-CG11)))</f>
        <v>128</v>
      </c>
      <c r="BZ12" s="13">
        <f>BY12*VLOOKUP('Données projet'!$B$12,Paramètres!$A$1:$I$89,3,0)*VLOOKUP('Données projet'!$B$12,Paramètres!$A$1:$I$89,5,0)</f>
        <v>56.309759999999997</v>
      </c>
      <c r="CA12" s="13">
        <f t="shared" si="39"/>
        <v>16.231841799069148</v>
      </c>
      <c r="CB12" s="20">
        <f t="shared" si="10"/>
        <v>126.3432898000454</v>
      </c>
      <c r="CC12" s="59">
        <f t="shared" si="11"/>
        <v>609.03458188593481</v>
      </c>
      <c r="CD12" s="59">
        <f ca="1">AVERAGE(OFFSET($CC$3,0,0,'Données projet'!$E$12+1,1))-AVERAGE(OFFSET($H$3,0,0,'Données projet'!$E$12+1,1))</f>
        <v>156.72204844493132</v>
      </c>
      <c r="CE12" s="59">
        <f t="shared" si="40"/>
        <v>377.72061016381247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0.28199999999999997</v>
      </c>
      <c r="CI12" s="16">
        <f>IF(ISNA(VLOOKUP(A12,'Données projet'!$A$113:$I$133,6,0)),0%,VLOOKUP(A12,'Données projet'!$A$113:$I$133,6,0)*VLOOKUP('Données projet'!$B$12,Paramètres!$A$1:$I$89,7,0))</f>
        <v>0.126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CQ12" s="12">
        <f>VLOOKUP(A12,'Données projet'!$A$139:$I$159,2,0)</f>
        <v>29</v>
      </c>
      <c r="CR12" s="12">
        <f>VLOOKUP(A12,'Données projet'!$A$139:$I$159,9,0)</f>
        <v>21</v>
      </c>
      <c r="CS12" s="12">
        <f t="array" ref="CS12">INDEX(CR:CR,MIN(IF(ISNUMBER(CR12:CR208),ROW(CR12:CR208),"")))</f>
        <v>21</v>
      </c>
      <c r="CT12" s="12">
        <f>IF('Données projet'!$A$140&gt;35,CT11+CS12-DB11,IF(A12&lt;'Données projet'!$A$140,$CQ$205^A12,IF(A12='Données projet'!$A$140,'Données projet'!$B$140,CT11+CS12-DB11)))</f>
        <v>29</v>
      </c>
      <c r="CU12" s="17">
        <f>CT12*VLOOKUP('Données projet'!$B$13,Paramètres!$A$1:$I$89,3,0)*VLOOKUP('Données projet'!$B$13,Paramètres!$A$1:$I$89,5,0)</f>
        <v>14.748240000000001</v>
      </c>
      <c r="CV12" s="13">
        <f t="shared" si="41"/>
        <v>4.9687929763413896</v>
      </c>
      <c r="CW12" s="20">
        <f t="shared" si="13"/>
        <v>34.340499100461251</v>
      </c>
      <c r="CX12" s="59">
        <f t="shared" si="14"/>
        <v>517.03179118635069</v>
      </c>
      <c r="CY12" s="59">
        <f ca="1">AVERAGE(OFFSET($CX$3,0,0,'Données projet'!$E$13+1,1))-AVERAGE(OFFSET($H$3,0,0,'Données projet'!$E$13+1,1))</f>
        <v>88.170414732964616</v>
      </c>
      <c r="CZ12" s="59">
        <f t="shared" si="42"/>
        <v>281.30515544919626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0.28199999999999997</v>
      </c>
      <c r="DD12" s="16">
        <f>IF(ISNA(VLOOKUP(A12,'Données projet'!$A$139:$I$159,6,0)),0%,VLOOKUP(A12,'Données projet'!$A$139:$I$159,6,0)*VLOOKUP('Données projet'!$B$13,Paramètres!$A$1:$I$89,7,0))</f>
        <v>0.126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DL12" s="12">
        <f>VLOOKUP(A12,'Données projet'!$A$165:$I$185,2,0)</f>
        <v>29</v>
      </c>
      <c r="DM12" s="12">
        <f>VLOOKUP(A12,'Données projet'!$A$165:$I$185,9,0)</f>
        <v>21</v>
      </c>
      <c r="DN12" s="12">
        <f t="array" ref="DN12">INDEX(DM:DM,MIN(IF(ISNUMBER(DM12:DM208),ROW(DM12:DM208),"")))</f>
        <v>21</v>
      </c>
      <c r="DO12" s="12">
        <f>IF('Données projet'!$A$166&gt;35,DO11+DN12-DW11,IF(A12&lt;'Données projet'!$A$166,$DL$205^A12,IF(A12='Données projet'!$A$166,'Données projet'!$B$166,DO11+DN12-DW11)))</f>
        <v>29</v>
      </c>
      <c r="DP12" s="17">
        <f>DO12*VLOOKUP('Données projet'!$B$14,Paramètres!$A$1:$I$89,3,0)*VLOOKUP('Données projet'!$B$14,Paramètres!$A$1:$I$89,5,0)</f>
        <v>14.748240000000001</v>
      </c>
      <c r="DQ12" s="13">
        <f t="shared" si="43"/>
        <v>4.9687929763413896</v>
      </c>
      <c r="DR12" s="20">
        <f t="shared" si="16"/>
        <v>34.340499100461251</v>
      </c>
      <c r="DS12" s="59">
        <f t="shared" si="17"/>
        <v>517.03179118635069</v>
      </c>
      <c r="DT12" s="59">
        <f ca="1">AVERAGE(OFFSET($DS$3,0,0,'Données projet'!$E$14+1,1))-AVERAGE(OFFSET($H$3,0,0,'Données projet'!$E$14+1,1))</f>
        <v>88.170414732964616</v>
      </c>
      <c r="DU12" s="59">
        <f t="shared" si="44"/>
        <v>281.30515544919626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0.28199999999999997</v>
      </c>
      <c r="DY12" s="16">
        <f>IF(ISNA(VLOOKUP(A12,'Données projet'!$A$165:$I$185,6,0)),0%,VLOOKUP(A12,'Données projet'!$A$165:$I$185,6,0)*VLOOKUP('Données projet'!$B$14,Paramètres!$A$1:$I$89,7,0))</f>
        <v>0.126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118.64307965978801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111.50154036779435</v>
      </c>
      <c r="H13" s="67">
        <f t="shared" si="1"/>
        <v>497.68774337881695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K13" s="12">
        <f>VLOOKUP(A13,'Données projet'!$A$35:$I$55,2,0)</f>
        <v>151</v>
      </c>
      <c r="L13" s="12">
        <f>VLOOKUP(A13,'Données projet'!$A$35:$I$55,9,0)</f>
        <v>31</v>
      </c>
      <c r="M13" s="12">
        <f t="array" ref="M13">INDEX(L:L,MIN(IF(ISNUMBER(L13:L209),ROW(L13:L209),"")))</f>
        <v>31</v>
      </c>
      <c r="N13" s="13">
        <f>IF('Données projet'!$A$36&gt;35,N12+M13-V12,IF(A13&lt;'Données projet'!$A$36,$K$205^A13,IF(A13='Données projet'!$A$36,'Données projet'!$B$36,N12+M13-V12)))</f>
        <v>151</v>
      </c>
      <c r="O13" s="13">
        <f>N13*VLOOKUP('Données projet'!$B$9,Paramètres!$A$1:$I$89,3,0)*VLOOKUP('Données projet'!$B$9,Paramètres!$A$1:$I$89,5,0)</f>
        <v>79.148160000000004</v>
      </c>
      <c r="P13" s="13">
        <f t="shared" si="33"/>
        <v>21.928775232328377</v>
      </c>
      <c r="Q13" s="20">
        <f t="shared" si="2"/>
        <v>176.04232886297191</v>
      </c>
      <c r="R13" s="59">
        <f t="shared" si="0"/>
        <v>661.31432418135012</v>
      </c>
      <c r="S13" s="59">
        <f ca="1">AVERAGE(OFFSET($R$3,0,0,'Données projet'!$E$9+1,1))-AVERAGE(OFFSET($H$3,0,0,'Données projet'!$E$9+1,1))</f>
        <v>167.42995526007479</v>
      </c>
      <c r="T13" s="59">
        <f t="shared" si="34"/>
        <v>397.36718389105215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AF13" s="12">
        <f>VLOOKUP(A13,'Données projet'!$A$61:$I$81,2,0)</f>
        <v>63</v>
      </c>
      <c r="AG13" s="12">
        <f>VLOOKUP(A13,'Données projet'!$A$61:$I$81,9,0)</f>
        <v>29</v>
      </c>
      <c r="AH13" s="12">
        <f t="array" ref="AH13">INDEX(AG:AG,MIN(IF(ISNUMBER(AG13:AG209),ROW(AG13:AG209),"")))</f>
        <v>29</v>
      </c>
      <c r="AI13" s="13">
        <f>IF('Données projet'!$A$62&gt;35,AI12+AH13-AQ12,IF(A13&lt;'Données projet'!$A$62,$AF$205^A13,IF(A13='Données projet'!$A$62,'Données projet'!$B$62,AI12+AH13-AQ12)))</f>
        <v>63</v>
      </c>
      <c r="AJ13" s="13">
        <f>AI13*VLOOKUP('Données projet'!$B$10,Paramètres!$A$1:$I$89,3,0)*VLOOKUP('Données projet'!$B$10,Paramètres!$A$1:$I$89,5,0)</f>
        <v>33.022080000000003</v>
      </c>
      <c r="AK13" s="13">
        <f t="shared" si="35"/>
        <v>10.129025278332465</v>
      </c>
      <c r="AL13" s="20">
        <f t="shared" si="4"/>
        <v>75.154841693095705</v>
      </c>
      <c r="AM13" s="59">
        <f t="shared" si="5"/>
        <v>560.42683701147394</v>
      </c>
      <c r="AN13" s="59">
        <f ca="1">AVERAGE(OFFSET($AM$3,0,0,'Données projet'!$E$10+1,1))-AVERAGE(OFFSET($H$3,0,0,'Données projet'!$E$10+1,1))</f>
        <v>127.55710992710948</v>
      </c>
      <c r="AO13" s="59">
        <f t="shared" si="36"/>
        <v>417.43085823929903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0.28199999999999997</v>
      </c>
      <c r="AS13" s="16">
        <f>IF(ISNA(VLOOKUP(A13,'Données projet'!$A$61:$I$81,6,0)),0%,VLOOKUP(A13,'Données projet'!$A$61:$I$81,6,0)*VLOOKUP('Données projet'!$B$10,Paramètres!$A$1:$I$89,7,0))</f>
        <v>0.126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A13" s="12">
        <f>VLOOKUP(A13,'Données projet'!$A$87:$I$107,2,0)</f>
        <v>63</v>
      </c>
      <c r="BB13" s="12">
        <f>VLOOKUP(A13,'Données projet'!$A$87:$I$107,9,0)</f>
        <v>29</v>
      </c>
      <c r="BC13" s="12">
        <f t="array" ref="BC13">INDEX(BB:BB,MIN(IF(ISNUMBER(BB13:BB209),ROW(BB13:BB209),"")))</f>
        <v>29</v>
      </c>
      <c r="BD13" s="12">
        <f>IF('Données projet'!$A$88&gt;35,BD12+BC13-BL12,IF(A13&lt;'Données projet'!$A$88,$BA$205^A13,IF(A13='Données projet'!$A$88,'Données projet'!$B$88,BD12+BC13-BL12)))</f>
        <v>63</v>
      </c>
      <c r="BE13" s="13">
        <f>BD13*VLOOKUP('Données projet'!$B$11,Paramètres!$A$1:$I$89,3,0)*VLOOKUP('Données projet'!$B$11,Paramètres!$A$1:$I$89,5,0)</f>
        <v>32.039279999999998</v>
      </c>
      <c r="BF13" s="13">
        <f t="shared" si="37"/>
        <v>9.8621894485836314</v>
      </c>
      <c r="BG13" s="20">
        <f t="shared" si="7"/>
        <v>72.978392622949812</v>
      </c>
      <c r="BH13" s="59">
        <f t="shared" si="8"/>
        <v>558.25038794132809</v>
      </c>
      <c r="BI13" s="59">
        <f ca="1">AVERAGE(OFFSET($BH$3,0,0,'Données projet'!$E$11+1,1))-AVERAGE(OFFSET($H$3,0,0,'Données projet'!$E$11+1,1))</f>
        <v>123.48243581061803</v>
      </c>
      <c r="BJ13" s="59">
        <f t="shared" si="38"/>
        <v>405.05940798527138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0.28199999999999997</v>
      </c>
      <c r="BN13" s="16">
        <f>IF(ISNA(VLOOKUP(A13,'Données projet'!$A$87:$I$107,6,0)),0%,VLOOKUP(A13,'Données projet'!$A$87:$I$107,6,0)*VLOOKUP('Données projet'!$B$11,Paramètres!$A$1:$I$89,7,0))</f>
        <v>0.126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V13" s="12">
        <f>VLOOKUP(A13,'Données projet'!$A$113:$I$133,2,0)</f>
        <v>167</v>
      </c>
      <c r="BW13" s="12">
        <f>VLOOKUP(A13,'Données projet'!$A$113:$I$133,9,0)</f>
        <v>39</v>
      </c>
      <c r="BX13" s="12">
        <f t="array" ref="BX13">INDEX(BW:BW,MIN(IF(ISNUMBER(BW13:BW209),ROW(BW13:BW209),"")))</f>
        <v>39</v>
      </c>
      <c r="BY13" s="12">
        <f>IF('Données projet'!$A$114&gt;35,BY12+BX13-CG12,IF(A13&lt;'Données projet'!$A$114,$BV$205^A13,IF(A13='Données projet'!$A$114,'Données projet'!$B$114,BY12+BX13-CG12)))</f>
        <v>167</v>
      </c>
      <c r="BZ13" s="13">
        <f>BY13*VLOOKUP('Données projet'!$B$12,Paramètres!$A$1:$I$89,3,0)*VLOOKUP('Données projet'!$B$12,Paramètres!$A$1:$I$89,5,0)</f>
        <v>73.466639999999998</v>
      </c>
      <c r="CA13" s="13">
        <f t="shared" si="39"/>
        <v>20.531909720836421</v>
      </c>
      <c r="CB13" s="20">
        <f t="shared" si="10"/>
        <v>163.71414076379008</v>
      </c>
      <c r="CC13" s="59">
        <f t="shared" si="11"/>
        <v>648.98613608216829</v>
      </c>
      <c r="CD13" s="59">
        <f ca="1">AVERAGE(OFFSET($CC$3,0,0,'Données projet'!$E$12+1,1))-AVERAGE(OFFSET($H$3,0,0,'Données projet'!$E$12+1,1))</f>
        <v>156.72204844493132</v>
      </c>
      <c r="CE13" s="59">
        <f t="shared" si="40"/>
        <v>377.72061016381247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0.28199999999999997</v>
      </c>
      <c r="CI13" s="16">
        <f>IF(ISNA(VLOOKUP(A13,'Données projet'!$A$113:$I$133,6,0)),0%,VLOOKUP(A13,'Données projet'!$A$113:$I$133,6,0)*VLOOKUP('Données projet'!$B$12,Paramètres!$A$1:$I$89,7,0))</f>
        <v>0.126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CQ13" s="12">
        <f>VLOOKUP(A13,'Données projet'!$A$139:$I$159,2,0)</f>
        <v>52</v>
      </c>
      <c r="CR13" s="12">
        <f>VLOOKUP(A13,'Données projet'!$A$139:$I$159,9,0)</f>
        <v>23</v>
      </c>
      <c r="CS13" s="12">
        <f t="array" ref="CS13">INDEX(CR:CR,MIN(IF(ISNUMBER(CR13:CR209),ROW(CR13:CR209),"")))</f>
        <v>23</v>
      </c>
      <c r="CT13" s="12">
        <f>IF('Données projet'!$A$140&gt;35,CT12+CS13-DB12,IF(A13&lt;'Données projet'!$A$140,$CQ$205^A13,IF(A13='Données projet'!$A$140,'Données projet'!$B$140,CT12+CS13-DB12)))</f>
        <v>52</v>
      </c>
      <c r="CU13" s="17">
        <f>CT13*VLOOKUP('Données projet'!$B$13,Paramètres!$A$1:$I$89,3,0)*VLOOKUP('Données projet'!$B$13,Paramètres!$A$1:$I$89,5,0)</f>
        <v>26.445120000000003</v>
      </c>
      <c r="CV13" s="13">
        <f t="shared" si="41"/>
        <v>8.3240865246071554</v>
      </c>
      <c r="CW13" s="20">
        <f t="shared" si="13"/>
        <v>60.556368030357454</v>
      </c>
      <c r="CX13" s="59">
        <f t="shared" si="14"/>
        <v>545.82836334873571</v>
      </c>
      <c r="CY13" s="59">
        <f ca="1">AVERAGE(OFFSET($CX$3,0,0,'Données projet'!$E$13+1,1))-AVERAGE(OFFSET($H$3,0,0,'Données projet'!$E$13+1,1))</f>
        <v>88.170414732964616</v>
      </c>
      <c r="CZ13" s="59">
        <f t="shared" si="42"/>
        <v>281.30515544919626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0.28199999999999997</v>
      </c>
      <c r="DD13" s="16">
        <f>IF(ISNA(VLOOKUP(A13,'Données projet'!$A$139:$I$159,6,0)),0%,VLOOKUP(A13,'Données projet'!$A$139:$I$159,6,0)*VLOOKUP('Données projet'!$B$13,Paramètres!$A$1:$I$89,7,0))</f>
        <v>0.126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DL13" s="12">
        <f>VLOOKUP(A13,'Données projet'!$A$165:$I$185,2,0)</f>
        <v>52</v>
      </c>
      <c r="DM13" s="12">
        <f>VLOOKUP(A13,'Données projet'!$A$165:$I$185,9,0)</f>
        <v>23</v>
      </c>
      <c r="DN13" s="12">
        <f t="array" ref="DN13">INDEX(DM:DM,MIN(IF(ISNUMBER(DM13:DM209),ROW(DM13:DM209),"")))</f>
        <v>23</v>
      </c>
      <c r="DO13" s="12">
        <f>IF('Données projet'!$A$166&gt;35,DO12+DN13-DW12,IF(A13&lt;'Données projet'!$A$166,$DL$205^A13,IF(A13='Données projet'!$A$166,'Données projet'!$B$166,DO12+DN13-DW12)))</f>
        <v>52</v>
      </c>
      <c r="DP13" s="17">
        <f>DO13*VLOOKUP('Données projet'!$B$14,Paramètres!$A$1:$I$89,3,0)*VLOOKUP('Données projet'!$B$14,Paramètres!$A$1:$I$89,5,0)</f>
        <v>26.445120000000003</v>
      </c>
      <c r="DQ13" s="13">
        <f t="shared" si="43"/>
        <v>8.3240865246071554</v>
      </c>
      <c r="DR13" s="20">
        <f t="shared" si="16"/>
        <v>60.556368030357454</v>
      </c>
      <c r="DS13" s="59">
        <f t="shared" si="17"/>
        <v>545.82836334873571</v>
      </c>
      <c r="DT13" s="59">
        <f ca="1">AVERAGE(OFFSET($DS$3,0,0,'Données projet'!$E$14+1,1))-AVERAGE(OFFSET($H$3,0,0,'Données projet'!$E$14+1,1))</f>
        <v>88.170414732964616</v>
      </c>
      <c r="DU13" s="59">
        <f t="shared" si="44"/>
        <v>281.30515544919626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0.28199999999999997</v>
      </c>
      <c r="DY13" s="16">
        <f>IF(ISNA(VLOOKUP(A13,'Données projet'!$A$165:$I$185,6,0)),0%,VLOOKUP(A13,'Données projet'!$A$165:$I$185,6,0)*VLOOKUP('Données projet'!$B$14,Paramètres!$A$1:$I$89,7,0))</f>
        <v>0.126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119.01357448076982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120.5206849963599</v>
      </c>
      <c r="H14" s="67">
        <f t="shared" si="1"/>
        <v>499.72268788563707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K14" s="12">
        <f>VLOOKUP(A14,'Données projet'!$A$35:$I$55,2,0)</f>
        <v>183</v>
      </c>
      <c r="L14" s="12">
        <f>VLOOKUP(A14,'Données projet'!$A$35:$I$55,9,0)</f>
        <v>32</v>
      </c>
      <c r="M14" s="12">
        <f t="array" ref="M14">INDEX(L:L,MIN(IF(ISNUMBER(L14:L210),ROW(L14:L210),"")))</f>
        <v>32</v>
      </c>
      <c r="N14" s="13">
        <f>IF('Données projet'!$A$36&gt;35,N13+M14-V13,IF(A14&lt;'Données projet'!$A$36,$K$205^A14,IF(A14='Données projet'!$A$36,'Données projet'!$B$36,N13+M14-V13)))</f>
        <v>183</v>
      </c>
      <c r="O14" s="13">
        <f>N14*VLOOKUP('Données projet'!$B$9,Paramètres!$A$1:$I$89,3,0)*VLOOKUP('Données projet'!$B$9,Paramètres!$A$1:$I$89,5,0)</f>
        <v>95.92128000000001</v>
      </c>
      <c r="P14" s="13">
        <f t="shared" si="33"/>
        <v>25.98795633328076</v>
      </c>
      <c r="Q14" s="20">
        <f t="shared" si="2"/>
        <v>212.32525328046401</v>
      </c>
      <c r="R14" s="59">
        <f t="shared" si="0"/>
        <v>700.15438522291151</v>
      </c>
      <c r="S14" s="59">
        <f ca="1">AVERAGE(OFFSET($R$3,0,0,'Données projet'!$E$9+1,1))-AVERAGE(OFFSET($H$3,0,0,'Données projet'!$E$9+1,1))</f>
        <v>167.42995526007479</v>
      </c>
      <c r="T14" s="59">
        <f t="shared" si="34"/>
        <v>397.36718389105215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AF14" s="12">
        <f>VLOOKUP(A14,'Données projet'!$A$61:$I$81,2,0)</f>
        <v>94</v>
      </c>
      <c r="AG14" s="12">
        <f>VLOOKUP(A14,'Données projet'!$A$61:$I$81,9,0)</f>
        <v>31</v>
      </c>
      <c r="AH14" s="12">
        <f t="array" ref="AH14">INDEX(AG:AG,MIN(IF(ISNUMBER(AG14:AG210),ROW(AG14:AG210),"")))</f>
        <v>31</v>
      </c>
      <c r="AI14" s="13">
        <f>IF('Données projet'!$A$62&gt;35,AI13+AH14-AQ13,IF(A14&lt;'Données projet'!$A$62,$AF$205^A14,IF(A14='Données projet'!$A$62,'Données projet'!$B$62,AI13+AH14-AQ13)))</f>
        <v>94</v>
      </c>
      <c r="AJ14" s="13">
        <f>AI14*VLOOKUP('Données projet'!$B$10,Paramètres!$A$1:$I$89,3,0)*VLOOKUP('Données projet'!$B$10,Paramètres!$A$1:$I$89,5,0)</f>
        <v>49.271040000000006</v>
      </c>
      <c r="AK14" s="13">
        <f t="shared" si="35"/>
        <v>14.425341953309859</v>
      </c>
      <c r="AL14" s="20">
        <f t="shared" si="4"/>
        <v>110.93786523534801</v>
      </c>
      <c r="AM14" s="59">
        <f t="shared" si="5"/>
        <v>598.76699717779547</v>
      </c>
      <c r="AN14" s="59">
        <f ca="1">AVERAGE(OFFSET($AM$3,0,0,'Données projet'!$E$10+1,1))-AVERAGE(OFFSET($H$3,0,0,'Données projet'!$E$10+1,1))</f>
        <v>127.55710992710948</v>
      </c>
      <c r="AO14" s="59">
        <f t="shared" si="36"/>
        <v>417.43085823929903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0.28199999999999997</v>
      </c>
      <c r="AS14" s="16">
        <f>IF(ISNA(VLOOKUP(A14,'Données projet'!$A$61:$I$81,6,0)),0%,VLOOKUP(A14,'Données projet'!$A$61:$I$81,6,0)*VLOOKUP('Données projet'!$B$10,Paramètres!$A$1:$I$89,7,0))</f>
        <v>0.126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A14" s="12">
        <f>VLOOKUP(A14,'Données projet'!$A$87:$I$107,2,0)</f>
        <v>94</v>
      </c>
      <c r="BB14" s="12">
        <f>VLOOKUP(A14,'Données projet'!$A$87:$I$107,9,0)</f>
        <v>31</v>
      </c>
      <c r="BC14" s="12">
        <f t="array" ref="BC14">INDEX(BB:BB,MIN(IF(ISNUMBER(BB14:BB210),ROW(BB14:BB210),"")))</f>
        <v>31</v>
      </c>
      <c r="BD14" s="12">
        <f>IF('Données projet'!$A$88&gt;35,BD13+BC14-BL13,IF(A14&lt;'Données projet'!$A$88,$BA$205^A14,IF(A14='Données projet'!$A$88,'Données projet'!$B$88,BD13+BC14-BL13)))</f>
        <v>94</v>
      </c>
      <c r="BE14" s="13">
        <f>BD14*VLOOKUP('Données projet'!$B$11,Paramètres!$A$1:$I$89,3,0)*VLOOKUP('Données projet'!$B$11,Paramètres!$A$1:$I$89,5,0)</f>
        <v>47.804640000000006</v>
      </c>
      <c r="BF14" s="13">
        <f t="shared" si="37"/>
        <v>14.045325319551822</v>
      </c>
      <c r="BG14" s="20">
        <f t="shared" si="7"/>
        <v>107.72202293155276</v>
      </c>
      <c r="BH14" s="59">
        <f t="shared" si="8"/>
        <v>595.55115487400019</v>
      </c>
      <c r="BI14" s="59">
        <f ca="1">AVERAGE(OFFSET($BH$3,0,0,'Données projet'!$E$11+1,1))-AVERAGE(OFFSET($H$3,0,0,'Données projet'!$E$11+1,1))</f>
        <v>123.48243581061803</v>
      </c>
      <c r="BJ14" s="59">
        <f t="shared" si="38"/>
        <v>405.05940798527138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0.28199999999999997</v>
      </c>
      <c r="BN14" s="16">
        <f>IF(ISNA(VLOOKUP(A14,'Données projet'!$A$87:$I$107,6,0)),0%,VLOOKUP(A14,'Données projet'!$A$87:$I$107,6,0)*VLOOKUP('Données projet'!$B$11,Paramètres!$A$1:$I$89,7,0))</f>
        <v>0.126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V14" s="12">
        <f>VLOOKUP(A14,'Données projet'!$A$113:$I$133,2,0)</f>
        <v>201</v>
      </c>
      <c r="BW14" s="12">
        <f>VLOOKUP(A14,'Données projet'!$A$113:$I$133,9,0)</f>
        <v>34</v>
      </c>
      <c r="BX14" s="12">
        <f t="array" ref="BX14">INDEX(BW:BW,MIN(IF(ISNUMBER(BW14:BW210),ROW(BW14:BW210),"")))</f>
        <v>34</v>
      </c>
      <c r="BY14" s="12">
        <f>IF('Données projet'!$A$114&gt;35,BY13+BX14-CG13,IF(A14&lt;'Données projet'!$A$114,$BV$205^A14,IF(A14='Données projet'!$A$114,'Données projet'!$B$114,BY13+BX14-CG13)))</f>
        <v>201</v>
      </c>
      <c r="BZ14" s="13">
        <f>BY14*VLOOKUP('Données projet'!$B$12,Paramètres!$A$1:$I$89,3,0)*VLOOKUP('Données projet'!$B$12,Paramètres!$A$1:$I$89,5,0)</f>
        <v>88.423919999999995</v>
      </c>
      <c r="CA14" s="13">
        <f t="shared" si="39"/>
        <v>24.184722491413467</v>
      </c>
      <c r="CB14" s="20">
        <f t="shared" si="10"/>
        <v>196.12671900587847</v>
      </c>
      <c r="CC14" s="59">
        <f t="shared" si="11"/>
        <v>683.95585094832597</v>
      </c>
      <c r="CD14" s="59">
        <f ca="1">AVERAGE(OFFSET($CC$3,0,0,'Données projet'!$E$12+1,1))-AVERAGE(OFFSET($H$3,0,0,'Données projet'!$E$12+1,1))</f>
        <v>156.72204844493132</v>
      </c>
      <c r="CE14" s="59">
        <f t="shared" si="40"/>
        <v>377.72061016381247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0.28199999999999997</v>
      </c>
      <c r="CI14" s="16">
        <f>IF(ISNA(VLOOKUP(A14,'Données projet'!$A$113:$I$133,6,0)),0%,VLOOKUP(A14,'Données projet'!$A$113:$I$133,6,0)*VLOOKUP('Données projet'!$B$12,Paramètres!$A$1:$I$89,7,0))</f>
        <v>0.126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CQ14" s="12">
        <f>VLOOKUP(A14,'Données projet'!$A$139:$I$159,2,0)</f>
        <v>76</v>
      </c>
      <c r="CR14" s="12">
        <f>VLOOKUP(A14,'Données projet'!$A$139:$I$159,9,0)</f>
        <v>24</v>
      </c>
      <c r="CS14" s="12">
        <f t="array" ref="CS14">INDEX(CR:CR,MIN(IF(ISNUMBER(CR14:CR210),ROW(CR14:CR210),"")))</f>
        <v>24</v>
      </c>
      <c r="CT14" s="12">
        <f>IF('Données projet'!$A$140&gt;35,CT13+CS14-DB13,IF(A14&lt;'Données projet'!$A$140,$CQ$205^A14,IF(A14='Données projet'!$A$140,'Données projet'!$B$140,CT13+CS14-DB13)))</f>
        <v>76</v>
      </c>
      <c r="CU14" s="17">
        <f>CT14*VLOOKUP('Données projet'!$B$13,Paramètres!$A$1:$I$89,3,0)*VLOOKUP('Données projet'!$B$13,Paramètres!$A$1:$I$89,5,0)</f>
        <v>38.650559999999999</v>
      </c>
      <c r="CV14" s="13">
        <f t="shared" si="41"/>
        <v>11.640266448554883</v>
      </c>
      <c r="CW14" s="20">
        <f t="shared" si="13"/>
        <v>87.589856064566405</v>
      </c>
      <c r="CX14" s="59">
        <f t="shared" si="14"/>
        <v>575.41898800701392</v>
      </c>
      <c r="CY14" s="59">
        <f ca="1">AVERAGE(OFFSET($CX$3,0,0,'Données projet'!$E$13+1,1))-AVERAGE(OFFSET($H$3,0,0,'Données projet'!$E$13+1,1))</f>
        <v>88.170414732964616</v>
      </c>
      <c r="CZ14" s="59">
        <f t="shared" si="42"/>
        <v>281.30515544919626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0.28199999999999997</v>
      </c>
      <c r="DD14" s="16">
        <f>IF(ISNA(VLOOKUP(A14,'Données projet'!$A$139:$I$159,6,0)),0%,VLOOKUP(A14,'Données projet'!$A$139:$I$159,6,0)*VLOOKUP('Données projet'!$B$13,Paramètres!$A$1:$I$89,7,0))</f>
        <v>0.126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DL14" s="12">
        <f>VLOOKUP(A14,'Données projet'!$A$165:$I$185,2,0)</f>
        <v>76</v>
      </c>
      <c r="DM14" s="12">
        <f>VLOOKUP(A14,'Données projet'!$A$165:$I$185,9,0)</f>
        <v>24</v>
      </c>
      <c r="DN14" s="12">
        <f t="array" ref="DN14">INDEX(DM:DM,MIN(IF(ISNUMBER(DM14:DM210),ROW(DM14:DM210),"")))</f>
        <v>24</v>
      </c>
      <c r="DO14" s="12">
        <f>IF('Données projet'!$A$166&gt;35,DO13+DN14-DW13,IF(A14&lt;'Données projet'!$A$166,$DL$205^A14,IF(A14='Données projet'!$A$166,'Données projet'!$B$166,DO13+DN14-DW13)))</f>
        <v>76</v>
      </c>
      <c r="DP14" s="17">
        <f>DO14*VLOOKUP('Données projet'!$B$14,Paramètres!$A$1:$I$89,3,0)*VLOOKUP('Données projet'!$B$14,Paramètres!$A$1:$I$89,5,0)</f>
        <v>38.650559999999999</v>
      </c>
      <c r="DQ14" s="13">
        <f t="shared" si="43"/>
        <v>11.640266448554883</v>
      </c>
      <c r="DR14" s="20">
        <f t="shared" si="16"/>
        <v>87.589856064566405</v>
      </c>
      <c r="DS14" s="59">
        <f t="shared" si="17"/>
        <v>575.41898800701392</v>
      </c>
      <c r="DT14" s="59">
        <f ca="1">AVERAGE(OFFSET($DS$3,0,0,'Données projet'!$E$14+1,1))-AVERAGE(OFFSET($H$3,0,0,'Données projet'!$E$14+1,1))</f>
        <v>88.170414732964616</v>
      </c>
      <c r="DU14" s="59">
        <f t="shared" si="44"/>
        <v>281.30515544919626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0.28199999999999997</v>
      </c>
      <c r="DY14" s="16">
        <f>IF(ISNA(VLOOKUP(A14,'Données projet'!$A$165:$I$185,6,0)),0%,VLOOKUP(A14,'Données projet'!$A$165:$I$185,6,0)*VLOOKUP('Données projet'!$B$14,Paramètres!$A$1:$I$89,7,0))</f>
        <v>0.126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119.37764204490992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129.51711150812866</v>
      </c>
      <c r="H15" s="67">
        <f t="shared" si="1"/>
        <v>501.75250661735487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K15" s="12">
        <f>VLOOKUP(A15,'Données projet'!$A$35:$I$55,2,0)</f>
        <v>212</v>
      </c>
      <c r="L15" s="12">
        <f>VLOOKUP(A15,'Données projet'!$A$35:$I$55,9,0)</f>
        <v>29</v>
      </c>
      <c r="M15" s="12">
        <f t="array" ref="M15">INDEX(L:L,MIN(IF(ISNUMBER(L15:L211),ROW(L15:L211),"")))</f>
        <v>29</v>
      </c>
      <c r="N15" s="13">
        <f>IF('Données projet'!$A$36&gt;35,N14+M15-V14,IF(A15&lt;'Données projet'!$A$36,$K$205^A15,IF(A15='Données projet'!$A$36,'Données projet'!$B$36,N14+M15-V14)))</f>
        <v>212</v>
      </c>
      <c r="O15" s="13">
        <f>N15*VLOOKUP('Données projet'!$B$9,Paramètres!$A$1:$I$89,3,0)*VLOOKUP('Données projet'!$B$9,Paramètres!$A$1:$I$89,5,0)</f>
        <v>111.12192</v>
      </c>
      <c r="P15" s="13">
        <f t="shared" si="33"/>
        <v>29.595161360044589</v>
      </c>
      <c r="Q15" s="20">
        <f t="shared" si="2"/>
        <v>245.08225003541099</v>
      </c>
      <c r="R15" s="59">
        <f t="shared" si="0"/>
        <v>735.44536082147715</v>
      </c>
      <c r="S15" s="59">
        <f ca="1">AVERAGE(OFFSET($R$3,0,0,'Données projet'!$E$9+1,1))-AVERAGE(OFFSET($H$3,0,0,'Données projet'!$E$9+1,1))</f>
        <v>167.42995526007479</v>
      </c>
      <c r="T15" s="59">
        <f t="shared" si="34"/>
        <v>397.36718389105215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AF15" s="12">
        <f>VLOOKUP(A15,'Données projet'!$A$61:$I$81,2,0)</f>
        <v>128</v>
      </c>
      <c r="AG15" s="12">
        <f>VLOOKUP(A15,'Données projet'!$A$61:$I$81,9,0)</f>
        <v>34</v>
      </c>
      <c r="AH15" s="12">
        <f t="array" ref="AH15">INDEX(AG:AG,MIN(IF(ISNUMBER(AG15:AG211),ROW(AG15:AG211),"")))</f>
        <v>34</v>
      </c>
      <c r="AI15" s="13">
        <f>IF('Données projet'!$A$62&gt;35,AI14+AH15-AQ14,IF(A15&lt;'Données projet'!$A$62,$AF$205^A15,IF(A15='Données projet'!$A$62,'Données projet'!$B$62,AI14+AH15-AQ14)))</f>
        <v>128</v>
      </c>
      <c r="AJ15" s="13">
        <f>AI15*VLOOKUP('Données projet'!$B$10,Paramètres!$A$1:$I$89,3,0)*VLOOKUP('Données projet'!$B$10,Paramètres!$A$1:$I$89,5,0)</f>
        <v>67.092480000000009</v>
      </c>
      <c r="AK15" s="13">
        <f t="shared" si="35"/>
        <v>18.949644838115688</v>
      </c>
      <c r="AL15" s="20">
        <f t="shared" si="4"/>
        <v>149.85670075971817</v>
      </c>
      <c r="AM15" s="59">
        <f t="shared" si="5"/>
        <v>640.2198115457843</v>
      </c>
      <c r="AN15" s="59">
        <f ca="1">AVERAGE(OFFSET($AM$3,0,0,'Données projet'!$E$10+1,1))-AVERAGE(OFFSET($H$3,0,0,'Données projet'!$E$10+1,1))</f>
        <v>127.55710992710948</v>
      </c>
      <c r="AO15" s="59">
        <f t="shared" si="36"/>
        <v>417.43085823929903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0.28199999999999997</v>
      </c>
      <c r="AS15" s="16">
        <f>IF(ISNA(VLOOKUP(A15,'Données projet'!$A$61:$I$81,6,0)),0%,VLOOKUP(A15,'Données projet'!$A$61:$I$81,6,0)*VLOOKUP('Données projet'!$B$10,Paramètres!$A$1:$I$89,7,0))</f>
        <v>0.126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A15" s="12">
        <f>VLOOKUP(A15,'Données projet'!$A$87:$I$107,2,0)</f>
        <v>128</v>
      </c>
      <c r="BB15" s="12">
        <f>VLOOKUP(A15,'Données projet'!$A$87:$I$107,9,0)</f>
        <v>34</v>
      </c>
      <c r="BC15" s="12">
        <f t="array" ref="BC15">INDEX(BB:BB,MIN(IF(ISNUMBER(BB15:BB211),ROW(BB15:BB211),"")))</f>
        <v>34</v>
      </c>
      <c r="BD15" s="12">
        <f>IF('Données projet'!$A$88&gt;35,BD14+BC15-BL14,IF(A15&lt;'Données projet'!$A$88,$BA$205^A15,IF(A15='Données projet'!$A$88,'Données projet'!$B$88,BD14+BC15-BL14)))</f>
        <v>128</v>
      </c>
      <c r="BE15" s="13">
        <f>BD15*VLOOKUP('Données projet'!$B$11,Paramètres!$A$1:$I$89,3,0)*VLOOKUP('Données projet'!$B$11,Paramètres!$A$1:$I$89,5,0)</f>
        <v>65.095680000000002</v>
      </c>
      <c r="BF15" s="13">
        <f t="shared" si="37"/>
        <v>18.450441403937198</v>
      </c>
      <c r="BG15" s="20">
        <f t="shared" si="7"/>
        <v>145.50949477852396</v>
      </c>
      <c r="BH15" s="59">
        <f t="shared" si="8"/>
        <v>635.87260556459</v>
      </c>
      <c r="BI15" s="59">
        <f ca="1">AVERAGE(OFFSET($BH$3,0,0,'Données projet'!$E$11+1,1))-AVERAGE(OFFSET($H$3,0,0,'Données projet'!$E$11+1,1))</f>
        <v>123.48243581061803</v>
      </c>
      <c r="BJ15" s="59">
        <f t="shared" si="38"/>
        <v>405.05940798527138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0.28199999999999997</v>
      </c>
      <c r="BN15" s="16">
        <f>IF(ISNA(VLOOKUP(A15,'Données projet'!$A$87:$I$107,6,0)),0%,VLOOKUP(A15,'Données projet'!$A$87:$I$107,6,0)*VLOOKUP('Données projet'!$B$11,Paramètres!$A$1:$I$89,7,0))</f>
        <v>0.126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V15" s="12">
        <f>VLOOKUP(A15,'Données projet'!$A$113:$I$133,2,0)</f>
        <v>235</v>
      </c>
      <c r="BW15" s="12">
        <f>VLOOKUP(A15,'Données projet'!$A$113:$I$133,9,0)</f>
        <v>34</v>
      </c>
      <c r="BX15" s="12">
        <f t="array" ref="BX15">INDEX(BW:BW,MIN(IF(ISNUMBER(BW15:BW211),ROW(BW15:BW211),"")))</f>
        <v>34</v>
      </c>
      <c r="BY15" s="12">
        <f>IF('Données projet'!$A$114&gt;35,BY14+BX15-CG14,IF(A15&lt;'Données projet'!$A$114,$BV$205^A15,IF(A15='Données projet'!$A$114,'Données projet'!$B$114,BY14+BX15-CG14)))</f>
        <v>235</v>
      </c>
      <c r="BZ15" s="13">
        <f>BY15*VLOOKUP('Données projet'!$B$12,Paramètres!$A$1:$I$89,3,0)*VLOOKUP('Données projet'!$B$12,Paramètres!$A$1:$I$89,5,0)</f>
        <v>103.38119999999999</v>
      </c>
      <c r="CA15" s="13">
        <f t="shared" si="39"/>
        <v>27.765956260923325</v>
      </c>
      <c r="CB15" s="20">
        <f t="shared" si="10"/>
        <v>228.41463048777476</v>
      </c>
      <c r="CC15" s="59">
        <f t="shared" si="11"/>
        <v>718.77774127384089</v>
      </c>
      <c r="CD15" s="59">
        <f ca="1">AVERAGE(OFFSET($CC$3,0,0,'Données projet'!$E$12+1,1))-AVERAGE(OFFSET($H$3,0,0,'Données projet'!$E$12+1,1))</f>
        <v>156.72204844493132</v>
      </c>
      <c r="CE15" s="59">
        <f t="shared" si="40"/>
        <v>377.72061016381247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0.28199999999999997</v>
      </c>
      <c r="CI15" s="16">
        <f>IF(ISNA(VLOOKUP(A15,'Données projet'!$A$113:$I$133,6,0)),0%,VLOOKUP(A15,'Données projet'!$A$113:$I$133,6,0)*VLOOKUP('Données projet'!$B$12,Paramètres!$A$1:$I$89,7,0))</f>
        <v>0.126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CQ15" s="12">
        <f>VLOOKUP(A15,'Données projet'!$A$139:$I$159,2,0)</f>
        <v>102</v>
      </c>
      <c r="CR15" s="12">
        <f>VLOOKUP(A15,'Données projet'!$A$139:$I$159,9,0)</f>
        <v>26</v>
      </c>
      <c r="CS15" s="12">
        <f t="array" ref="CS15">INDEX(CR:CR,MIN(IF(ISNUMBER(CR15:CR211),ROW(CR15:CR211),"")))</f>
        <v>26</v>
      </c>
      <c r="CT15" s="12">
        <f>IF('Données projet'!$A$140&gt;35,CT14+CS15-DB14,IF(A15&lt;'Données projet'!$A$140,$CQ$205^A15,IF(A15='Données projet'!$A$140,'Données projet'!$B$140,CT14+CS15-DB14)))</f>
        <v>102</v>
      </c>
      <c r="CU15" s="17">
        <f>CT15*VLOOKUP('Données projet'!$B$13,Paramètres!$A$1:$I$89,3,0)*VLOOKUP('Données projet'!$B$13,Paramètres!$A$1:$I$89,5,0)</f>
        <v>51.873120000000007</v>
      </c>
      <c r="CV15" s="13">
        <f t="shared" si="41"/>
        <v>15.09646078352872</v>
      </c>
      <c r="CW15" s="20">
        <f t="shared" si="13"/>
        <v>116.63868653131253</v>
      </c>
      <c r="CX15" s="59">
        <f t="shared" si="14"/>
        <v>607.00179731737865</v>
      </c>
      <c r="CY15" s="59">
        <f ca="1">AVERAGE(OFFSET($CX$3,0,0,'Données projet'!$E$13+1,1))-AVERAGE(OFFSET($H$3,0,0,'Données projet'!$E$13+1,1))</f>
        <v>88.170414732964616</v>
      </c>
      <c r="CZ15" s="59">
        <f t="shared" si="42"/>
        <v>281.30515544919626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0.28199999999999997</v>
      </c>
      <c r="DD15" s="16">
        <f>IF(ISNA(VLOOKUP(A15,'Données projet'!$A$139:$I$159,6,0)),0%,VLOOKUP(A15,'Données projet'!$A$139:$I$159,6,0)*VLOOKUP('Données projet'!$B$13,Paramètres!$A$1:$I$89,7,0))</f>
        <v>0.126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DL15" s="12">
        <f>VLOOKUP(A15,'Données projet'!$A$165:$I$185,2,0)</f>
        <v>102</v>
      </c>
      <c r="DM15" s="12">
        <f>VLOOKUP(A15,'Données projet'!$A$165:$I$185,9,0)</f>
        <v>26</v>
      </c>
      <c r="DN15" s="12">
        <f t="array" ref="DN15">INDEX(DM:DM,MIN(IF(ISNUMBER(DM15:DM211),ROW(DM15:DM211),"")))</f>
        <v>26</v>
      </c>
      <c r="DO15" s="12">
        <f>IF('Données projet'!$A$166&gt;35,DO14+DN15-DW14,IF(A15&lt;'Données projet'!$A$166,$DL$205^A15,IF(A15='Données projet'!$A$166,'Données projet'!$B$166,DO14+DN15-DW14)))</f>
        <v>102</v>
      </c>
      <c r="DP15" s="17">
        <f>DO15*VLOOKUP('Données projet'!$B$14,Paramètres!$A$1:$I$89,3,0)*VLOOKUP('Données projet'!$B$14,Paramètres!$A$1:$I$89,5,0)</f>
        <v>51.873120000000007</v>
      </c>
      <c r="DQ15" s="13">
        <f t="shared" si="43"/>
        <v>15.09646078352872</v>
      </c>
      <c r="DR15" s="20">
        <f t="shared" si="16"/>
        <v>116.63868653131253</v>
      </c>
      <c r="DS15" s="59">
        <f t="shared" si="17"/>
        <v>607.00179731737865</v>
      </c>
      <c r="DT15" s="59">
        <f ca="1">AVERAGE(OFFSET($DS$3,0,0,'Données projet'!$E$14+1,1))-AVERAGE(OFFSET($H$3,0,0,'Données projet'!$E$14+1,1))</f>
        <v>88.170414732964616</v>
      </c>
      <c r="DU15" s="59">
        <f t="shared" si="44"/>
        <v>281.30515544919626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0.28199999999999997</v>
      </c>
      <c r="DY15" s="16">
        <f>IF(ISNA(VLOOKUP(A15,'Données projet'!$A$165:$I$185,6,0)),0%,VLOOKUP(A15,'Données projet'!$A$165:$I$185,6,0)*VLOOKUP('Données projet'!$B$14,Paramètres!$A$1:$I$89,7,0))</f>
        <v>0.126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119.73539385074533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138.49292831684397</v>
      </c>
      <c r="H16" s="67">
        <f t="shared" si="1"/>
        <v>503.77767528482127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K16" s="12">
        <f>VLOOKUP(A16,'Données projet'!$A$35:$I$55,2,0)</f>
        <v>238</v>
      </c>
      <c r="L16" s="12">
        <f>VLOOKUP(A16,'Données projet'!$A$35:$I$55,9,0)</f>
        <v>26</v>
      </c>
      <c r="M16" s="12">
        <f t="array" ref="M16">INDEX(L:L,MIN(IF(ISNUMBER(L16:L212),ROW(L16:L212),"")))</f>
        <v>26</v>
      </c>
      <c r="N16" s="13">
        <f>IF('Données projet'!$A$36&gt;35,N15+M16-V15,IF(A16&lt;'Données projet'!$A$36,$K$205^A16,IF(A16='Données projet'!$A$36,'Données projet'!$B$36,N15+M16-V15)))</f>
        <v>238</v>
      </c>
      <c r="O16" s="13">
        <f>N16*VLOOKUP('Données projet'!$B$9,Paramètres!$A$1:$I$89,3,0)*VLOOKUP('Données projet'!$B$9,Paramètres!$A$1:$I$89,5,0)</f>
        <v>124.75008000000001</v>
      </c>
      <c r="P16" s="13">
        <f t="shared" si="33"/>
        <v>32.780361960132396</v>
      </c>
      <c r="Q16" s="20">
        <f t="shared" si="2"/>
        <v>274.36551974723062</v>
      </c>
      <c r="R16" s="59">
        <f t="shared" si="0"/>
        <v>767.23985333218275</v>
      </c>
      <c r="S16" s="59">
        <f ca="1">AVERAGE(OFFSET($R$3,0,0,'Données projet'!$E$9+1,1))-AVERAGE(OFFSET($H$3,0,0,'Données projet'!$E$9+1,1))</f>
        <v>167.42995526007479</v>
      </c>
      <c r="T16" s="59">
        <f t="shared" si="34"/>
        <v>397.36718389105215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AF16" s="12">
        <f>VLOOKUP(A16,'Données projet'!$A$61:$I$81,2,0)</f>
        <v>165</v>
      </c>
      <c r="AG16" s="12">
        <f>VLOOKUP(A16,'Données projet'!$A$61:$I$81,9,0)</f>
        <v>37</v>
      </c>
      <c r="AH16" s="12">
        <f t="array" ref="AH16">INDEX(AG:AG,MIN(IF(ISNUMBER(AG16:AG212),ROW(AG16:AG212),"")))</f>
        <v>37</v>
      </c>
      <c r="AI16" s="13">
        <f>IF('Données projet'!$A$62&gt;35,AI15+AH16-AQ15,IF(A16&lt;'Données projet'!$A$62,$AF$205^A16,IF(A16='Données projet'!$A$62,'Données projet'!$B$62,AI15+AH16-AQ15)))</f>
        <v>165</v>
      </c>
      <c r="AJ16" s="13">
        <f>AI16*VLOOKUP('Données projet'!$B$10,Paramètres!$A$1:$I$89,3,0)*VLOOKUP('Données projet'!$B$10,Paramètres!$A$1:$I$89,5,0)</f>
        <v>86.486400000000017</v>
      </c>
      <c r="AK16" s="13">
        <f t="shared" si="35"/>
        <v>23.715875325195146</v>
      </c>
      <c r="AL16" s="20">
        <f t="shared" si="4"/>
        <v>191.93562952471487</v>
      </c>
      <c r="AM16" s="59">
        <f t="shared" si="5"/>
        <v>684.80996310966702</v>
      </c>
      <c r="AN16" s="59">
        <f ca="1">AVERAGE(OFFSET($AM$3,0,0,'Données projet'!$E$10+1,1))-AVERAGE(OFFSET($H$3,0,0,'Données projet'!$E$10+1,1))</f>
        <v>127.55710992710948</v>
      </c>
      <c r="AO16" s="59">
        <f t="shared" si="36"/>
        <v>417.43085823929903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0.28199999999999997</v>
      </c>
      <c r="AS16" s="16">
        <f>IF(ISNA(VLOOKUP(A16,'Données projet'!$A$61:$I$81,6,0)),0%,VLOOKUP(A16,'Données projet'!$A$61:$I$81,6,0)*VLOOKUP('Données projet'!$B$10,Paramètres!$A$1:$I$89,7,0))</f>
        <v>0.126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A16" s="12">
        <f>VLOOKUP(A16,'Données projet'!$A$87:$I$107,2,0)</f>
        <v>165</v>
      </c>
      <c r="BB16" s="12">
        <f>VLOOKUP(A16,'Données projet'!$A$87:$I$107,9,0)</f>
        <v>37</v>
      </c>
      <c r="BC16" s="12">
        <f t="array" ref="BC16">INDEX(BB:BB,MIN(IF(ISNUMBER(BB16:BB212),ROW(BB16:BB212),"")))</f>
        <v>37</v>
      </c>
      <c r="BD16" s="12">
        <f>IF('Données projet'!$A$88&gt;35,BD15+BC16-BL15,IF(A16&lt;'Données projet'!$A$88,$BA$205^A16,IF(A16='Données projet'!$A$88,'Données projet'!$B$88,BD15+BC16-BL15)))</f>
        <v>165</v>
      </c>
      <c r="BE16" s="13">
        <f>BD16*VLOOKUP('Données projet'!$B$11,Paramètres!$A$1:$I$89,3,0)*VLOOKUP('Données projet'!$B$11,Paramètres!$A$1:$I$89,5,0)</f>
        <v>83.912400000000005</v>
      </c>
      <c r="BF16" s="13">
        <f t="shared" si="37"/>
        <v>23.091111826563623</v>
      </c>
      <c r="BG16" s="20">
        <f t="shared" si="7"/>
        <v>186.36444976459833</v>
      </c>
      <c r="BH16" s="59">
        <f t="shared" si="8"/>
        <v>679.23878334955054</v>
      </c>
      <c r="BI16" s="59">
        <f ca="1">AVERAGE(OFFSET($BH$3,0,0,'Données projet'!$E$11+1,1))-AVERAGE(OFFSET($H$3,0,0,'Données projet'!$E$11+1,1))</f>
        <v>123.48243581061803</v>
      </c>
      <c r="BJ16" s="59">
        <f t="shared" si="38"/>
        <v>405.05940798527138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0.28199999999999997</v>
      </c>
      <c r="BN16" s="16">
        <f>IF(ISNA(VLOOKUP(A16,'Données projet'!$A$87:$I$107,6,0)),0%,VLOOKUP(A16,'Données projet'!$A$87:$I$107,6,0)*VLOOKUP('Données projet'!$B$11,Paramètres!$A$1:$I$89,7,0))</f>
        <v>0.126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V16" s="12">
        <f>VLOOKUP(A16,'Données projet'!$A$113:$I$133,2,0)</f>
        <v>266</v>
      </c>
      <c r="BW16" s="12">
        <f>VLOOKUP(A16,'Données projet'!$A$113:$I$133,9,0)</f>
        <v>31</v>
      </c>
      <c r="BX16" s="12">
        <f t="array" ref="BX16">INDEX(BW:BW,MIN(IF(ISNUMBER(BW16:BW212),ROW(BW16:BW212),"")))</f>
        <v>31</v>
      </c>
      <c r="BY16" s="12">
        <f>IF('Données projet'!$A$114&gt;35,BY15+BX16-CG15,IF(A16&lt;'Données projet'!$A$114,$BV$205^A16,IF(A16='Données projet'!$A$114,'Données projet'!$B$114,BY15+BX16-CG15)))</f>
        <v>266</v>
      </c>
      <c r="BZ16" s="13">
        <f>BY16*VLOOKUP('Données projet'!$B$12,Paramètres!$A$1:$I$89,3,0)*VLOOKUP('Données projet'!$B$12,Paramètres!$A$1:$I$89,5,0)</f>
        <v>117.01871999999999</v>
      </c>
      <c r="CA16" s="13">
        <f t="shared" si="39"/>
        <v>30.978649874231415</v>
      </c>
      <c r="CB16" s="20">
        <f t="shared" si="10"/>
        <v>257.76208586428635</v>
      </c>
      <c r="CC16" s="59">
        <f t="shared" si="11"/>
        <v>750.63641944923847</v>
      </c>
      <c r="CD16" s="59">
        <f ca="1">AVERAGE(OFFSET($CC$3,0,0,'Données projet'!$E$12+1,1))-AVERAGE(OFFSET($H$3,0,0,'Données projet'!$E$12+1,1))</f>
        <v>156.72204844493132</v>
      </c>
      <c r="CE16" s="59">
        <f t="shared" si="40"/>
        <v>377.72061016381247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0.28199999999999997</v>
      </c>
      <c r="CI16" s="16">
        <f>IF(ISNA(VLOOKUP(A16,'Données projet'!$A$113:$I$133,6,0)),0%,VLOOKUP(A16,'Données projet'!$A$113:$I$133,6,0)*VLOOKUP('Données projet'!$B$12,Paramètres!$A$1:$I$89,7,0))</f>
        <v>0.126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CQ16" s="12">
        <f>VLOOKUP(A16,'Données projet'!$A$139:$I$159,2,0)</f>
        <v>125</v>
      </c>
      <c r="CR16" s="12">
        <f>VLOOKUP(A16,'Données projet'!$A$139:$I$159,9,0)</f>
        <v>23</v>
      </c>
      <c r="CS16" s="12">
        <f t="array" ref="CS16">INDEX(CR:CR,MIN(IF(ISNUMBER(CR16:CR212),ROW(CR16:CR212),"")))</f>
        <v>23</v>
      </c>
      <c r="CT16" s="12">
        <f>IF('Données projet'!$A$140&gt;35,CT15+CS16-DB15,IF(A16&lt;'Données projet'!$A$140,$CQ$205^A16,IF(A16='Données projet'!$A$140,'Données projet'!$B$140,CT15+CS16-DB15)))</f>
        <v>125</v>
      </c>
      <c r="CU16" s="17">
        <f>CT16*VLOOKUP('Données projet'!$B$13,Paramètres!$A$1:$I$89,3,0)*VLOOKUP('Données projet'!$B$13,Paramètres!$A$1:$I$89,5,0)</f>
        <v>63.57</v>
      </c>
      <c r="CV16" s="13">
        <f t="shared" si="41"/>
        <v>18.067818486559997</v>
      </c>
      <c r="CW16" s="20">
        <f t="shared" si="13"/>
        <v>142.18586719742532</v>
      </c>
      <c r="CX16" s="59">
        <f t="shared" si="14"/>
        <v>635.06020078237748</v>
      </c>
      <c r="CY16" s="59">
        <f ca="1">AVERAGE(OFFSET($CX$3,0,0,'Données projet'!$E$13+1,1))-AVERAGE(OFFSET($H$3,0,0,'Données projet'!$E$13+1,1))</f>
        <v>88.170414732964616</v>
      </c>
      <c r="CZ16" s="59">
        <f t="shared" si="42"/>
        <v>281.30515544919626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0.28199999999999997</v>
      </c>
      <c r="DD16" s="16">
        <f>IF(ISNA(VLOOKUP(A16,'Données projet'!$A$139:$I$159,6,0)),0%,VLOOKUP(A16,'Données projet'!$A$139:$I$159,6,0)*VLOOKUP('Données projet'!$B$13,Paramètres!$A$1:$I$89,7,0))</f>
        <v>0.126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DL16" s="12">
        <f>VLOOKUP(A16,'Données projet'!$A$165:$I$185,2,0)</f>
        <v>125</v>
      </c>
      <c r="DM16" s="12">
        <f>VLOOKUP(A16,'Données projet'!$A$165:$I$185,9,0)</f>
        <v>23</v>
      </c>
      <c r="DN16" s="12">
        <f t="array" ref="DN16">INDEX(DM:DM,MIN(IF(ISNUMBER(DM16:DM212),ROW(DM16:DM212),"")))</f>
        <v>23</v>
      </c>
      <c r="DO16" s="12">
        <f>IF('Données projet'!$A$166&gt;35,DO15+DN16-DW15,IF(A16&lt;'Données projet'!$A$166,$DL$205^A16,IF(A16='Données projet'!$A$166,'Données projet'!$B$166,DO15+DN16-DW15)))</f>
        <v>125</v>
      </c>
      <c r="DP16" s="17">
        <f>DO16*VLOOKUP('Données projet'!$B$14,Paramètres!$A$1:$I$89,3,0)*VLOOKUP('Données projet'!$B$14,Paramètres!$A$1:$I$89,5,0)</f>
        <v>63.57</v>
      </c>
      <c r="DQ16" s="13">
        <f t="shared" si="43"/>
        <v>18.067818486559997</v>
      </c>
      <c r="DR16" s="20">
        <f t="shared" si="16"/>
        <v>142.18586719742532</v>
      </c>
      <c r="DS16" s="59">
        <f t="shared" si="17"/>
        <v>635.06020078237748</v>
      </c>
      <c r="DT16" s="59">
        <f ca="1">AVERAGE(OFFSET($DS$3,0,0,'Données projet'!$E$14+1,1))-AVERAGE(OFFSET($H$3,0,0,'Données projet'!$E$14+1,1))</f>
        <v>88.170414732964616</v>
      </c>
      <c r="DU16" s="59">
        <f t="shared" si="44"/>
        <v>281.30515544919626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0.28199999999999997</v>
      </c>
      <c r="DY16" s="16">
        <f>IF(ISNA(VLOOKUP(A16,'Données projet'!$A$165:$I$185,6,0)),0%,VLOOKUP(A16,'Données projet'!$A$165:$I$185,6,0)*VLOOKUP('Données projet'!$B$14,Paramètres!$A$1:$I$89,7,0))</f>
        <v>0.126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120.0869394625627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147.44990103852467</v>
      </c>
      <c r="H17" s="67">
        <f t="shared" si="1"/>
        <v>505.79859225515048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K17" s="12">
        <f>VLOOKUP(A17,'Données projet'!$A$35:$I$55,2,0)</f>
        <v>261</v>
      </c>
      <c r="L17" s="12">
        <f>VLOOKUP(A17,'Données projet'!$A$35:$I$55,9,0)</f>
        <v>23</v>
      </c>
      <c r="M17" s="12">
        <f t="array" ref="M17">INDEX(L:L,MIN(IF(ISNUMBER(L17:L213),ROW(L17:L213),"")))</f>
        <v>23</v>
      </c>
      <c r="N17" s="13">
        <f>IF('Données projet'!$A$36&gt;35,N16+M17-V16,IF(A17&lt;'Données projet'!$A$36,$K$205^A17,IF(A17='Données projet'!$A$36,'Données projet'!$B$36,N16+M17-V16)))</f>
        <v>261</v>
      </c>
      <c r="O17" s="13">
        <f>N17*VLOOKUP('Données projet'!$B$9,Paramètres!$A$1:$I$89,3,0)*VLOOKUP('Données projet'!$B$9,Paramètres!$A$1:$I$89,5,0)</f>
        <v>136.80576000000002</v>
      </c>
      <c r="P17" s="13">
        <f t="shared" si="33"/>
        <v>35.564269922997305</v>
      </c>
      <c r="Q17" s="20">
        <f t="shared" si="2"/>
        <v>300.21113544922036</v>
      </c>
      <c r="R17" s="59">
        <f t="shared" si="0"/>
        <v>795.57433055482693</v>
      </c>
      <c r="S17" s="59">
        <f ca="1">AVERAGE(OFFSET($R$3,0,0,'Données projet'!$E$9+1,1))-AVERAGE(OFFSET($H$3,0,0,'Données projet'!$E$9+1,1))</f>
        <v>167.42995526007479</v>
      </c>
      <c r="T17" s="59">
        <f t="shared" si="34"/>
        <v>397.36718389105215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AF17" s="12">
        <f>VLOOKUP(A17,'Données projet'!$A$61:$I$81,2,0)</f>
        <v>198</v>
      </c>
      <c r="AG17" s="12">
        <f>VLOOKUP(A17,'Données projet'!$A$61:$I$81,9,0)</f>
        <v>33</v>
      </c>
      <c r="AH17" s="12">
        <f t="array" ref="AH17">INDEX(AG:AG,MIN(IF(ISNUMBER(AG17:AG213),ROW(AG17:AG213),"")))</f>
        <v>33</v>
      </c>
      <c r="AI17" s="13">
        <f>IF('Données projet'!$A$62&gt;35,AI16+AH17-AQ16,IF(A17&lt;'Données projet'!$A$62,$AF$205^A17,IF(A17='Données projet'!$A$62,'Données projet'!$B$62,AI16+AH17-AQ16)))</f>
        <v>198</v>
      </c>
      <c r="AJ17" s="13">
        <f>AI17*VLOOKUP('Données projet'!$B$10,Paramètres!$A$1:$I$89,3,0)*VLOOKUP('Données projet'!$B$10,Paramètres!$A$1:$I$89,5,0)</f>
        <v>103.78368000000002</v>
      </c>
      <c r="AK17" s="13">
        <f t="shared" si="35"/>
        <v>27.861449539780502</v>
      </c>
      <c r="AL17" s="20">
        <f t="shared" si="4"/>
        <v>229.28193394845107</v>
      </c>
      <c r="AM17" s="59">
        <f t="shared" si="5"/>
        <v>724.64512905405763</v>
      </c>
      <c r="AN17" s="59">
        <f ca="1">AVERAGE(OFFSET($AM$3,0,0,'Données projet'!$E$10+1,1))-AVERAGE(OFFSET($H$3,0,0,'Données projet'!$E$10+1,1))</f>
        <v>127.55710992710948</v>
      </c>
      <c r="AO17" s="59">
        <f t="shared" si="36"/>
        <v>417.43085823929903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0.28199999999999997</v>
      </c>
      <c r="AS17" s="16">
        <f>IF(ISNA(VLOOKUP(A17,'Données projet'!$A$61:$I$81,6,0)),0%,VLOOKUP(A17,'Données projet'!$A$61:$I$81,6,0)*VLOOKUP('Données projet'!$B$10,Paramètres!$A$1:$I$89,7,0))</f>
        <v>0.126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A17" s="12">
        <f>VLOOKUP(A17,'Données projet'!$A$87:$I$107,2,0)</f>
        <v>198</v>
      </c>
      <c r="BB17" s="12">
        <f>VLOOKUP(A17,'Données projet'!$A$87:$I$107,9,0)</f>
        <v>33</v>
      </c>
      <c r="BC17" s="12">
        <f t="array" ref="BC17">INDEX(BB:BB,MIN(IF(ISNUMBER(BB17:BB213),ROW(BB17:BB213),"")))</f>
        <v>33</v>
      </c>
      <c r="BD17" s="12">
        <f>IF('Données projet'!$A$88&gt;35,BD16+BC17-BL16,IF(A17&lt;'Données projet'!$A$88,$BA$205^A17,IF(A17='Données projet'!$A$88,'Données projet'!$B$88,BD16+BC17-BL16)))</f>
        <v>198</v>
      </c>
      <c r="BE17" s="13">
        <f>BD17*VLOOKUP('Données projet'!$B$11,Paramètres!$A$1:$I$89,3,0)*VLOOKUP('Données projet'!$B$11,Paramètres!$A$1:$I$89,5,0)</f>
        <v>100.69488000000001</v>
      </c>
      <c r="BF17" s="13">
        <f t="shared" si="37"/>
        <v>27.127476348711873</v>
      </c>
      <c r="BG17" s="20">
        <f t="shared" si="7"/>
        <v>222.62393730733984</v>
      </c>
      <c r="BH17" s="59">
        <f t="shared" si="8"/>
        <v>717.98713241294638</v>
      </c>
      <c r="BI17" s="59">
        <f ca="1">AVERAGE(OFFSET($BH$3,0,0,'Données projet'!$E$11+1,1))-AVERAGE(OFFSET($H$3,0,0,'Données projet'!$E$11+1,1))</f>
        <v>123.48243581061803</v>
      </c>
      <c r="BJ17" s="59">
        <f t="shared" si="38"/>
        <v>405.05940798527138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0.28199999999999997</v>
      </c>
      <c r="BN17" s="16">
        <f>IF(ISNA(VLOOKUP(A17,'Données projet'!$A$87:$I$107,6,0)),0%,VLOOKUP(A17,'Données projet'!$A$87:$I$107,6,0)*VLOOKUP('Données projet'!$B$11,Paramètres!$A$1:$I$89,7,0))</f>
        <v>0.126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V17" s="12">
        <f>VLOOKUP(A17,'Données projet'!$A$113:$I$133,2,0)</f>
        <v>295</v>
      </c>
      <c r="BW17" s="12">
        <f>VLOOKUP(A17,'Données projet'!$A$113:$I$133,9,0)</f>
        <v>29</v>
      </c>
      <c r="BX17" s="12">
        <f t="array" ref="BX17">INDEX(BW:BW,MIN(IF(ISNUMBER(BW17:BW213),ROW(BW17:BW213),"")))</f>
        <v>29</v>
      </c>
      <c r="BY17" s="12">
        <f>IF('Données projet'!$A$114&gt;35,BY16+BX17-CG16,IF(A17&lt;'Données projet'!$A$114,$BV$205^A17,IF(A17='Données projet'!$A$114,'Données projet'!$B$114,BY16+BX17-CG16)))</f>
        <v>295</v>
      </c>
      <c r="BZ17" s="13">
        <f>BY17*VLOOKUP('Données projet'!$B$12,Paramètres!$A$1:$I$89,3,0)*VLOOKUP('Données projet'!$B$12,Paramètres!$A$1:$I$89,5,0)</f>
        <v>129.7764</v>
      </c>
      <c r="CA17" s="13">
        <f t="shared" si="39"/>
        <v>33.94468676198089</v>
      </c>
      <c r="CB17" s="20">
        <f t="shared" si="10"/>
        <v>285.14755944378334</v>
      </c>
      <c r="CC17" s="59">
        <f t="shared" si="11"/>
        <v>780.51075454938984</v>
      </c>
      <c r="CD17" s="59">
        <f ca="1">AVERAGE(OFFSET($CC$3,0,0,'Données projet'!$E$12+1,1))-AVERAGE(OFFSET($H$3,0,0,'Données projet'!$E$12+1,1))</f>
        <v>156.72204844493132</v>
      </c>
      <c r="CE17" s="59">
        <f t="shared" si="40"/>
        <v>377.72061016381247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0.28199999999999997</v>
      </c>
      <c r="CI17" s="16">
        <f>IF(ISNA(VLOOKUP(A17,'Données projet'!$A$113:$I$133,6,0)),0%,VLOOKUP(A17,'Données projet'!$A$113:$I$133,6,0)*VLOOKUP('Données projet'!$B$12,Paramètres!$A$1:$I$89,7,0))</f>
        <v>0.126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CQ17" s="12">
        <f>VLOOKUP(A17,'Données projet'!$A$139:$I$159,2,0)</f>
        <v>149</v>
      </c>
      <c r="CR17" s="12">
        <f>VLOOKUP(A17,'Données projet'!$A$139:$I$159,9,0)</f>
        <v>24</v>
      </c>
      <c r="CS17" s="12">
        <f t="array" ref="CS17">INDEX(CR:CR,MIN(IF(ISNUMBER(CR17:CR213),ROW(CR17:CR213),"")))</f>
        <v>24</v>
      </c>
      <c r="CT17" s="12">
        <f>IF('Données projet'!$A$140&gt;35,CT16+CS17-DB16,IF(A17&lt;'Données projet'!$A$140,$CQ$205^A17,IF(A17='Données projet'!$A$140,'Données projet'!$B$140,CT16+CS17-DB16)))</f>
        <v>149</v>
      </c>
      <c r="CU17" s="17">
        <f>CT17*VLOOKUP('Données projet'!$B$13,Paramètres!$A$1:$I$89,3,0)*VLOOKUP('Données projet'!$B$13,Paramètres!$A$1:$I$89,5,0)</f>
        <v>75.775440000000017</v>
      </c>
      <c r="CV17" s="13">
        <f t="shared" si="41"/>
        <v>21.101018495944235</v>
      </c>
      <c r="CW17" s="20">
        <f t="shared" si="13"/>
        <v>168.72649854710286</v>
      </c>
      <c r="CX17" s="59">
        <f t="shared" si="14"/>
        <v>664.08969365270934</v>
      </c>
      <c r="CY17" s="59">
        <f ca="1">AVERAGE(OFFSET($CX$3,0,0,'Données projet'!$E$13+1,1))-AVERAGE(OFFSET($H$3,0,0,'Données projet'!$E$13+1,1))</f>
        <v>88.170414732964616</v>
      </c>
      <c r="CZ17" s="59">
        <f t="shared" si="42"/>
        <v>281.30515544919626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0.28199999999999997</v>
      </c>
      <c r="DD17" s="16">
        <f>IF(ISNA(VLOOKUP(A17,'Données projet'!$A$139:$I$159,6,0)),0%,VLOOKUP(A17,'Données projet'!$A$139:$I$159,6,0)*VLOOKUP('Données projet'!$B$13,Paramètres!$A$1:$I$89,7,0))</f>
        <v>0.126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DL17" s="12">
        <f>VLOOKUP(A17,'Données projet'!$A$165:$I$185,2,0)</f>
        <v>149</v>
      </c>
      <c r="DM17" s="12">
        <f>VLOOKUP(A17,'Données projet'!$A$165:$I$185,9,0)</f>
        <v>24</v>
      </c>
      <c r="DN17" s="12">
        <f t="array" ref="DN17">INDEX(DM:DM,MIN(IF(ISNUMBER(DM17:DM213),ROW(DM17:DM213),"")))</f>
        <v>24</v>
      </c>
      <c r="DO17" s="12">
        <f>IF('Données projet'!$A$166&gt;35,DO16+DN17-DW16,IF(A17&lt;'Données projet'!$A$166,$DL$205^A17,IF(A17='Données projet'!$A$166,'Données projet'!$B$166,DO16+DN17-DW16)))</f>
        <v>149</v>
      </c>
      <c r="DP17" s="17">
        <f>DO17*VLOOKUP('Données projet'!$B$14,Paramètres!$A$1:$I$89,3,0)*VLOOKUP('Données projet'!$B$14,Paramètres!$A$1:$I$89,5,0)</f>
        <v>75.775440000000017</v>
      </c>
      <c r="DQ17" s="13">
        <f t="shared" si="43"/>
        <v>21.101018495944235</v>
      </c>
      <c r="DR17" s="20">
        <f t="shared" si="16"/>
        <v>168.72649854710286</v>
      </c>
      <c r="DS17" s="59">
        <f t="shared" si="17"/>
        <v>664.08969365270934</v>
      </c>
      <c r="DT17" s="59">
        <f ca="1">AVERAGE(OFFSET($DS$3,0,0,'Données projet'!$E$14+1,1))-AVERAGE(OFFSET($H$3,0,0,'Données projet'!$E$14+1,1))</f>
        <v>88.170414732964616</v>
      </c>
      <c r="DU17" s="59">
        <f t="shared" si="44"/>
        <v>281.30515544919626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0.28199999999999997</v>
      </c>
      <c r="DY17" s="16">
        <f>IF(ISNA(VLOOKUP(A17,'Données projet'!$A$165:$I$185,6,0)),0%,VLOOKUP(A17,'Données projet'!$A$165:$I$185,6,0)*VLOOKUP('Données projet'!$B$14,Paramètres!$A$1:$I$89,7,0))</f>
        <v>0.126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120.4323865439533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156.38952876573944</v>
      </c>
      <c r="H18" s="67">
        <f t="shared" si="1"/>
        <v>507.81559576110328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K18" s="12">
        <f>VLOOKUP(A18,'Données projet'!$A$35:$I$55,2,0)</f>
        <v>282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282</v>
      </c>
      <c r="O18" s="13">
        <f>N18*VLOOKUP('Données projet'!$B$9,Paramètres!$A$1:$I$89,3,0)*VLOOKUP('Données projet'!$B$9,Paramètres!$A$1:$I$89,5,0)</f>
        <v>147.81312000000003</v>
      </c>
      <c r="P18" s="13">
        <f t="shared" si="33"/>
        <v>38.081185298782486</v>
      </c>
      <c r="Q18" s="20">
        <f t="shared" si="2"/>
        <v>323.76591506204619</v>
      </c>
      <c r="R18" s="59">
        <f t="shared" si="0"/>
        <v>821.59599832826052</v>
      </c>
      <c r="S18" s="59">
        <f ca="1">AVERAGE(OFFSET($R$3,0,0,'Données projet'!$E$9+1,1))-AVERAGE(OFFSET($H$3,0,0,'Données projet'!$E$9+1,1))</f>
        <v>167.42995526007479</v>
      </c>
      <c r="T18" s="59">
        <f t="shared" si="34"/>
        <v>397.36718389105215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AF18" s="12">
        <f>VLOOKUP(A18,'Données projet'!$A$61:$I$81,2,0)</f>
        <v>232</v>
      </c>
      <c r="AG18" s="12">
        <f>VLOOKUP(A18,'Données projet'!$A$61:$I$81,9,0)</f>
        <v>34</v>
      </c>
      <c r="AH18" s="12">
        <f t="array" ref="AH18">INDEX(AG:AG,MIN(IF(ISNUMBER(AG18:AG214),ROW(AG18:AG214),"")))</f>
        <v>34</v>
      </c>
      <c r="AI18" s="13">
        <f>IF('Données projet'!$A$62&gt;35,AI17+AH18-AQ17,IF(A18&lt;'Données projet'!$A$62,$AF$205^A18,IF(A18='Données projet'!$A$62,'Données projet'!$B$62,AI17+AH18-AQ17)))</f>
        <v>232</v>
      </c>
      <c r="AJ18" s="13">
        <f>AI18*VLOOKUP('Données projet'!$B$10,Paramètres!$A$1:$I$89,3,0)*VLOOKUP('Données projet'!$B$10,Paramètres!$A$1:$I$89,5,0)</f>
        <v>121.60512</v>
      </c>
      <c r="AK18" s="13">
        <f t="shared" si="35"/>
        <v>32.049077176455761</v>
      </c>
      <c r="AL18" s="20">
        <f t="shared" si="4"/>
        <v>267.61439341566046</v>
      </c>
      <c r="AM18" s="59">
        <f t="shared" si="5"/>
        <v>765.4444766818749</v>
      </c>
      <c r="AN18" s="59">
        <f ca="1">AVERAGE(OFFSET($AM$3,0,0,'Données projet'!$E$10+1,1))-AVERAGE(OFFSET($H$3,0,0,'Données projet'!$E$10+1,1))</f>
        <v>127.55710992710948</v>
      </c>
      <c r="AO18" s="59">
        <f t="shared" si="36"/>
        <v>417.43085823929903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0.28199999999999997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A18" s="12">
        <f>VLOOKUP(A18,'Données projet'!$A$87:$I$107,2,0)</f>
        <v>232</v>
      </c>
      <c r="BB18" s="12">
        <f>VLOOKUP(A18,'Données projet'!$A$87:$I$107,9,0)</f>
        <v>34</v>
      </c>
      <c r="BC18" s="12">
        <f t="array" ref="BC18">INDEX(BB:BB,MIN(IF(ISNUMBER(BB18:BB214),ROW(BB18:BB214),"")))</f>
        <v>34</v>
      </c>
      <c r="BD18" s="12">
        <f>IF('Données projet'!$A$88&gt;35,BD17+BC18-BL17,IF(A18&lt;'Données projet'!$A$88,$BA$205^A18,IF(A18='Données projet'!$A$88,'Données projet'!$B$88,BD17+BC18-BL17)))</f>
        <v>232</v>
      </c>
      <c r="BE18" s="13">
        <f>BD18*VLOOKUP('Données projet'!$B$11,Paramètres!$A$1:$I$89,3,0)*VLOOKUP('Données projet'!$B$11,Paramètres!$A$1:$I$89,5,0)</f>
        <v>117.98592000000001</v>
      </c>
      <c r="BF18" s="13">
        <f t="shared" si="37"/>
        <v>31.20478645093479</v>
      </c>
      <c r="BG18" s="20">
        <f t="shared" si="7"/>
        <v>259.84048040204476</v>
      </c>
      <c r="BH18" s="59">
        <f t="shared" si="8"/>
        <v>757.67056366825909</v>
      </c>
      <c r="BI18" s="59">
        <f ca="1">AVERAGE(OFFSET($BH$3,0,0,'Données projet'!$E$11+1,1))-AVERAGE(OFFSET($H$3,0,0,'Données projet'!$E$11+1,1))</f>
        <v>123.48243581061803</v>
      </c>
      <c r="BJ18" s="59">
        <f t="shared" si="38"/>
        <v>405.05940798527138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0.28199999999999997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V18" s="12">
        <f>VLOOKUP(A18,'Données projet'!$A$113:$I$133,2,0)</f>
        <v>319</v>
      </c>
      <c r="BW18" s="12">
        <f>VLOOKUP(A18,'Données projet'!$A$113:$I$133,9,0)</f>
        <v>24</v>
      </c>
      <c r="BX18" s="12">
        <f t="array" ref="BX18">INDEX(BW:BW,MIN(IF(ISNUMBER(BW18:BW214),ROW(BW18:BW214),"")))</f>
        <v>24</v>
      </c>
      <c r="BY18" s="12">
        <f>IF('Données projet'!$A$114&gt;35,BY17+BX18-CG17,IF(A18&lt;'Données projet'!$A$114,$BV$205^A18,IF(A18='Données projet'!$A$114,'Données projet'!$B$114,BY17+BX18-CG17)))</f>
        <v>319</v>
      </c>
      <c r="BZ18" s="13">
        <f>BY18*VLOOKUP('Données projet'!$B$12,Paramètres!$A$1:$I$89,3,0)*VLOOKUP('Données projet'!$B$12,Paramètres!$A$1:$I$89,5,0)</f>
        <v>140.33448000000001</v>
      </c>
      <c r="CA18" s="13">
        <f t="shared" si="39"/>
        <v>36.3736195210302</v>
      </c>
      <c r="CB18" s="20">
        <f t="shared" si="10"/>
        <v>307.76660666579431</v>
      </c>
      <c r="CC18" s="59">
        <f t="shared" si="11"/>
        <v>805.59668993200876</v>
      </c>
      <c r="CD18" s="59">
        <f ca="1">AVERAGE(OFFSET($CC$3,0,0,'Données projet'!$E$12+1,1))-AVERAGE(OFFSET($H$3,0,0,'Données projet'!$E$12+1,1))</f>
        <v>156.72204844493132</v>
      </c>
      <c r="CE18" s="59">
        <f t="shared" si="40"/>
        <v>377.72061016381247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0.28199999999999997</v>
      </c>
      <c r="CI18" s="16">
        <f>IF(ISNA(VLOOKUP(A18,'Données projet'!$A$113:$I$133,6,0)),0%,VLOOKUP(A18,'Données projet'!$A$113:$I$133,6,0)*VLOOKUP('Données projet'!$B$12,Paramètres!$A$1:$I$89,7,0))</f>
        <v>0.126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CQ18" s="12">
        <f>VLOOKUP(A18,'Données projet'!$A$139:$I$159,2,0)</f>
        <v>172</v>
      </c>
      <c r="CR18" s="12">
        <f>VLOOKUP(A18,'Données projet'!$A$139:$I$159,9,0)</f>
        <v>23</v>
      </c>
      <c r="CS18" s="12">
        <f t="array" ref="CS18">INDEX(CR:CR,MIN(IF(ISNUMBER(CR18:CR214),ROW(CR18:CR214),"")))</f>
        <v>23</v>
      </c>
      <c r="CT18" s="12">
        <f>IF('Données projet'!$A$140&gt;35,CT17+CS18-DB17,IF(A18&lt;'Données projet'!$A$140,$CQ$205^A18,IF(A18='Données projet'!$A$140,'Données projet'!$B$140,CT17+CS18-DB17)))</f>
        <v>172</v>
      </c>
      <c r="CU18" s="17">
        <f>CT18*VLOOKUP('Données projet'!$B$13,Paramètres!$A$1:$I$89,3,0)*VLOOKUP('Données projet'!$B$13,Paramètres!$A$1:$I$89,5,0)</f>
        <v>87.472320000000011</v>
      </c>
      <c r="CV18" s="13">
        <f t="shared" si="41"/>
        <v>23.954602415239084</v>
      </c>
      <c r="CW18" s="20">
        <f t="shared" si="13"/>
        <v>194.06855653987475</v>
      </c>
      <c r="CX18" s="59">
        <f t="shared" si="14"/>
        <v>691.89863980608914</v>
      </c>
      <c r="CY18" s="59">
        <f ca="1">AVERAGE(OFFSET($CX$3,0,0,'Données projet'!$E$13+1,1))-AVERAGE(OFFSET($H$3,0,0,'Données projet'!$E$13+1,1))</f>
        <v>88.170414732964616</v>
      </c>
      <c r="CZ18" s="59">
        <f t="shared" si="42"/>
        <v>281.30515544919626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0.28199999999999997</v>
      </c>
      <c r="DD18" s="16">
        <f>IF(ISNA(VLOOKUP(A18,'Données projet'!$A$139:$I$159,6,0)),0%,VLOOKUP(A18,'Données projet'!$A$139:$I$159,6,0)*VLOOKUP('Données projet'!$B$13,Paramètres!$A$1:$I$89,7,0))</f>
        <v>0.126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DL18" s="12">
        <f>VLOOKUP(A18,'Données projet'!$A$165:$I$185,2,0)</f>
        <v>172</v>
      </c>
      <c r="DM18" s="12">
        <f>VLOOKUP(A18,'Données projet'!$A$165:$I$185,9,0)</f>
        <v>23</v>
      </c>
      <c r="DN18" s="12">
        <f t="array" ref="DN18">INDEX(DM:DM,MIN(IF(ISNUMBER(DM18:DM214),ROW(DM18:DM214),"")))</f>
        <v>23</v>
      </c>
      <c r="DO18" s="12">
        <f>IF('Données projet'!$A$166&gt;35,DO17+DN18-DW17,IF(A18&lt;'Données projet'!$A$166,$DL$205^A18,IF(A18='Données projet'!$A$166,'Données projet'!$B$166,DO17+DN18-DW17)))</f>
        <v>172</v>
      </c>
      <c r="DP18" s="17">
        <f>DO18*VLOOKUP('Données projet'!$B$14,Paramètres!$A$1:$I$89,3,0)*VLOOKUP('Données projet'!$B$14,Paramètres!$A$1:$I$89,5,0)</f>
        <v>87.472320000000011</v>
      </c>
      <c r="DQ18" s="13">
        <f t="shared" si="43"/>
        <v>23.954602415239084</v>
      </c>
      <c r="DR18" s="20">
        <f t="shared" si="16"/>
        <v>194.06855653987475</v>
      </c>
      <c r="DS18" s="59">
        <f t="shared" si="17"/>
        <v>691.89863980608914</v>
      </c>
      <c r="DT18" s="59">
        <f ca="1">AVERAGE(OFFSET($DS$3,0,0,'Données projet'!$E$14+1,1))-AVERAGE(OFFSET($H$3,0,0,'Données projet'!$E$14+1,1))</f>
        <v>88.170414732964616</v>
      </c>
      <c r="DU18" s="59">
        <f t="shared" si="44"/>
        <v>281.30515544919626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0.28199999999999997</v>
      </c>
      <c r="DY18" s="16">
        <f>IF(ISNA(VLOOKUP(A18,'Données projet'!$A$165:$I$185,6,0)),0%,VLOOKUP(A18,'Données projet'!$A$165:$I$185,6,0)*VLOOKUP('Données projet'!$B$14,Paramètres!$A$1:$I$89,7,0))</f>
        <v>0.126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120.77184089078574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165.31309940396969</v>
      </c>
      <c r="H19" s="67">
        <f t="shared" si="1"/>
        <v>509.82897638635399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K19" s="12">
        <f>VLOOKUP(A19,'Données projet'!$A$35:$I$55,2,0)</f>
        <v>300</v>
      </c>
      <c r="L19" s="12">
        <f>VLOOKUP(A19,'Données projet'!$A$35:$I$55,9,0)</f>
        <v>18</v>
      </c>
      <c r="M19" s="12">
        <f t="array" ref="M19">INDEX(L:L,MIN(IF(ISNUMBER(L19:L215),ROW(L19:L215),"")))</f>
        <v>18</v>
      </c>
      <c r="N19" s="13">
        <f>IF('Données projet'!$A$36&gt;35,N18+M19-V18,IF(A19&lt;'Données projet'!$A$36,$K$205^A19,IF(A19='Données projet'!$A$36,'Données projet'!$B$36,N18+M19-V18)))</f>
        <v>300</v>
      </c>
      <c r="O19" s="13">
        <f>N19*VLOOKUP('Données projet'!$B$9,Paramètres!$A$1:$I$89,3,0)*VLOOKUP('Données projet'!$B$9,Paramètres!$A$1:$I$89,5,0)</f>
        <v>157.24800000000002</v>
      </c>
      <c r="P19" s="13">
        <f t="shared" si="33"/>
        <v>40.221168744348645</v>
      </c>
      <c r="Q19" s="20">
        <f t="shared" si="2"/>
        <v>343.92546889640727</v>
      </c>
      <c r="R19" s="59">
        <f t="shared" si="0"/>
        <v>844.20084815185464</v>
      </c>
      <c r="S19" s="59">
        <f ca="1">AVERAGE(OFFSET($R$3,0,0,'Données projet'!$E$9+1,1))-AVERAGE(OFFSET($H$3,0,0,'Données projet'!$E$9+1,1))</f>
        <v>167.42995526007479</v>
      </c>
      <c r="T19" s="59">
        <f t="shared" si="34"/>
        <v>397.36718389105215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0.28199999999999997</v>
      </c>
      <c r="X19" s="16">
        <f>IF(ISNA(VLOOKUP(A19,'Données projet'!$A$35:$I$55,6,0)),0%,VLOOKUP(A19,'Données projet'!$A$35:$I$55,6,0)*VLOOKUP('Données projet'!$B$9,Paramètres!$A$1:$I$89,7,0))</f>
        <v>0.126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AF19" s="12">
        <f>VLOOKUP(A19,'Données projet'!$A$61:$I$81,2,0)</f>
        <v>266</v>
      </c>
      <c r="AG19" s="12">
        <f>VLOOKUP(A19,'Données projet'!$A$61:$I$81,9,0)</f>
        <v>34</v>
      </c>
      <c r="AH19" s="12">
        <f t="array" ref="AH19">INDEX(AG:AG,MIN(IF(ISNUMBER(AG19:AG215),ROW(AG19:AG215),"")))</f>
        <v>34</v>
      </c>
      <c r="AI19" s="13">
        <f>IF('Données projet'!$A$62&gt;35,AI18+AH19-AQ18,IF(A19&lt;'Données projet'!$A$62,$AF$205^A19,IF(A19='Données projet'!$A$62,'Données projet'!$B$62,AI18+AH19-AQ18)))</f>
        <v>266</v>
      </c>
      <c r="AJ19" s="13">
        <f>AI19*VLOOKUP('Données projet'!$B$10,Paramètres!$A$1:$I$89,3,0)*VLOOKUP('Données projet'!$B$10,Paramètres!$A$1:$I$89,5,0)</f>
        <v>139.42656000000002</v>
      </c>
      <c r="AK19" s="13">
        <f t="shared" si="35"/>
        <v>36.165607079455818</v>
      </c>
      <c r="AL19" s="20">
        <f t="shared" si="4"/>
        <v>305.82302433005219</v>
      </c>
      <c r="AM19" s="59">
        <f t="shared" si="5"/>
        <v>806.09840358549968</v>
      </c>
      <c r="AN19" s="59">
        <f ca="1">AVERAGE(OFFSET($AM$3,0,0,'Données projet'!$E$10+1,1))-AVERAGE(OFFSET($H$3,0,0,'Données projet'!$E$10+1,1))</f>
        <v>127.55710992710948</v>
      </c>
      <c r="AO19" s="59">
        <f t="shared" si="36"/>
        <v>417.43085823929903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0.28199999999999997</v>
      </c>
      <c r="AS19" s="16">
        <f>IF(ISNA(VLOOKUP(A19,'Données projet'!$A$61:$I$81,6,0)),0%,VLOOKUP(A19,'Données projet'!$A$61:$I$81,6,0)*VLOOKUP('Données projet'!$B$10,Paramètres!$A$1:$I$89,7,0))</f>
        <v>0.126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A19" s="12">
        <f>VLOOKUP(A19,'Données projet'!$A$87:$I$107,2,0)</f>
        <v>266</v>
      </c>
      <c r="BB19" s="12">
        <f>VLOOKUP(A19,'Données projet'!$A$87:$I$107,9,0)</f>
        <v>34</v>
      </c>
      <c r="BC19" s="12">
        <f t="array" ref="BC19">INDEX(BB:BB,MIN(IF(ISNUMBER(BB19:BB215),ROW(BB19:BB215),"")))</f>
        <v>34</v>
      </c>
      <c r="BD19" s="12">
        <f>IF('Données projet'!$A$88&gt;35,BD18+BC19-BL18,IF(A19&lt;'Données projet'!$A$88,$BA$205^A19,IF(A19='Données projet'!$A$88,'Données projet'!$B$88,BD18+BC19-BL18)))</f>
        <v>266</v>
      </c>
      <c r="BE19" s="13">
        <f>BD19*VLOOKUP('Données projet'!$B$11,Paramètres!$A$1:$I$89,3,0)*VLOOKUP('Données projet'!$B$11,Paramètres!$A$1:$I$89,5,0)</f>
        <v>135.27696000000003</v>
      </c>
      <c r="BF19" s="13">
        <f t="shared" si="37"/>
        <v>35.212871795631408</v>
      </c>
      <c r="BG19" s="20">
        <f t="shared" si="7"/>
        <v>296.93645704405805</v>
      </c>
      <c r="BH19" s="59">
        <f t="shared" si="8"/>
        <v>797.21183629950542</v>
      </c>
      <c r="BI19" s="59">
        <f ca="1">AVERAGE(OFFSET($BH$3,0,0,'Données projet'!$E$11+1,1))-AVERAGE(OFFSET($H$3,0,0,'Données projet'!$E$11+1,1))</f>
        <v>123.48243581061803</v>
      </c>
      <c r="BJ19" s="59">
        <f t="shared" si="38"/>
        <v>405.05940798527138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0.28199999999999997</v>
      </c>
      <c r="BN19" s="16">
        <f>IF(ISNA(VLOOKUP(A19,'Données projet'!$A$87:$I$107,6,0)),0%,VLOOKUP(A19,'Données projet'!$A$87:$I$107,6,0)*VLOOKUP('Données projet'!$B$11,Paramètres!$A$1:$I$89,7,0))</f>
        <v>0.126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V19" s="12">
        <f>VLOOKUP(A19,'Données projet'!$A$113:$I$133,2,0)</f>
        <v>339</v>
      </c>
      <c r="BW19" s="12">
        <f>VLOOKUP(A19,'Données projet'!$A$113:$I$133,9,0)</f>
        <v>20</v>
      </c>
      <c r="BX19" s="12">
        <f t="array" ref="BX19">INDEX(BW:BW,MIN(IF(ISNUMBER(BW19:BW215),ROW(BW19:BW215),"")))</f>
        <v>20</v>
      </c>
      <c r="BY19" s="12">
        <f>IF('Données projet'!$A$114&gt;35,BY18+BX19-CG18,IF(A19&lt;'Données projet'!$A$114,$BV$205^A19,IF(A19='Données projet'!$A$114,'Données projet'!$B$114,BY18+BX19-CG18)))</f>
        <v>339</v>
      </c>
      <c r="BZ19" s="13">
        <f>BY19*VLOOKUP('Données projet'!$B$12,Paramètres!$A$1:$I$89,3,0)*VLOOKUP('Données projet'!$B$12,Paramètres!$A$1:$I$89,5,0)</f>
        <v>149.13287999999997</v>
      </c>
      <c r="CA19" s="13">
        <f t="shared" si="39"/>
        <v>38.381463048182113</v>
      </c>
      <c r="CB19" s="20">
        <f t="shared" si="10"/>
        <v>326.58748080891706</v>
      </c>
      <c r="CC19" s="59">
        <f t="shared" si="11"/>
        <v>826.86286006436444</v>
      </c>
      <c r="CD19" s="59">
        <f ca="1">AVERAGE(OFFSET($CC$3,0,0,'Données projet'!$E$12+1,1))-AVERAGE(OFFSET($H$3,0,0,'Données projet'!$E$12+1,1))</f>
        <v>156.72204844493132</v>
      </c>
      <c r="CE19" s="59">
        <f t="shared" si="40"/>
        <v>377.72061016381247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0.28199999999999997</v>
      </c>
      <c r="CI19" s="16">
        <f>IF(ISNA(VLOOKUP(A19,'Données projet'!$A$113:$I$133,6,0)),0%,VLOOKUP(A19,'Données projet'!$A$113:$I$133,6,0)*VLOOKUP('Données projet'!$B$12,Paramètres!$A$1:$I$89,7,0))</f>
        <v>0.126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CQ19" s="12">
        <f>VLOOKUP(A19,'Données projet'!$A$139:$I$159,2,0)</f>
        <v>193</v>
      </c>
      <c r="CR19" s="12">
        <f>VLOOKUP(A19,'Données projet'!$A$139:$I$159,9,0)</f>
        <v>21</v>
      </c>
      <c r="CS19" s="12">
        <f t="array" ref="CS19">INDEX(CR:CR,MIN(IF(ISNUMBER(CR19:CR215),ROW(CR19:CR215),"")))</f>
        <v>21</v>
      </c>
      <c r="CT19" s="12">
        <f>IF('Données projet'!$A$140&gt;35,CT18+CS19-DB18,IF(A19&lt;'Données projet'!$A$140,$CQ$205^A19,IF(A19='Données projet'!$A$140,'Données projet'!$B$140,CT18+CS19-DB18)))</f>
        <v>193</v>
      </c>
      <c r="CU19" s="17">
        <f>CT19*VLOOKUP('Données projet'!$B$13,Paramètres!$A$1:$I$89,3,0)*VLOOKUP('Données projet'!$B$13,Paramètres!$A$1:$I$89,5,0)</f>
        <v>98.152079999999998</v>
      </c>
      <c r="CV19" s="13">
        <f t="shared" si="41"/>
        <v>26.521279327341439</v>
      </c>
      <c r="CW19" s="20">
        <f t="shared" si="13"/>
        <v>217.13943416178634</v>
      </c>
      <c r="CX19" s="59">
        <f t="shared" si="14"/>
        <v>717.41481341723374</v>
      </c>
      <c r="CY19" s="59">
        <f ca="1">AVERAGE(OFFSET($CX$3,0,0,'Données projet'!$E$13+1,1))-AVERAGE(OFFSET($H$3,0,0,'Données projet'!$E$13+1,1))</f>
        <v>88.170414732964616</v>
      </c>
      <c r="CZ19" s="59">
        <f t="shared" si="42"/>
        <v>281.30515544919626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0.28199999999999997</v>
      </c>
      <c r="DD19" s="16">
        <f>IF(ISNA(VLOOKUP(A19,'Données projet'!$A$139:$I$159,6,0)),0%,VLOOKUP(A19,'Données projet'!$A$139:$I$159,6,0)*VLOOKUP('Données projet'!$B$13,Paramètres!$A$1:$I$89,7,0))</f>
        <v>0.126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DL19" s="12">
        <f>VLOOKUP(A19,'Données projet'!$A$165:$I$185,2,0)</f>
        <v>193</v>
      </c>
      <c r="DM19" s="12">
        <f>VLOOKUP(A19,'Données projet'!$A$165:$I$185,9,0)</f>
        <v>21</v>
      </c>
      <c r="DN19" s="12">
        <f t="array" ref="DN19">INDEX(DM:DM,MIN(IF(ISNUMBER(DM19:DM215),ROW(DM19:DM215),"")))</f>
        <v>21</v>
      </c>
      <c r="DO19" s="12">
        <f>IF('Données projet'!$A$166&gt;35,DO18+DN19-DW18,IF(A19&lt;'Données projet'!$A$166,$DL$205^A19,IF(A19='Données projet'!$A$166,'Données projet'!$B$166,DO18+DN19-DW18)))</f>
        <v>193</v>
      </c>
      <c r="DP19" s="17">
        <f>DO19*VLOOKUP('Données projet'!$B$14,Paramètres!$A$1:$I$89,3,0)*VLOOKUP('Données projet'!$B$14,Paramètres!$A$1:$I$89,5,0)</f>
        <v>98.152079999999998</v>
      </c>
      <c r="DQ19" s="13">
        <f t="shared" si="43"/>
        <v>26.521279327341439</v>
      </c>
      <c r="DR19" s="20">
        <f t="shared" si="16"/>
        <v>217.13943416178634</v>
      </c>
      <c r="DS19" s="59">
        <f t="shared" si="17"/>
        <v>717.41481341723374</v>
      </c>
      <c r="DT19" s="59">
        <f ca="1">AVERAGE(OFFSET($DS$3,0,0,'Données projet'!$E$14+1,1))-AVERAGE(OFFSET($H$3,0,0,'Données projet'!$E$14+1,1))</f>
        <v>88.170414732964616</v>
      </c>
      <c r="DU19" s="59">
        <f t="shared" si="44"/>
        <v>281.30515544919626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0.28199999999999997</v>
      </c>
      <c r="DY19" s="16">
        <f>IF(ISNA(VLOOKUP(A19,'Données projet'!$A$165:$I$185,6,0)),0%,VLOOKUP(A19,'Données projet'!$A$165:$I$185,6,0)*VLOOKUP('Données projet'!$B$14,Paramètres!$A$1:$I$89,7,0))</f>
        <v>0.126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121.10540646360687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174.22173077142995</v>
      </c>
      <c r="H20" s="67">
        <f t="shared" si="1"/>
        <v>511.83898633863726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K20" s="12">
        <f>VLOOKUP(A20,'Données projet'!$A$35:$I$55,2,0)</f>
        <v>319</v>
      </c>
      <c r="L20" s="12">
        <f>VLOOKUP(A20,'Données projet'!$A$35:$I$55,9,0)</f>
        <v>19</v>
      </c>
      <c r="M20" s="12">
        <f t="array" ref="M20">INDEX(L:L,MIN(IF(ISNUMBER(L20:L216),ROW(L20:L216),"")))</f>
        <v>19</v>
      </c>
      <c r="N20" s="13">
        <f>IF('Données projet'!$A$36&gt;35,N19+M20-V19,IF(A20&lt;'Données projet'!$A$36,$K$205^A20,IF(A20='Données projet'!$A$36,'Données projet'!$B$36,N19+M20-V19)))</f>
        <v>319</v>
      </c>
      <c r="O20" s="13">
        <f>N20*VLOOKUP('Données projet'!$B$9,Paramètres!$A$1:$I$89,3,0)*VLOOKUP('Données projet'!$B$9,Paramètres!$A$1:$I$89,5,0)</f>
        <v>167.20704000000003</v>
      </c>
      <c r="P20" s="13">
        <f t="shared" si="33"/>
        <v>42.463891647822834</v>
      </c>
      <c r="Q20" s="20">
        <f t="shared" si="2"/>
        <v>365.17687261995815</v>
      </c>
      <c r="R20" s="59">
        <f t="shared" si="0"/>
        <v>867.87633026916421</v>
      </c>
      <c r="S20" s="59">
        <f ca="1">AVERAGE(OFFSET($R$3,0,0,'Données projet'!$E$9+1,1))-AVERAGE(OFFSET($H$3,0,0,'Données projet'!$E$9+1,1))</f>
        <v>167.42995526007479</v>
      </c>
      <c r="T20" s="59">
        <f t="shared" si="34"/>
        <v>397.36718389105215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0.28199999999999997</v>
      </c>
      <c r="X20" s="16">
        <f>IF(ISNA(VLOOKUP(A20,'Données projet'!$A$35:$I$55,6,0)),0%,VLOOKUP(A20,'Données projet'!$A$35:$I$55,6,0)*VLOOKUP('Données projet'!$B$9,Paramètres!$A$1:$I$89,7,0))</f>
        <v>0.126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AF20" s="12">
        <f>VLOOKUP(A20,'Données projet'!$A$61:$I$81,2,0)</f>
        <v>295</v>
      </c>
      <c r="AG20" s="12">
        <f>VLOOKUP(A20,'Données projet'!$A$61:$I$81,9,0)</f>
        <v>29</v>
      </c>
      <c r="AH20" s="12">
        <f t="array" ref="AH20">INDEX(AG:AG,MIN(IF(ISNUMBER(AG20:AG216),ROW(AG20:AG216),"")))</f>
        <v>29</v>
      </c>
      <c r="AI20" s="13">
        <f>IF('Données projet'!$A$62&gt;35,AI19+AH20-AQ19,IF(A20&lt;'Données projet'!$A$62,$AF$205^A20,IF(A20='Données projet'!$A$62,'Données projet'!$B$62,AI19+AH20-AQ19)))</f>
        <v>295</v>
      </c>
      <c r="AJ20" s="13">
        <f>AI20*VLOOKUP('Données projet'!$B$10,Paramètres!$A$1:$I$89,3,0)*VLOOKUP('Données projet'!$B$10,Paramètres!$A$1:$I$89,5,0)</f>
        <v>154.62720000000002</v>
      </c>
      <c r="AK20" s="13">
        <f t="shared" si="35"/>
        <v>39.62826685000794</v>
      </c>
      <c r="AL20" s="20">
        <f t="shared" si="4"/>
        <v>338.3282714304305</v>
      </c>
      <c r="AM20" s="59">
        <f t="shared" si="5"/>
        <v>841.02772907963663</v>
      </c>
      <c r="AN20" s="59">
        <f ca="1">AVERAGE(OFFSET($AM$3,0,0,'Données projet'!$E$10+1,1))-AVERAGE(OFFSET($H$3,0,0,'Données projet'!$E$10+1,1))</f>
        <v>127.55710992710948</v>
      </c>
      <c r="AO20" s="59">
        <f t="shared" si="36"/>
        <v>417.43085823929903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0.28199999999999997</v>
      </c>
      <c r="AS20" s="16">
        <f>IF(ISNA(VLOOKUP(A20,'Données projet'!$A$61:$I$81,6,0)),0%,VLOOKUP(A20,'Données projet'!$A$61:$I$81,6,0)*VLOOKUP('Données projet'!$B$10,Paramètres!$A$1:$I$89,7,0))</f>
        <v>0.126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A20" s="12">
        <f>VLOOKUP(A20,'Données projet'!$A$87:$I$107,2,0)</f>
        <v>295</v>
      </c>
      <c r="BB20" s="12">
        <f>VLOOKUP(A20,'Données projet'!$A$87:$I$107,9,0)</f>
        <v>29</v>
      </c>
      <c r="BC20" s="12">
        <f t="array" ref="BC20">INDEX(BB:BB,MIN(IF(ISNUMBER(BB20:BB216),ROW(BB20:BB216),"")))</f>
        <v>29</v>
      </c>
      <c r="BD20" s="12">
        <f>IF('Données projet'!$A$88&gt;35,BD19+BC20-BL19,IF(A20&lt;'Données projet'!$A$88,$BA$205^A20,IF(A20='Données projet'!$A$88,'Données projet'!$B$88,BD19+BC20-BL19)))</f>
        <v>295</v>
      </c>
      <c r="BE20" s="13">
        <f>BD20*VLOOKUP('Données projet'!$B$11,Paramètres!$A$1:$I$89,3,0)*VLOOKUP('Données projet'!$B$11,Paramètres!$A$1:$I$89,5,0)</f>
        <v>150.02520000000001</v>
      </c>
      <c r="BF20" s="13">
        <f t="shared" si="37"/>
        <v>38.584312355289697</v>
      </c>
      <c r="BG20" s="20">
        <f t="shared" si="7"/>
        <v>328.49490068546294</v>
      </c>
      <c r="BH20" s="59">
        <f t="shared" si="8"/>
        <v>831.194358334669</v>
      </c>
      <c r="BI20" s="59">
        <f ca="1">AVERAGE(OFFSET($BH$3,0,0,'Données projet'!$E$11+1,1))-AVERAGE(OFFSET($H$3,0,0,'Données projet'!$E$11+1,1))</f>
        <v>123.48243581061803</v>
      </c>
      <c r="BJ20" s="59">
        <f t="shared" si="38"/>
        <v>405.05940798527138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0.28199999999999997</v>
      </c>
      <c r="BN20" s="16">
        <f>IF(ISNA(VLOOKUP(A20,'Données projet'!$A$87:$I$107,6,0)),0%,VLOOKUP(A20,'Données projet'!$A$87:$I$107,6,0)*VLOOKUP('Données projet'!$B$11,Paramètres!$A$1:$I$89,7,0))</f>
        <v>0.126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V20" s="12">
        <f>VLOOKUP(A20,'Données projet'!$A$113:$I$133,2,0)</f>
        <v>360</v>
      </c>
      <c r="BW20" s="12">
        <f>VLOOKUP(A20,'Données projet'!$A$113:$I$133,9,0)</f>
        <v>21</v>
      </c>
      <c r="BX20" s="12">
        <f t="array" ref="BX20">INDEX(BW:BW,MIN(IF(ISNUMBER(BW20:BW216),ROW(BW20:BW216),"")))</f>
        <v>21</v>
      </c>
      <c r="BY20" s="12">
        <f>IF('Données projet'!$A$114&gt;35,BY19+BX20-CG19,IF(A20&lt;'Données projet'!$A$114,$BV$205^A20,IF(A20='Données projet'!$A$114,'Données projet'!$B$114,BY19+BX20-CG19)))</f>
        <v>360</v>
      </c>
      <c r="BZ20" s="13">
        <f>BY20*VLOOKUP('Données projet'!$B$12,Paramètres!$A$1:$I$89,3,0)*VLOOKUP('Données projet'!$B$12,Paramètres!$A$1:$I$89,5,0)</f>
        <v>158.37119999999999</v>
      </c>
      <c r="CA20" s="13">
        <f t="shared" si="39"/>
        <v>40.474916527059669</v>
      </c>
      <c r="CB20" s="20">
        <f t="shared" si="10"/>
        <v>346.32365295129557</v>
      </c>
      <c r="CC20" s="59">
        <f t="shared" si="11"/>
        <v>849.0231106005017</v>
      </c>
      <c r="CD20" s="59">
        <f ca="1">AVERAGE(OFFSET($CC$3,0,0,'Données projet'!$E$12+1,1))-AVERAGE(OFFSET($H$3,0,0,'Données projet'!$E$12+1,1))</f>
        <v>156.72204844493132</v>
      </c>
      <c r="CE20" s="59">
        <f t="shared" si="40"/>
        <v>377.72061016381247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0.28199999999999997</v>
      </c>
      <c r="CI20" s="16">
        <f>IF(ISNA(VLOOKUP(A20,'Données projet'!$A$113:$I$133,6,0)),0%,VLOOKUP(A20,'Données projet'!$A$113:$I$133,6,0)*VLOOKUP('Données projet'!$B$12,Paramètres!$A$1:$I$89,7,0))</f>
        <v>0.126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CQ20" s="12">
        <f>VLOOKUP(A20,'Données projet'!$A$139:$I$159,2,0)</f>
        <v>212</v>
      </c>
      <c r="CR20" s="12">
        <f>VLOOKUP(A20,'Données projet'!$A$139:$I$159,9,0)</f>
        <v>19</v>
      </c>
      <c r="CS20" s="12">
        <f t="array" ref="CS20">INDEX(CR:CR,MIN(IF(ISNUMBER(CR20:CR216),ROW(CR20:CR216),"")))</f>
        <v>19</v>
      </c>
      <c r="CT20" s="12">
        <f>IF('Données projet'!$A$140&gt;35,CT19+CS20-DB19,IF(A20&lt;'Données projet'!$A$140,$CQ$205^A20,IF(A20='Données projet'!$A$140,'Données projet'!$B$140,CT19+CS20-DB19)))</f>
        <v>212</v>
      </c>
      <c r="CU20" s="17">
        <f>CT20*VLOOKUP('Données projet'!$B$13,Paramètres!$A$1:$I$89,3,0)*VLOOKUP('Données projet'!$B$13,Paramètres!$A$1:$I$89,5,0)</f>
        <v>107.81472000000002</v>
      </c>
      <c r="CV20" s="13">
        <f t="shared" si="41"/>
        <v>28.815515814589094</v>
      </c>
      <c r="CW20" s="20">
        <f t="shared" si="13"/>
        <v>237.96432737707607</v>
      </c>
      <c r="CX20" s="59">
        <f t="shared" si="14"/>
        <v>740.66378502628208</v>
      </c>
      <c r="CY20" s="59">
        <f ca="1">AVERAGE(OFFSET($CX$3,0,0,'Données projet'!$E$13+1,1))-AVERAGE(OFFSET($H$3,0,0,'Données projet'!$E$13+1,1))</f>
        <v>88.170414732964616</v>
      </c>
      <c r="CZ20" s="59">
        <f t="shared" si="42"/>
        <v>281.30515544919626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0.28199999999999997</v>
      </c>
      <c r="DD20" s="16">
        <f>IF(ISNA(VLOOKUP(A20,'Données projet'!$A$139:$I$159,6,0)),0%,VLOOKUP(A20,'Données projet'!$A$139:$I$159,6,0)*VLOOKUP('Données projet'!$B$13,Paramètres!$A$1:$I$89,7,0))</f>
        <v>0.126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DL20" s="12">
        <f>VLOOKUP(A20,'Données projet'!$A$165:$I$185,2,0)</f>
        <v>212</v>
      </c>
      <c r="DM20" s="12">
        <f>VLOOKUP(A20,'Données projet'!$A$165:$I$185,9,0)</f>
        <v>19</v>
      </c>
      <c r="DN20" s="12">
        <f t="array" ref="DN20">INDEX(DM:DM,MIN(IF(ISNUMBER(DM20:DM216),ROW(DM20:DM216),"")))</f>
        <v>19</v>
      </c>
      <c r="DO20" s="12">
        <f>IF('Données projet'!$A$166&gt;35,DO19+DN20-DW19,IF(A20&lt;'Données projet'!$A$166,$DL$205^A20,IF(A20='Données projet'!$A$166,'Données projet'!$B$166,DO19+DN20-DW19)))</f>
        <v>212</v>
      </c>
      <c r="DP20" s="17">
        <f>DO20*VLOOKUP('Données projet'!$B$14,Paramètres!$A$1:$I$89,3,0)*VLOOKUP('Données projet'!$B$14,Paramètres!$A$1:$I$89,5,0)</f>
        <v>107.81472000000002</v>
      </c>
      <c r="DQ20" s="13">
        <f t="shared" si="43"/>
        <v>28.815515814589094</v>
      </c>
      <c r="DR20" s="20">
        <f t="shared" si="16"/>
        <v>237.96432737707607</v>
      </c>
      <c r="DS20" s="59">
        <f t="shared" si="17"/>
        <v>740.66378502628208</v>
      </c>
      <c r="DT20" s="59">
        <f ca="1">AVERAGE(OFFSET($DS$3,0,0,'Données projet'!$E$14+1,1))-AVERAGE(OFFSET($H$3,0,0,'Données projet'!$E$14+1,1))</f>
        <v>88.170414732964616</v>
      </c>
      <c r="DU20" s="59">
        <f t="shared" si="44"/>
        <v>281.30515544919626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0.28199999999999997</v>
      </c>
      <c r="DY20" s="16">
        <f>IF(ISNA(VLOOKUP(A20,'Données projet'!$A$165:$I$185,6,0)),0%,VLOOKUP(A20,'Données projet'!$A$165:$I$185,6,0)*VLOOKUP('Données projet'!$B$14,Paramètres!$A$1:$I$89,7,0))</f>
        <v>0.126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121.43318541948045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183.11640174932541</v>
      </c>
      <c r="H21" s="67">
        <f t="shared" si="1"/>
        <v>513.8458464780249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K21" s="12">
        <f>VLOOKUP(A21,'Données projet'!$A$35:$I$55,2,0)</f>
        <v>332</v>
      </c>
      <c r="L21" s="12">
        <f>VLOOKUP(A21,'Données projet'!$A$35:$I$55,9,0)</f>
        <v>13</v>
      </c>
      <c r="M21" s="12">
        <f t="array" ref="M21">INDEX(L:L,MIN(IF(ISNUMBER(L21:L217),ROW(L21:L217),"")))</f>
        <v>13</v>
      </c>
      <c r="N21" s="13">
        <f>IF('Données projet'!$A$36&gt;35,N20+M21-V20,IF(A21&lt;'Données projet'!$A$36,$K$205^A21,IF(A21='Données projet'!$A$36,'Données projet'!$B$36,N20+M21-V20)))</f>
        <v>332</v>
      </c>
      <c r="O21" s="13">
        <f>N21*VLOOKUP('Données projet'!$B$9,Paramètres!$A$1:$I$89,3,0)*VLOOKUP('Données projet'!$B$9,Paramètres!$A$1:$I$89,5,0)</f>
        <v>174.02112000000002</v>
      </c>
      <c r="P21" s="13">
        <f t="shared" si="33"/>
        <v>43.989391678613877</v>
      </c>
      <c r="Q21" s="20">
        <f t="shared" si="2"/>
        <v>379.70164117358587</v>
      </c>
      <c r="R21" s="59">
        <f t="shared" si="0"/>
        <v>884.80432769892229</v>
      </c>
      <c r="S21" s="59">
        <f ca="1">AVERAGE(OFFSET($R$3,0,0,'Données projet'!$E$9+1,1))-AVERAGE(OFFSET($H$3,0,0,'Données projet'!$E$9+1,1))</f>
        <v>167.42995526007479</v>
      </c>
      <c r="T21" s="59">
        <f t="shared" si="34"/>
        <v>397.36718389105215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0.28199999999999997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AF21" s="12">
        <f>VLOOKUP(A21,'Données projet'!$A$61:$I$81,2,0)</f>
        <v>324</v>
      </c>
      <c r="AG21" s="12">
        <f>VLOOKUP(A21,'Données projet'!$A$61:$I$81,9,0)</f>
        <v>29</v>
      </c>
      <c r="AH21" s="12">
        <f t="array" ref="AH21">INDEX(AG:AG,MIN(IF(ISNUMBER(AG21:AG217),ROW(AG21:AG217),"")))</f>
        <v>29</v>
      </c>
      <c r="AI21" s="13">
        <f>IF('Données projet'!$A$62&gt;35,AI20+AH21-AQ20,IF(A21&lt;'Données projet'!$A$62,$AF$205^A21,IF(A21='Données projet'!$A$62,'Données projet'!$B$62,AI20+AH21-AQ20)))</f>
        <v>324</v>
      </c>
      <c r="AJ21" s="13">
        <f>AI21*VLOOKUP('Données projet'!$B$10,Paramètres!$A$1:$I$89,3,0)*VLOOKUP('Données projet'!$B$10,Paramètres!$A$1:$I$89,5,0)</f>
        <v>169.82784000000001</v>
      </c>
      <c r="AK21" s="13">
        <f t="shared" si="35"/>
        <v>43.051463198873812</v>
      </c>
      <c r="AL21" s="20">
        <f t="shared" si="4"/>
        <v>370.76478640470526</v>
      </c>
      <c r="AM21" s="59">
        <f t="shared" si="5"/>
        <v>875.86747293004169</v>
      </c>
      <c r="AN21" s="59">
        <f ca="1">AVERAGE(OFFSET($AM$3,0,0,'Données projet'!$E$10+1,1))-AVERAGE(OFFSET($H$3,0,0,'Données projet'!$E$10+1,1))</f>
        <v>127.55710992710948</v>
      </c>
      <c r="AO21" s="59">
        <f t="shared" si="36"/>
        <v>417.43085823929903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0.28199999999999997</v>
      </c>
      <c r="AS21" s="16">
        <f>IF(ISNA(VLOOKUP(A21,'Données projet'!$A$61:$I$81,6,0)),0%,VLOOKUP(A21,'Données projet'!$A$61:$I$81,6,0)*VLOOKUP('Données projet'!$B$10,Paramètres!$A$1:$I$89,7,0))</f>
        <v>0.126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A21" s="12">
        <f>VLOOKUP(A21,'Données projet'!$A$87:$I$107,2,0)</f>
        <v>324</v>
      </c>
      <c r="BB21" s="12">
        <f>VLOOKUP(A21,'Données projet'!$A$87:$I$107,9,0)</f>
        <v>29</v>
      </c>
      <c r="BC21" s="12">
        <f t="array" ref="BC21">INDEX(BB:BB,MIN(IF(ISNUMBER(BB21:BB217),ROW(BB21:BB217),"")))</f>
        <v>29</v>
      </c>
      <c r="BD21" s="12">
        <f>IF('Données projet'!$A$88&gt;35,BD20+BC21-BL20,IF(A21&lt;'Données projet'!$A$88,$BA$205^A21,IF(A21='Données projet'!$A$88,'Données projet'!$B$88,BD20+BC21-BL20)))</f>
        <v>324</v>
      </c>
      <c r="BE21" s="13">
        <f>BD21*VLOOKUP('Données projet'!$B$11,Paramètres!$A$1:$I$89,3,0)*VLOOKUP('Données projet'!$B$11,Paramètres!$A$1:$I$89,5,0)</f>
        <v>164.77344000000002</v>
      </c>
      <c r="BF21" s="13">
        <f t="shared" si="37"/>
        <v>41.917329105127742</v>
      </c>
      <c r="BG21" s="20">
        <f t="shared" si="7"/>
        <v>359.98642285809751</v>
      </c>
      <c r="BH21" s="59">
        <f t="shared" si="8"/>
        <v>865.08910938343388</v>
      </c>
      <c r="BI21" s="59">
        <f ca="1">AVERAGE(OFFSET($BH$3,0,0,'Données projet'!$E$11+1,1))-AVERAGE(OFFSET($H$3,0,0,'Données projet'!$E$11+1,1))</f>
        <v>123.48243581061803</v>
      </c>
      <c r="BJ21" s="59">
        <f t="shared" si="38"/>
        <v>405.05940798527138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0.28199999999999997</v>
      </c>
      <c r="BN21" s="16">
        <f>IF(ISNA(VLOOKUP(A21,'Données projet'!$A$87:$I$107,6,0)),0%,VLOOKUP(A21,'Données projet'!$A$87:$I$107,6,0)*VLOOKUP('Données projet'!$B$11,Paramètres!$A$1:$I$89,7,0))</f>
        <v>0.126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V21" s="12">
        <f>VLOOKUP(A21,'Données projet'!$A$113:$I$133,2,0)</f>
        <v>376</v>
      </c>
      <c r="BW21" s="12">
        <f>VLOOKUP(A21,'Données projet'!$A$113:$I$133,9,0)</f>
        <v>16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376</v>
      </c>
      <c r="BZ21" s="13">
        <f>BY21*VLOOKUP('Données projet'!$B$12,Paramètres!$A$1:$I$89,3,0)*VLOOKUP('Données projet'!$B$12,Paramètres!$A$1:$I$89,5,0)</f>
        <v>165.40992</v>
      </c>
      <c r="CA21" s="13">
        <f t="shared" si="39"/>
        <v>42.060366422582128</v>
      </c>
      <c r="CB21" s="20">
        <f t="shared" si="10"/>
        <v>361.34408218599719</v>
      </c>
      <c r="CC21" s="59">
        <f t="shared" si="11"/>
        <v>866.44676871133356</v>
      </c>
      <c r="CD21" s="59">
        <f ca="1">AVERAGE(OFFSET($CC$3,0,0,'Données projet'!$E$12+1,1))-AVERAGE(OFFSET($H$3,0,0,'Données projet'!$E$12+1,1))</f>
        <v>156.72204844493132</v>
      </c>
      <c r="CE21" s="59">
        <f t="shared" si="40"/>
        <v>377.72061016381247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0.28199999999999997</v>
      </c>
      <c r="CI21" s="16">
        <f>IF(ISNA(VLOOKUP(A21,'Données projet'!$A$113:$I$133,6,0)),0%,VLOOKUP(A21,'Données projet'!$A$113:$I$133,6,0)*VLOOKUP('Données projet'!$B$12,Paramètres!$A$1:$I$89,7,0))</f>
        <v>0.126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CQ21" s="12">
        <f>VLOOKUP(A21,'Données projet'!$A$139:$I$159,2,0)</f>
        <v>230</v>
      </c>
      <c r="CR21" s="12">
        <f>VLOOKUP(A21,'Données projet'!$A$139:$I$159,9,0)</f>
        <v>18</v>
      </c>
      <c r="CS21" s="12">
        <f t="array" ref="CS21">INDEX(CR:CR,MIN(IF(ISNUMBER(CR21:CR217),ROW(CR21:CR217),"")))</f>
        <v>18</v>
      </c>
      <c r="CT21" s="12">
        <f>IF('Données projet'!$A$140&gt;35,CT20+CS21-DB20,IF(A21&lt;'Données projet'!$A$140,$CQ$205^A21,IF(A21='Données projet'!$A$140,'Données projet'!$B$140,CT20+CS21-DB20)))</f>
        <v>230</v>
      </c>
      <c r="CU21" s="17">
        <f>CT21*VLOOKUP('Données projet'!$B$13,Paramètres!$A$1:$I$89,3,0)*VLOOKUP('Données projet'!$B$13,Paramètres!$A$1:$I$89,5,0)</f>
        <v>116.96880000000002</v>
      </c>
      <c r="CV21" s="13">
        <f t="shared" si="41"/>
        <v>30.966972418998537</v>
      </c>
      <c r="CW21" s="20">
        <f t="shared" si="13"/>
        <v>257.6548036297558</v>
      </c>
      <c r="CX21" s="59">
        <f t="shared" si="14"/>
        <v>762.75749015509223</v>
      </c>
      <c r="CY21" s="59">
        <f ca="1">AVERAGE(OFFSET($CX$3,0,0,'Données projet'!$E$13+1,1))-AVERAGE(OFFSET($H$3,0,0,'Données projet'!$E$13+1,1))</f>
        <v>88.170414732964616</v>
      </c>
      <c r="CZ21" s="59">
        <f t="shared" si="42"/>
        <v>281.30515544919626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0.28199999999999997</v>
      </c>
      <c r="DD21" s="16">
        <f>IF(ISNA(VLOOKUP(A21,'Données projet'!$A$139:$I$159,6,0)),0%,VLOOKUP(A21,'Données projet'!$A$139:$I$159,6,0)*VLOOKUP('Données projet'!$B$13,Paramètres!$A$1:$I$89,7,0))</f>
        <v>0.126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DL21" s="12">
        <f>VLOOKUP(A21,'Données projet'!$A$165:$I$185,2,0)</f>
        <v>230</v>
      </c>
      <c r="DM21" s="12">
        <f>VLOOKUP(A21,'Données projet'!$A$165:$I$185,9,0)</f>
        <v>18</v>
      </c>
      <c r="DN21" s="12">
        <f t="array" ref="DN21">INDEX(DM:DM,MIN(IF(ISNUMBER(DM21:DM217),ROW(DM21:DM217),"")))</f>
        <v>18</v>
      </c>
      <c r="DO21" s="12">
        <f>IF('Données projet'!$A$166&gt;35,DO20+DN21-DW20,IF(A21&lt;'Données projet'!$A$166,$DL$205^A21,IF(A21='Données projet'!$A$166,'Données projet'!$B$166,DO20+DN21-DW20)))</f>
        <v>230</v>
      </c>
      <c r="DP21" s="17">
        <f>DO21*VLOOKUP('Données projet'!$B$14,Paramètres!$A$1:$I$89,3,0)*VLOOKUP('Données projet'!$B$14,Paramètres!$A$1:$I$89,5,0)</f>
        <v>116.96880000000002</v>
      </c>
      <c r="DQ21" s="13">
        <f t="shared" si="43"/>
        <v>30.966972418998537</v>
      </c>
      <c r="DR21" s="20">
        <f t="shared" si="16"/>
        <v>257.6548036297558</v>
      </c>
      <c r="DS21" s="59">
        <f t="shared" si="17"/>
        <v>762.75749015509223</v>
      </c>
      <c r="DT21" s="59">
        <f ca="1">AVERAGE(OFFSET($DS$3,0,0,'Données projet'!$E$14+1,1))-AVERAGE(OFFSET($H$3,0,0,'Données projet'!$E$14+1,1))</f>
        <v>88.170414732964616</v>
      </c>
      <c r="DU21" s="59">
        <f t="shared" si="44"/>
        <v>281.30515544919626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0.28199999999999997</v>
      </c>
      <c r="DY21" s="16">
        <f>IF(ISNA(VLOOKUP(A21,'Données projet'!$A$165:$I$185,6,0)),0%,VLOOKUP(A21,'Données projet'!$A$165:$I$185,6,0)*VLOOKUP('Données projet'!$B$14,Paramètres!$A$1:$I$89,7,0))</f>
        <v>0.126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121.75527814327359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191.99797631137392</v>
      </c>
      <c r="H22" s="67">
        <f t="shared" si="1"/>
        <v>515.84975173858709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K22" s="12">
        <f>VLOOKUP(A22,'Données projet'!$A$35:$I$55,2,0)</f>
        <v>345</v>
      </c>
      <c r="L22" s="12">
        <f>VLOOKUP(A22,'Données projet'!$A$35:$I$55,9,0)</f>
        <v>13</v>
      </c>
      <c r="M22" s="12">
        <f t="array" ref="M22">INDEX(L:L,MIN(IF(ISNUMBER(L22:L218),ROW(L22:L218),"")))</f>
        <v>13</v>
      </c>
      <c r="N22" s="13">
        <f>IF('Données projet'!$A$36&gt;35,N21+M22-V21,IF(A22&lt;'Données projet'!$A$36,$K$205^A22,IF(A22='Données projet'!$A$36,'Données projet'!$B$36,N21+M22-V21)))</f>
        <v>345</v>
      </c>
      <c r="O22" s="13">
        <f>N22*VLOOKUP('Données projet'!$B$9,Paramètres!$A$1:$I$89,3,0)*VLOOKUP('Données projet'!$B$9,Paramètres!$A$1:$I$89,5,0)</f>
        <v>180.83520000000001</v>
      </c>
      <c r="P22" s="13">
        <f t="shared" si="33"/>
        <v>45.507952685945142</v>
      </c>
      <c r="Q22" s="20">
        <f t="shared" si="2"/>
        <v>394.21432426135442</v>
      </c>
      <c r="R22" s="59">
        <f t="shared" si="0"/>
        <v>901.69975183771135</v>
      </c>
      <c r="S22" s="59">
        <f ca="1">AVERAGE(OFFSET($R$3,0,0,'Données projet'!$E$9+1,1))-AVERAGE(OFFSET($H$3,0,0,'Données projet'!$E$9+1,1))</f>
        <v>167.42995526007479</v>
      </c>
      <c r="T22" s="59">
        <f t="shared" si="34"/>
        <v>397.36718389105215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0.28199999999999997</v>
      </c>
      <c r="X22" s="16">
        <f>IF(ISNA(VLOOKUP(A22,'Données projet'!$A$35:$I$55,6,0)),0%,VLOOKUP(A22,'Données projet'!$A$35:$I$55,6,0)*VLOOKUP('Données projet'!$B$9,Paramètres!$A$1:$I$89,7,0))</f>
        <v>0.126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AF22" s="12">
        <f>VLOOKUP(A22,'Données projet'!$A$61:$I$81,2,0)</f>
        <v>350</v>
      </c>
      <c r="AG22" s="12">
        <f>VLOOKUP(A22,'Données projet'!$A$61:$I$81,9,0)</f>
        <v>26</v>
      </c>
      <c r="AH22" s="12">
        <f t="array" ref="AH22">INDEX(AG:AG,MIN(IF(ISNUMBER(AG22:AG218),ROW(AG22:AG218),"")))</f>
        <v>26</v>
      </c>
      <c r="AI22" s="13">
        <f>IF('Données projet'!$A$62&gt;35,AI21+AH22-AQ21,IF(A22&lt;'Données projet'!$A$62,$AF$205^A22,IF(A22='Données projet'!$A$62,'Données projet'!$B$62,AI21+AH22-AQ21)))</f>
        <v>350</v>
      </c>
      <c r="AJ22" s="13">
        <f>AI22*VLOOKUP('Données projet'!$B$10,Paramètres!$A$1:$I$89,3,0)*VLOOKUP('Données projet'!$B$10,Paramètres!$A$1:$I$89,5,0)</f>
        <v>183.45600000000002</v>
      </c>
      <c r="AK22" s="13">
        <f t="shared" si="35"/>
        <v>46.090229375321144</v>
      </c>
      <c r="AL22" s="20">
        <f t="shared" si="4"/>
        <v>399.79301616201769</v>
      </c>
      <c r="AM22" s="59">
        <f t="shared" si="5"/>
        <v>907.27844373837456</v>
      </c>
      <c r="AN22" s="59">
        <f ca="1">AVERAGE(OFFSET($AM$3,0,0,'Données projet'!$E$10+1,1))-AVERAGE(OFFSET($H$3,0,0,'Données projet'!$E$10+1,1))</f>
        <v>127.55710992710948</v>
      </c>
      <c r="AO22" s="59">
        <f t="shared" si="36"/>
        <v>417.43085823929903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0.28199999999999997</v>
      </c>
      <c r="AS22" s="16">
        <f>IF(ISNA(VLOOKUP(A22,'Données projet'!$A$61:$I$81,6,0)),0%,VLOOKUP(A22,'Données projet'!$A$61:$I$81,6,0)*VLOOKUP('Données projet'!$B$10,Paramètres!$A$1:$I$89,7,0))</f>
        <v>0.126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A22" s="12">
        <f>VLOOKUP(A22,'Données projet'!$A$87:$I$107,2,0)</f>
        <v>350</v>
      </c>
      <c r="BB22" s="12">
        <f>VLOOKUP(A22,'Données projet'!$A$87:$I$107,9,0)</f>
        <v>26</v>
      </c>
      <c r="BC22" s="12">
        <f t="array" ref="BC22">INDEX(BB:BB,MIN(IF(ISNUMBER(BB22:BB218),ROW(BB22:BB218),"")))</f>
        <v>26</v>
      </c>
      <c r="BD22" s="12">
        <f>IF('Données projet'!$A$88&gt;35,BD21+BC22-BL21,IF(A22&lt;'Données projet'!$A$88,$BA$205^A22,IF(A22='Données projet'!$A$88,'Données projet'!$B$88,BD21+BC22-BL21)))</f>
        <v>350</v>
      </c>
      <c r="BE22" s="13">
        <f>BD22*VLOOKUP('Données projet'!$B$11,Paramètres!$A$1:$I$89,3,0)*VLOOKUP('Données projet'!$B$11,Paramètres!$A$1:$I$89,5,0)</f>
        <v>177.99600000000001</v>
      </c>
      <c r="BF22" s="13">
        <f t="shared" si="37"/>
        <v>44.876042989096391</v>
      </c>
      <c r="BG22" s="20">
        <f t="shared" si="7"/>
        <v>388.16880820600954</v>
      </c>
      <c r="BH22" s="59">
        <f t="shared" si="8"/>
        <v>895.65423578236641</v>
      </c>
      <c r="BI22" s="59">
        <f ca="1">AVERAGE(OFFSET($BH$3,0,0,'Données projet'!$E$11+1,1))-AVERAGE(OFFSET($H$3,0,0,'Données projet'!$E$11+1,1))</f>
        <v>123.48243581061803</v>
      </c>
      <c r="BJ22" s="59">
        <f t="shared" si="38"/>
        <v>405.05940798527138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0.28199999999999997</v>
      </c>
      <c r="BN22" s="16">
        <f>IF(ISNA(VLOOKUP(A22,'Données projet'!$A$87:$I$107,6,0)),0%,VLOOKUP(A22,'Données projet'!$A$87:$I$107,6,0)*VLOOKUP('Données projet'!$B$11,Paramètres!$A$1:$I$89,7,0))</f>
        <v>0.126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V22" s="12">
        <f>VLOOKUP(A22,'Données projet'!$A$113:$I$133,2,0)</f>
        <v>389</v>
      </c>
      <c r="BW22" s="12">
        <f>VLOOKUP(A22,'Données projet'!$A$113:$I$133,9,0)</f>
        <v>13</v>
      </c>
      <c r="BX22" s="12">
        <f t="array" ref="BX22">INDEX(BW:BW,MIN(IF(ISNUMBER(BW22:BW218),ROW(BW22:BW218),"")))</f>
        <v>13</v>
      </c>
      <c r="BY22" s="12">
        <f>IF('Données projet'!$A$114&gt;35,BY21+BX22-CG21,IF(A22&lt;'Données projet'!$A$114,$BV$205^A22,IF(A22='Données projet'!$A$114,'Données projet'!$B$114,BY21+BX22-CG21)))</f>
        <v>389</v>
      </c>
      <c r="BZ22" s="13">
        <f>BY22*VLOOKUP('Données projet'!$B$12,Paramètres!$A$1:$I$89,3,0)*VLOOKUP('Données projet'!$B$12,Paramètres!$A$1:$I$89,5,0)</f>
        <v>171.12888000000001</v>
      </c>
      <c r="CA22" s="13">
        <f t="shared" si="39"/>
        <v>43.342757679828409</v>
      </c>
      <c r="CB22" s="20">
        <f t="shared" si="10"/>
        <v>373.53810229236774</v>
      </c>
      <c r="CC22" s="59">
        <f t="shared" si="11"/>
        <v>881.02352986872461</v>
      </c>
      <c r="CD22" s="59">
        <f ca="1">AVERAGE(OFFSET($CC$3,0,0,'Données projet'!$E$12+1,1))-AVERAGE(OFFSET($H$3,0,0,'Données projet'!$E$12+1,1))</f>
        <v>156.72204844493132</v>
      </c>
      <c r="CE22" s="59">
        <f t="shared" si="40"/>
        <v>377.72061016381247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0.28199999999999997</v>
      </c>
      <c r="CI22" s="16">
        <f>IF(ISNA(VLOOKUP(A22,'Données projet'!$A$113:$I$133,6,0)),0%,VLOOKUP(A22,'Données projet'!$A$113:$I$133,6,0)*VLOOKUP('Données projet'!$B$12,Paramètres!$A$1:$I$89,7,0))</f>
        <v>0.126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CQ22" s="12">
        <f>VLOOKUP(A22,'Données projet'!$A$139:$I$159,2,0)</f>
        <v>245</v>
      </c>
      <c r="CR22" s="12">
        <f>VLOOKUP(A22,'Données projet'!$A$139:$I$159,9,0)</f>
        <v>15</v>
      </c>
      <c r="CS22" s="12">
        <f t="array" ref="CS22">INDEX(CR:CR,MIN(IF(ISNUMBER(CR22:CR218),ROW(CR22:CR218),"")))</f>
        <v>15</v>
      </c>
      <c r="CT22" s="12">
        <f>IF('Données projet'!$A$140&gt;35,CT21+CS22-DB21,IF(A22&lt;'Données projet'!$A$140,$CQ$205^A22,IF(A22='Données projet'!$A$140,'Données projet'!$B$140,CT21+CS22-DB21)))</f>
        <v>245</v>
      </c>
      <c r="CU22" s="17">
        <f>CT22*VLOOKUP('Données projet'!$B$13,Paramètres!$A$1:$I$89,3,0)*VLOOKUP('Données projet'!$B$13,Paramètres!$A$1:$I$89,5,0)</f>
        <v>124.59720000000002</v>
      </c>
      <c r="CV22" s="13">
        <f t="shared" si="41"/>
        <v>32.744863437292544</v>
      </c>
      <c r="CW22" s="20">
        <f t="shared" si="13"/>
        <v>274.03742715328451</v>
      </c>
      <c r="CX22" s="59">
        <f t="shared" si="14"/>
        <v>781.52285472964138</v>
      </c>
      <c r="CY22" s="59">
        <f ca="1">AVERAGE(OFFSET($CX$3,0,0,'Données projet'!$E$13+1,1))-AVERAGE(OFFSET($H$3,0,0,'Données projet'!$E$13+1,1))</f>
        <v>88.170414732964616</v>
      </c>
      <c r="CZ22" s="59">
        <f t="shared" si="42"/>
        <v>281.30515544919626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0.28199999999999997</v>
      </c>
      <c r="DD22" s="16">
        <f>IF(ISNA(VLOOKUP(A22,'Données projet'!$A$139:$I$159,6,0)),0%,VLOOKUP(A22,'Données projet'!$A$139:$I$159,6,0)*VLOOKUP('Données projet'!$B$13,Paramètres!$A$1:$I$89,7,0))</f>
        <v>0.126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DL22" s="12">
        <f>VLOOKUP(A22,'Données projet'!$A$165:$I$185,2,0)</f>
        <v>245</v>
      </c>
      <c r="DM22" s="12">
        <f>VLOOKUP(A22,'Données projet'!$A$165:$I$185,9,0)</f>
        <v>15</v>
      </c>
      <c r="DN22" s="12">
        <f t="array" ref="DN22">INDEX(DM:DM,MIN(IF(ISNUMBER(DM22:DM218),ROW(DM22:DM218),"")))</f>
        <v>15</v>
      </c>
      <c r="DO22" s="12">
        <f>IF('Données projet'!$A$166&gt;35,DO21+DN22-DW21,IF(A22&lt;'Données projet'!$A$166,$DL$205^A22,IF(A22='Données projet'!$A$166,'Données projet'!$B$166,DO21+DN22-DW21)))</f>
        <v>245</v>
      </c>
      <c r="DP22" s="17">
        <f>DO22*VLOOKUP('Données projet'!$B$14,Paramètres!$A$1:$I$89,3,0)*VLOOKUP('Données projet'!$B$14,Paramètres!$A$1:$I$89,5,0)</f>
        <v>124.59720000000002</v>
      </c>
      <c r="DQ22" s="13">
        <f t="shared" si="43"/>
        <v>32.744863437292544</v>
      </c>
      <c r="DR22" s="20">
        <f t="shared" si="16"/>
        <v>274.03742715328451</v>
      </c>
      <c r="DS22" s="59">
        <f t="shared" si="17"/>
        <v>781.52285472964138</v>
      </c>
      <c r="DT22" s="59">
        <f ca="1">AVERAGE(OFFSET($DS$3,0,0,'Données projet'!$E$14+1,1))-AVERAGE(OFFSET($H$3,0,0,'Données projet'!$E$14+1,1))</f>
        <v>88.170414732964616</v>
      </c>
      <c r="DU22" s="59">
        <f t="shared" si="44"/>
        <v>281.30515544919626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0.28199999999999997</v>
      </c>
      <c r="DY22" s="16">
        <f>IF(ISNA(VLOOKUP(A22,'Données projet'!$A$165:$I$185,6,0)),0%,VLOOKUP(A22,'Données projet'!$A$165:$I$185,6,0)*VLOOKUP('Données projet'!$B$14,Paramètres!$A$1:$I$89,7,0))</f>
        <v>0.126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122.07178327840036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200.86722235016464</v>
      </c>
      <c r="H23" s="67">
        <f t="shared" si="1"/>
        <v>517.85087537608922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K23" s="12">
        <f>VLOOKUP(A23,'Données projet'!$A$35:$I$55,2,0)</f>
        <v>355</v>
      </c>
      <c r="L23" s="12">
        <f>VLOOKUP(A23,'Données projet'!$A$35:$I$55,9,0)</f>
        <v>10</v>
      </c>
      <c r="M23" s="12">
        <f t="array" ref="M23">INDEX(L:L,MIN(IF(ISNUMBER(L23:L219),ROW(L23:L219),"")))</f>
        <v>10</v>
      </c>
      <c r="N23" s="13">
        <f>IF('Données projet'!$A$36&gt;35,N22+M23-V22,IF(A23&lt;'Données projet'!$A$36,$K$205^A23,IF(A23='Données projet'!$A$36,'Données projet'!$B$36,N22+M23-V22)))</f>
        <v>355</v>
      </c>
      <c r="O23" s="13">
        <f>N23*VLOOKUP('Données projet'!$B$9,Paramètres!$A$1:$I$89,3,0)*VLOOKUP('Données projet'!$B$9,Paramètres!$A$1:$I$89,5,0)</f>
        <v>186.07680000000002</v>
      </c>
      <c r="P23" s="13">
        <f t="shared" si="33"/>
        <v>46.671538591528673</v>
      </c>
      <c r="Q23" s="20">
        <f t="shared" si="2"/>
        <v>405.37002304691242</v>
      </c>
      <c r="R23" s="59">
        <f t="shared" si="0"/>
        <v>915.21805926714137</v>
      </c>
      <c r="S23" s="59">
        <f ca="1">AVERAGE(OFFSET($R$3,0,0,'Données projet'!$E$9+1,1))-AVERAGE(OFFSET($H$3,0,0,'Données projet'!$E$9+1,1))</f>
        <v>167.42995526007479</v>
      </c>
      <c r="T23" s="59">
        <f t="shared" si="34"/>
        <v>397.36718389105215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355</v>
      </c>
      <c r="W23" s="16">
        <f>IF(ISNA(VLOOKUP(A23,'Données projet'!$A$35:$I$55,5,0)),0%,VLOOKUP(A23,'Données projet'!$A$35:$I$55,5,0)*VLOOKUP('Données projet'!$B$9,Paramètres!$A$1:$I$89,7,0))</f>
        <v>0.28199999999999997</v>
      </c>
      <c r="X23" s="16">
        <f>IF(ISNA(VLOOKUP(A23,'Données projet'!$A$35:$I$55,6,0)),0%,VLOOKUP(A23,'Données projet'!$A$35:$I$55,6,0)*VLOOKUP('Données projet'!$B$9,Paramètres!$A$1:$I$89,7,0))</f>
        <v>0.126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58.008074182554076</v>
      </c>
      <c r="AA23" s="21">
        <f>EXP(-LN(2)/25)*AA22+(1-EXP(-LN(2)/25))/(LN(2)/25)*Calculateur!V23*Calculateur!X23*VLOOKUP('Données projet'!$B$9,Paramètres!$A$1:$I$89,3,0)*0.475*44/12</f>
        <v>25.816450215435182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83.824524397989251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AF23" s="12">
        <f>VLOOKUP(A23,'Données projet'!$A$61:$I$81,2,0)</f>
        <v>373</v>
      </c>
      <c r="AG23" s="12">
        <f>VLOOKUP(A23,'Données projet'!$A$61:$I$81,9,0)</f>
        <v>23</v>
      </c>
      <c r="AH23" s="12">
        <f t="array" ref="AH23">INDEX(AG:AG,MIN(IF(ISNUMBER(AG23:AG219),ROW(AG23:AG219),"")))</f>
        <v>23</v>
      </c>
      <c r="AI23" s="13">
        <f>IF('Données projet'!$A$62&gt;35,AI22+AH23-AQ22,IF(A23&lt;'Données projet'!$A$62,$AF$205^A23,IF(A23='Données projet'!$A$62,'Données projet'!$B$62,AI22+AH23-AQ22)))</f>
        <v>373</v>
      </c>
      <c r="AJ23" s="13">
        <f>AI23*VLOOKUP('Données projet'!$B$10,Paramètres!$A$1:$I$89,3,0)*VLOOKUP('Données projet'!$B$10,Paramètres!$A$1:$I$89,5,0)</f>
        <v>195.51168000000001</v>
      </c>
      <c r="AK23" s="13">
        <f t="shared" si="35"/>
        <v>48.756471614445431</v>
      </c>
      <c r="AL23" s="20">
        <f t="shared" si="4"/>
        <v>425.43369739515919</v>
      </c>
      <c r="AM23" s="59">
        <f t="shared" si="5"/>
        <v>935.28173361538825</v>
      </c>
      <c r="AN23" s="59">
        <f ca="1">AVERAGE(OFFSET($AM$3,0,0,'Données projet'!$E$10+1,1))-AVERAGE(OFFSET($H$3,0,0,'Données projet'!$E$10+1,1))</f>
        <v>127.55710992710948</v>
      </c>
      <c r="AO23" s="59">
        <f t="shared" si="36"/>
        <v>417.43085823929903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373</v>
      </c>
      <c r="AR23" s="16">
        <f>IF(ISNA(VLOOKUP(A23,'Données projet'!$A$61:$I$81,5,0)),0%,VLOOKUP(A23,'Données projet'!$A$61:$I$81,5,0)*VLOOKUP('Données projet'!$B$10,Paramètres!$A$1:$I$89,7,0))</f>
        <v>0.28199999999999997</v>
      </c>
      <c r="AS23" s="16">
        <f>IF(ISNA(VLOOKUP(A23,'Données projet'!$A$61:$I$81,6,0)),0%,VLOOKUP(A23,'Données projet'!$A$61:$I$81,6,0)*VLOOKUP('Données projet'!$B$10,Paramètres!$A$1:$I$89,7,0))</f>
        <v>0.126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60.949328648148366</v>
      </c>
      <c r="AV23" s="21">
        <f>EXP(-LN(2)/25)*AV22+(1-EXP(-LN(2)/25))/(LN(2)/25)*Calculateur!AQ23*Calculateur!AS23*VLOOKUP('Données projet'!$B$10,Paramètres!$A$1:$I$89,3,0)*0.475*44/12</f>
        <v>27.125453324950204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88.074781973098567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A23" s="12">
        <f>VLOOKUP(A23,'Données projet'!$A$87:$I$107,2,0)</f>
        <v>373</v>
      </c>
      <c r="BB23" s="12">
        <f>VLOOKUP(A23,'Données projet'!$A$87:$I$107,9,0)</f>
        <v>23</v>
      </c>
      <c r="BC23" s="12">
        <f t="array" ref="BC23">INDEX(BB:BB,MIN(IF(ISNUMBER(BB23:BB219),ROW(BB23:BB219),"")))</f>
        <v>23</v>
      </c>
      <c r="BD23" s="12">
        <f>IF('Données projet'!$A$88&gt;35,BD22+BC23-BL22,IF(A23&lt;'Données projet'!$A$88,$BA$205^A23,IF(A23='Données projet'!$A$88,'Données projet'!$B$88,BD22+BC23-BL22)))</f>
        <v>373</v>
      </c>
      <c r="BE23" s="13">
        <f>BD23*VLOOKUP('Données projet'!$B$11,Paramètres!$A$1:$I$89,3,0)*VLOOKUP('Données projet'!$B$11,Paramètres!$A$1:$I$89,5,0)</f>
        <v>189.69288</v>
      </c>
      <c r="BF23" s="13">
        <f t="shared" si="37"/>
        <v>47.472046588209572</v>
      </c>
      <c r="BG23" s="20">
        <f t="shared" si="7"/>
        <v>413.06224714113165</v>
      </c>
      <c r="BH23" s="59">
        <f t="shared" si="8"/>
        <v>922.9102833613606</v>
      </c>
      <c r="BI23" s="59">
        <f ca="1">AVERAGE(OFFSET($BH$3,0,0,'Données projet'!$E$11+1,1))-AVERAGE(OFFSET($H$3,0,0,'Données projet'!$E$11+1,1))</f>
        <v>123.48243581061803</v>
      </c>
      <c r="BJ23" s="59">
        <f t="shared" si="38"/>
        <v>405.05940798527138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373</v>
      </c>
      <c r="BM23" s="16">
        <f>IF(ISNA(VLOOKUP(A23,'Données projet'!$A$87:$I$107,5,0)),0%,VLOOKUP(A23,'Données projet'!$A$87:$I$107,5,0)*VLOOKUP('Données projet'!$B$11,Paramètres!$A$1:$I$89,7,0))</f>
        <v>0.28199999999999997</v>
      </c>
      <c r="BN23" s="16">
        <f>IF(ISNA(VLOOKUP(A23,'Données projet'!$A$87:$I$107,6,0)),0%,VLOOKUP(A23,'Données projet'!$A$87:$I$107,6,0)*VLOOKUP('Données projet'!$B$11,Paramètres!$A$1:$I$89,7,0))</f>
        <v>0.126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59.135360533620137</v>
      </c>
      <c r="BQ23" s="21">
        <f>EXP(-LN(2)/25)*BQ22+(1-EXP(-LN(2)/25))/(LN(2)/25)*Calculateur!BL23*Calculateur!BN23*VLOOKUP('Données projet'!$B$11,Paramètres!$A$1:$I$89,3,0)*0.475*44/12</f>
        <v>26.318148166469541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85.453508700089685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V23" s="12">
        <f>VLOOKUP(A23,'Données projet'!$A$113:$I$133,2,0)</f>
        <v>402</v>
      </c>
      <c r="BW23" s="12">
        <f>VLOOKUP(A23,'Données projet'!$A$113:$I$133,9,0)</f>
        <v>13</v>
      </c>
      <c r="BX23" s="12">
        <f t="array" ref="BX23">INDEX(BW:BW,MIN(IF(ISNUMBER(BW23:BW219),ROW(BW23:BW219),"")))</f>
        <v>13</v>
      </c>
      <c r="BY23" s="12">
        <f>IF('Données projet'!$A$114&gt;35,BY22+BX23-CG22,IF(A23&lt;'Données projet'!$A$114,$BV$205^A23,IF(A23='Données projet'!$A$114,'Données projet'!$B$114,BY22+BX23-CG22)))</f>
        <v>402</v>
      </c>
      <c r="BZ23" s="13">
        <f>BY23*VLOOKUP('Données projet'!$B$12,Paramètres!$A$1:$I$89,3,0)*VLOOKUP('Données projet'!$B$12,Paramètres!$A$1:$I$89,5,0)</f>
        <v>176.84783999999999</v>
      </c>
      <c r="CA23" s="13">
        <f t="shared" si="39"/>
        <v>44.620169178759461</v>
      </c>
      <c r="CB23" s="20">
        <f t="shared" si="10"/>
        <v>385.72344931967268</v>
      </c>
      <c r="CC23" s="59">
        <f t="shared" si="11"/>
        <v>895.57148553990169</v>
      </c>
      <c r="CD23" s="59">
        <f ca="1">AVERAGE(OFFSET($CC$3,0,0,'Données projet'!$E$12+1,1))-AVERAGE(OFFSET($H$3,0,0,'Données projet'!$E$12+1,1))</f>
        <v>156.72204844493132</v>
      </c>
      <c r="CE23" s="59">
        <f t="shared" si="40"/>
        <v>377.72061016381247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402</v>
      </c>
      <c r="CH23" s="16">
        <f>IF(ISNA(VLOOKUP(A23,'Données projet'!$A$113:$I$133,5,0)),0%,VLOOKUP(A23,'Données projet'!$A$113:$I$133,5,0)*VLOOKUP('Données projet'!$B$12,Paramètres!$A$1:$I$89,7,0))</f>
        <v>0.28199999999999997</v>
      </c>
      <c r="CI23" s="16">
        <f>IF(ISNA(VLOOKUP(A23,'Données projet'!$A$113:$I$133,6,0)),0%,VLOOKUP(A23,'Données projet'!$A$113:$I$133,6,0)*VLOOKUP('Données projet'!$B$12,Paramètres!$A$1:$I$89,7,0))</f>
        <v>0.126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55.131013762835835</v>
      </c>
      <c r="CL23" s="21">
        <f>EXP(-LN(2)/25)*CL22+(1-EXP(-LN(2)/25))/(LN(2)/25)*Calculateur!CG23*Calculateur!CI23*VLOOKUP('Données projet'!$B$12,Paramètres!$A$1:$I$89,3,0)*0.475*44/12</f>
        <v>24.536016618230999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79.667030381066837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CQ23" s="12">
        <f>VLOOKUP(A23,'Données projet'!$A$139:$I$159,2,0)</f>
        <v>259</v>
      </c>
      <c r="CR23" s="12">
        <f>VLOOKUP(A23,'Données projet'!$A$139:$I$159,9,0)</f>
        <v>14</v>
      </c>
      <c r="CS23" s="12">
        <f t="array" ref="CS23">INDEX(CR:CR,MIN(IF(ISNUMBER(CR23:CR219),ROW(CR23:CR219),"")))</f>
        <v>14</v>
      </c>
      <c r="CT23" s="12">
        <f>IF('Données projet'!$A$140&gt;35,CT22+CS23-DB22,IF(A23&lt;'Données projet'!$A$140,$CQ$205^A23,IF(A23='Données projet'!$A$140,'Données projet'!$B$140,CT22+CS23-DB22)))</f>
        <v>259</v>
      </c>
      <c r="CU23" s="17">
        <f>CT23*VLOOKUP('Données projet'!$B$13,Paramètres!$A$1:$I$89,3,0)*VLOOKUP('Données projet'!$B$13,Paramètres!$A$1:$I$89,5,0)</f>
        <v>131.71704</v>
      </c>
      <c r="CV23" s="13">
        <f t="shared" si="41"/>
        <v>34.392813361754953</v>
      </c>
      <c r="CW23" s="20">
        <f t="shared" si="13"/>
        <v>289.30799460505648</v>
      </c>
      <c r="CX23" s="59">
        <f t="shared" si="14"/>
        <v>799.15603082528548</v>
      </c>
      <c r="CY23" s="59">
        <f ca="1">AVERAGE(OFFSET($CX$3,0,0,'Données projet'!$E$13+1,1))-AVERAGE(OFFSET($H$3,0,0,'Données projet'!$E$13+1,1))</f>
        <v>88.170414732964616</v>
      </c>
      <c r="CZ23" s="59">
        <f t="shared" si="42"/>
        <v>281.30515544919626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259</v>
      </c>
      <c r="DC23" s="16">
        <f>IF(ISNA(VLOOKUP(A23,'Données projet'!$A$139:$I$159,5,0)),0%,VLOOKUP(A23,'Données projet'!$A$139:$I$159,5,0)*VLOOKUP('Données projet'!$B$13,Paramètres!$A$1:$I$89,7,0))</f>
        <v>0.28199999999999997</v>
      </c>
      <c r="DD23" s="16">
        <f>IF(ISNA(VLOOKUP(A23,'Données projet'!$A$139:$I$159,6,0)),0%,VLOOKUP(A23,'Données projet'!$A$139:$I$159,6,0)*VLOOKUP('Données projet'!$B$13,Paramètres!$A$1:$I$89,7,0))</f>
        <v>0.126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41.061818708331408</v>
      </c>
      <c r="DG23" s="21">
        <f>EXP(-LN(2)/25)*DG22+(1-EXP(-LN(2)/25))/(LN(2)/25)*Calculateur!DB23*Calculateur!DD23*VLOOKUP('Données projet'!$B$13,Paramètres!$A$1:$I$89,3,0)*0.475*44/12</f>
        <v>18.274531836771079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59.336350545102491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DL23" s="12">
        <f>VLOOKUP(A23,'Données projet'!$A$165:$I$185,2,0)</f>
        <v>259</v>
      </c>
      <c r="DM23" s="12">
        <f>VLOOKUP(A23,'Données projet'!$A$165:$I$185,9,0)</f>
        <v>14</v>
      </c>
      <c r="DN23" s="12">
        <f t="array" ref="DN23">INDEX(DM:DM,MIN(IF(ISNUMBER(DM23:DM219),ROW(DM23:DM219),"")))</f>
        <v>14</v>
      </c>
      <c r="DO23" s="12">
        <f>IF('Données projet'!$A$166&gt;35,DO22+DN23-DW22,IF(A23&lt;'Données projet'!$A$166,$DL$205^A23,IF(A23='Données projet'!$A$166,'Données projet'!$B$166,DO22+DN23-DW22)))</f>
        <v>259</v>
      </c>
      <c r="DP23" s="17">
        <f>DO23*VLOOKUP('Données projet'!$B$14,Paramètres!$A$1:$I$89,3,0)*VLOOKUP('Données projet'!$B$14,Paramètres!$A$1:$I$89,5,0)</f>
        <v>131.71704</v>
      </c>
      <c r="DQ23" s="13">
        <f t="shared" si="43"/>
        <v>34.392813361754953</v>
      </c>
      <c r="DR23" s="20">
        <f t="shared" si="16"/>
        <v>289.30799460505648</v>
      </c>
      <c r="DS23" s="59">
        <f t="shared" si="17"/>
        <v>799.15603082528548</v>
      </c>
      <c r="DT23" s="59">
        <f ca="1">AVERAGE(OFFSET($DS$3,0,0,'Données projet'!$E$14+1,1))-AVERAGE(OFFSET($H$3,0,0,'Données projet'!$E$14+1,1))</f>
        <v>88.170414732964616</v>
      </c>
      <c r="DU23" s="59">
        <f t="shared" si="44"/>
        <v>281.30515544919626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259</v>
      </c>
      <c r="DX23" s="16">
        <f>IF(ISNA(VLOOKUP(A23,'Données projet'!$A$165:$I$185,5,0)),0%,VLOOKUP(A23,'Données projet'!$A$165:$I$185,5,0)*VLOOKUP('Données projet'!$B$14,Paramètres!$A$1:$I$89,7,0))</f>
        <v>0.28199999999999997</v>
      </c>
      <c r="DY23" s="16">
        <f>IF(ISNA(VLOOKUP(A23,'Données projet'!$A$165:$I$185,6,0)),0%,VLOOKUP(A23,'Données projet'!$A$165:$I$185,6,0)*VLOOKUP('Données projet'!$B$14,Paramètres!$A$1:$I$89,7,0))</f>
        <v>0.126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41.061818708331408</v>
      </c>
      <c r="EB23" s="21">
        <f>EXP(-LN(2)/25)*EB22+(1-EXP(-LN(2)/25))/(LN(2)/25)*Calculateur!DW23*Calculateur!DY23*VLOOKUP('Données projet'!$B$14,Paramètres!$A$1:$I$89,3,0)*0.475*44/12</f>
        <v>18.274531836771079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59.336350545102491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122.38279775703217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209.72482663124114</v>
      </c>
      <c r="H24" s="67">
        <f t="shared" si="1"/>
        <v>519.84937234200709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167.42995526007479</v>
      </c>
      <c r="T24" s="59">
        <f t="shared" si="34"/>
        <v>397.36718389105215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56.870571229265813</v>
      </c>
      <c r="AA24" s="21">
        <f>EXP(-LN(2)/25)*AA23+(1-EXP(-LN(2)/25))/(LN(2)/25)*Calculateur!V24*Calculateur!X24*VLOOKUP('Données projet'!$B$9,Paramètres!$A$1:$I$89,3,0)*0.475*44/12</f>
        <v>25.110498026665994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81.9810692559318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127.55710992710948</v>
      </c>
      <c r="AO24" s="59">
        <f t="shared" si="36"/>
        <v>417.43085823929903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59.754149488777884</v>
      </c>
      <c r="AV24" s="21">
        <f>EXP(-LN(2)/25)*AV23+(1-EXP(-LN(2)/25))/(LN(2)/25)*Calculateur!AQ24*Calculateur!AS24*VLOOKUP('Données projet'!$B$10,Paramètres!$A$1:$I$89,3,0)*0.475*44/12</f>
        <v>26.383706377313846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86.137855866091726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123.48243581061803</v>
      </c>
      <c r="BJ24" s="59">
        <f t="shared" si="38"/>
        <v>405.05940798527138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57.97575218256425</v>
      </c>
      <c r="BQ24" s="21">
        <f>EXP(-LN(2)/25)*BQ23+(1-EXP(-LN(2)/25))/(LN(2)/25)*Calculateur!BL24*Calculateur!BN24*VLOOKUP('Données projet'!$B$11,Paramètres!$A$1:$I$89,3,0)*0.475*44/12</f>
        <v>25.598477020846172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83.574229203410425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156.72204844493132</v>
      </c>
      <c r="CE24" s="59">
        <f t="shared" si="40"/>
        <v>377.72061016381247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54.049928209544667</v>
      </c>
      <c r="CL24" s="21">
        <f>EXP(-LN(2)/25)*CL23+(1-EXP(-LN(2)/25))/(LN(2)/25)*Calculateur!CG24*Calculateur!CI24*VLOOKUP('Données projet'!$B$12,Paramètres!$A$1:$I$89,3,0)*0.475*44/12</f>
        <v>23.865077953512436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77.9150061630571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88.170414732964616</v>
      </c>
      <c r="CZ24" s="59">
        <f t="shared" si="42"/>
        <v>281.30515544919626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40.256621488697427</v>
      </c>
      <c r="DG24" s="21">
        <f>EXP(-LN(2)/25)*DG23+(1-EXP(-LN(2)/25))/(LN(2)/25)*Calculateur!DB24*Calculateur!DD24*VLOOKUP('Données projet'!$B$13,Paramètres!$A$1:$I$89,3,0)*0.475*44/12</f>
        <v>17.774813802678711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58.031435291376141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88.170414732964616</v>
      </c>
      <c r="DU24" s="59">
        <f t="shared" si="44"/>
        <v>281.30515544919626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40.256621488697427</v>
      </c>
      <c r="EB24" s="21">
        <f>EXP(-LN(2)/25)*EB23+(1-EXP(-LN(2)/25))/(LN(2)/25)*Calculateur!DW24*Calculateur!DY24*VLOOKUP('Données projet'!$B$14,Paramètres!$A$1:$I$89,3,0)*0.475*44/12</f>
        <v>17.774813802678711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58.031435291376141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122.68841682978392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218.57140681808366</v>
      </c>
      <c r="H25" s="67">
        <f t="shared" si="1"/>
        <v>521.84538199666349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167.42995526007479</v>
      </c>
      <c r="T25" s="59">
        <f t="shared" si="34"/>
        <v>397.36718389105215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55.755374015083241</v>
      </c>
      <c r="AA25" s="21">
        <f>EXP(-LN(2)/25)*AA24+(1-EXP(-LN(2)/25))/(LN(2)/25)*Calculateur!V25*Calculateur!X25*VLOOKUP('Données projet'!$B$9,Paramètres!$A$1:$I$89,3,0)*0.475*44/12</f>
        <v>24.423850137623113</v>
      </c>
      <c r="AB25" s="21">
        <f>EXP(-LN(2)/2)*AB24+(1-EXP(-LN(2)/2))/(LN(2)/2)*V25*Y25*VLOOKUP('Données projet'!$B$9,Paramètres!$A$1:$I$89,3,0)*0.475*44/12</f>
        <v>0</v>
      </c>
      <c r="AC25" s="22">
        <f t="shared" si="3"/>
        <v>80.179224152706354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127.55710992710948</v>
      </c>
      <c r="AO25" s="59">
        <f t="shared" si="36"/>
        <v>417.43085823929903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58.582407063735353</v>
      </c>
      <c r="AV25" s="21">
        <f>EXP(-LN(2)/25)*AV24+(1-EXP(-LN(2)/25))/(LN(2)/25)*Calculateur!AQ25*Calculateur!AS25*VLOOKUP('Données projet'!$B$10,Paramètres!$A$1:$I$89,3,0)*0.475*44/12</f>
        <v>25.66224253896738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84.244649602702737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123.48243581061803</v>
      </c>
      <c r="BJ25" s="59">
        <f t="shared" si="38"/>
        <v>405.05940798527138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56.838883043981319</v>
      </c>
      <c r="BQ25" s="21">
        <f>EXP(-LN(2)/25)*BQ24+(1-EXP(-LN(2)/25))/(LN(2)/25)*Calculateur!BL25*Calculateur!BN25*VLOOKUP('Données projet'!$B$11,Paramètres!$A$1:$I$89,3,0)*0.475*44/12</f>
        <v>24.898485320545731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81.737368364527043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156.72204844493132</v>
      </c>
      <c r="CE25" s="59">
        <f t="shared" si="40"/>
        <v>377.72061016381247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52.990042084556464</v>
      </c>
      <c r="CL25" s="21">
        <f>EXP(-LN(2)/25)*CL24+(1-EXP(-LN(2)/25))/(LN(2)/25)*Calculateur!CG25*Calculateur!CI25*VLOOKUP('Données projet'!$B$12,Paramètres!$A$1:$I$89,3,0)*0.475*44/12</f>
        <v>23.212486141863735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76.202528226420199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88.170414732964616</v>
      </c>
      <c r="CZ25" s="59">
        <f t="shared" si="42"/>
        <v>281.30515544919626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39.467213695418664</v>
      </c>
      <c r="DG25" s="21">
        <f>EXP(-LN(2)/25)*DG24+(1-EXP(-LN(2)/25))/(LN(2)/25)*Calculateur!DB25*Calculateur!DD25*VLOOKUP('Données projet'!$B$13,Paramètres!$A$1:$I$89,3,0)*0.475*44/12</f>
        <v>17.288760584507628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56.755974279926292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88.170414732964616</v>
      </c>
      <c r="DU25" s="59">
        <f t="shared" si="44"/>
        <v>281.30515544919626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39.467213695418664</v>
      </c>
      <c r="EB25" s="21">
        <f>EXP(-LN(2)/25)*EB24+(1-EXP(-LN(2)/25))/(LN(2)/25)*Calculateur!DW25*Calculateur!DY25*VLOOKUP('Données projet'!$B$14,Paramètres!$A$1:$I$89,3,0)*0.475*44/12</f>
        <v>17.288760584507628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56.755974279926292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122.9887340948853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227.40752124892776</v>
      </c>
      <c r="H26" s="67">
        <f t="shared" si="1"/>
        <v>523.83903031512273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167.42995526007479</v>
      </c>
      <c r="T26" s="59">
        <f t="shared" si="34"/>
        <v>397.36718389105215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54.662045138067654</v>
      </c>
      <c r="AA26" s="21">
        <f>EXP(-LN(2)/25)*AA25+(1-EXP(-LN(2)/25))/(LN(2)/25)*Calculateur!V26*Calculateur!X26*VLOOKUP('Données projet'!$B$9,Paramètres!$A$1:$I$89,3,0)*0.475*44/12</f>
        <v>23.755978671215352</v>
      </c>
      <c r="AB26" s="21">
        <f>EXP(-LN(2)/2)*AB25+(1-EXP(-LN(2)/2))/(LN(2)/2)*V26*Y26*VLOOKUP('Données projet'!$B$9,Paramètres!$A$1:$I$89,3,0)*0.475*44/12</f>
        <v>0</v>
      </c>
      <c r="AC26" s="22">
        <f t="shared" si="3"/>
        <v>78.418023809283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127.55710992710948</v>
      </c>
      <c r="AO26" s="59">
        <f t="shared" si="36"/>
        <v>417.43085823929903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57.433641792955598</v>
      </c>
      <c r="AV26" s="21">
        <f>EXP(-LN(2)/25)*AV25+(1-EXP(-LN(2)/25))/(LN(2)/25)*Calculateur!AQ26*Calculateur!AS26*VLOOKUP('Données projet'!$B$10,Paramètres!$A$1:$I$89,3,0)*0.475*44/12</f>
        <v>24.960507167220634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82.394148960176238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123.48243581061803</v>
      </c>
      <c r="BJ26" s="59">
        <f t="shared" si="38"/>
        <v>405.05940798527138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55.724307215784293</v>
      </c>
      <c r="BQ26" s="21">
        <f>EXP(-LN(2)/25)*BQ25+(1-EXP(-LN(2)/25))/(LN(2)/25)*Calculateur!BL26*Calculateur!BN26*VLOOKUP('Données projet'!$B$11,Paramètres!$A$1:$I$89,3,0)*0.475*44/12</f>
        <v>24.217634930100971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79.941942145885264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156.72204844493132</v>
      </c>
      <c r="CE26" s="59">
        <f t="shared" si="40"/>
        <v>377.72061016381247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51.950939680012574</v>
      </c>
      <c r="CL26" s="21">
        <f>EXP(-LN(2)/25)*CL25+(1-EXP(-LN(2)/25))/(LN(2)/25)*Calculateur!CG26*Calculateur!CI26*VLOOKUP('Données projet'!$B$12,Paramètres!$A$1:$I$89,3,0)*0.475*44/12</f>
        <v>22.577739487622878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74.52867916763546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88.170414732964616</v>
      </c>
      <c r="CZ26" s="59">
        <f t="shared" si="42"/>
        <v>281.30515544919626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38.693285707474885</v>
      </c>
      <c r="DG26" s="21">
        <f>EXP(-LN(2)/25)*DG25+(1-EXP(-LN(2)/25))/(LN(2)/25)*Calculateur!DB26*Calculateur!DD26*VLOOKUP('Données projet'!$B$13,Paramètres!$A$1:$I$89,3,0)*0.475*44/12</f>
        <v>16.815998517147861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55.509284224622746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88.170414732964616</v>
      </c>
      <c r="DU26" s="59">
        <f t="shared" si="44"/>
        <v>281.30515544919626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38.693285707474885</v>
      </c>
      <c r="EB26" s="21">
        <f>EXP(-LN(2)/25)*EB25+(1-EXP(-LN(2)/25))/(LN(2)/25)*Calculateur!DW26*Calculateur!DY26*VLOOKUP('Données projet'!$B$14,Paramètres!$A$1:$I$89,3,0)*0.475*44/12</f>
        <v>16.815998517147861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55.509284224622746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123.28384152684602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236.23367696528811</v>
      </c>
      <c r="H27" s="67">
        <f t="shared" si="1"/>
        <v>525.83043169862651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167.42995526007479</v>
      </c>
      <c r="T27" s="59">
        <f t="shared" si="34"/>
        <v>397.36718389105215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53.590155773465575</v>
      </c>
      <c r="AA27" s="21">
        <f>EXP(-LN(2)/25)*AA26+(1-EXP(-LN(2)/25))/(LN(2)/25)*Calculateur!V27*Calculateur!X27*VLOOKUP('Données projet'!$B$9,Paramètres!$A$1:$I$89,3,0)*0.475*44/12</f>
        <v>23.106370185178346</v>
      </c>
      <c r="AB27" s="21">
        <f>EXP(-LN(2)/2)*AB26+(1-EXP(-LN(2)/2))/(LN(2)/2)*V27*Y27*VLOOKUP('Données projet'!$B$9,Paramètres!$A$1:$I$89,3,0)*0.475*44/12</f>
        <v>0</v>
      </c>
      <c r="AC27" s="22">
        <f t="shared" si="3"/>
        <v>76.696525958643917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127.55710992710948</v>
      </c>
      <c r="AO27" s="59">
        <f t="shared" si="36"/>
        <v>417.43085823929903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56.307403108458203</v>
      </c>
      <c r="AV27" s="21">
        <f>EXP(-LN(2)/25)*AV26+(1-EXP(-LN(2)/25))/(LN(2)/25)*Calculateur!AQ27*Calculateur!AS27*VLOOKUP('Données projet'!$B$10,Paramètres!$A$1:$I$89,3,0)*0.475*44/12</f>
        <v>24.27796078611696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80.585363894575167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123.48243581061803</v>
      </c>
      <c r="BJ27" s="59">
        <f t="shared" si="38"/>
        <v>405.05940798527138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54.631587539754079</v>
      </c>
      <c r="BQ27" s="21">
        <f>EXP(-LN(2)/25)*BQ26+(1-EXP(-LN(2)/25))/(LN(2)/25)*Calculateur!BL27*Calculateur!BN27*VLOOKUP('Données projet'!$B$11,Paramètres!$A$1:$I$89,3,0)*0.475*44/12</f>
        <v>23.555402429387289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78.186989969141365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156.72204844493132</v>
      </c>
      <c r="CE27" s="59">
        <f t="shared" si="40"/>
        <v>377.72061016381247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50.932213439831905</v>
      </c>
      <c r="CL27" s="21">
        <f>EXP(-LN(2)/25)*CL26+(1-EXP(-LN(2)/25))/(LN(2)/25)*Calculateur!CG27*Calculateur!CI27*VLOOKUP('Données projet'!$B$12,Paramètres!$A$1:$I$89,3,0)*0.475*44/12</f>
        <v>21.960350014022112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72.892563453854024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88.170414732964616</v>
      </c>
      <c r="CZ27" s="59">
        <f t="shared" si="42"/>
        <v>281.30515544919626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37.934533975325223</v>
      </c>
      <c r="DG27" s="21">
        <f>EXP(-LN(2)/25)*DG26+(1-EXP(-LN(2)/25))/(LN(2)/25)*Calculateur!DB27*Calculateur!DD27*VLOOKUP('Données projet'!$B$13,Paramètres!$A$1:$I$89,3,0)*0.475*44/12</f>
        <v>16.356164153381524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54.290698128706751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88.170414732964616</v>
      </c>
      <c r="DU27" s="59">
        <f t="shared" si="44"/>
        <v>281.30515544919626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37.934533975325223</v>
      </c>
      <c r="EB27" s="21">
        <f>EXP(-LN(2)/25)*EB26+(1-EXP(-LN(2)/25))/(LN(2)/25)*Calculateur!DW27*Calculateur!DY27*VLOOKUP('Données projet'!$B$14,Paramètres!$A$1:$I$89,3,0)*0.475*44/12</f>
        <v>16.356164153381524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54.290698128706751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123.57382950462357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245.05033636469111</v>
      </c>
      <c r="H28" s="67">
        <f t="shared" si="1"/>
        <v>527.81969047561677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167.42995526007479</v>
      </c>
      <c r="T28" s="59">
        <f t="shared" si="34"/>
        <v>397.36718389105215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52.539285505515387</v>
      </c>
      <c r="AA28" s="21">
        <f>EXP(-LN(2)/25)*AA27+(1-EXP(-LN(2)/25))/(LN(2)/25)*Calculateur!V28*Calculateur!X28*VLOOKUP('Données projet'!$B$9,Paramètres!$A$1:$I$89,3,0)*0.475*44/12</f>
        <v>22.474525277353447</v>
      </c>
      <c r="AB28" s="21">
        <f>EXP(-LN(2)/2)*AB27+(1-EXP(-LN(2)/2))/(LN(2)/2)*V28*Y28*VLOOKUP('Données projet'!$B$9,Paramètres!$A$1:$I$89,3,0)*0.475*44/12</f>
        <v>0</v>
      </c>
      <c r="AC28" s="22">
        <f t="shared" si="3"/>
        <v>75.013810782868831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127.55710992710948</v>
      </c>
      <c r="AO28" s="59">
        <f t="shared" si="36"/>
        <v>417.43085823929903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55.203249277626036</v>
      </c>
      <c r="AV28" s="21">
        <f>EXP(-LN(2)/25)*AV27+(1-EXP(-LN(2)/25))/(LN(2)/25)*Calculateur!AQ28*Calculateur!AS28*VLOOKUP('Données projet'!$B$10,Paramètres!$A$1:$I$89,3,0)*0.475*44/12</f>
        <v>23.614078671698124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78.817327949324152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123.48243581061803</v>
      </c>
      <c r="BJ28" s="59">
        <f t="shared" si="38"/>
        <v>405.05940798527138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53.56029543007763</v>
      </c>
      <c r="BQ28" s="21">
        <f>EXP(-LN(2)/25)*BQ27+(1-EXP(-LN(2)/25))/(LN(2)/25)*Calculateur!BL28*Calculateur!BN28*VLOOKUP('Données projet'!$B$11,Paramètres!$A$1:$I$89,3,0)*0.475*44/12</f>
        <v>22.911278711230917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76.471574141308551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156.72204844493132</v>
      </c>
      <c r="CE28" s="59">
        <f t="shared" si="40"/>
        <v>377.72061016381247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49.933463799859531</v>
      </c>
      <c r="CL28" s="21">
        <f>EXP(-LN(2)/25)*CL27+(1-EXP(-LN(2)/25))/(LN(2)/25)*Calculateur!CG28*Calculateur!CI28*VLOOKUP('Données projet'!$B$12,Paramètres!$A$1:$I$89,3,0)*0.475*44/12</f>
        <v>21.359843088044062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71.293306887903597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88.170414732964616</v>
      </c>
      <c r="CZ28" s="59">
        <f t="shared" si="42"/>
        <v>281.30515544919626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37.190660901850151</v>
      </c>
      <c r="DG28" s="21">
        <f>EXP(-LN(2)/25)*DG27+(1-EXP(-LN(2)/25))/(LN(2)/25)*Calculateur!DB28*Calculateur!DD28*VLOOKUP('Données projet'!$B$13,Paramètres!$A$1:$I$89,3,0)*0.475*44/12</f>
        <v>15.908903984474016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53.099564886324167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88.170414732964616</v>
      </c>
      <c r="DU28" s="59">
        <f t="shared" si="44"/>
        <v>281.30515544919626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37.190660901850151</v>
      </c>
      <c r="EB28" s="21">
        <f>EXP(-LN(2)/25)*EB27+(1-EXP(-LN(2)/25))/(LN(2)/25)*Calculateur!DW28*Calculateur!DY28*VLOOKUP('Données projet'!$B$14,Paramètres!$A$1:$I$89,3,0)*0.475*44/12</f>
        <v>15.908903984474016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53.099564886324167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123.8587868393027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253.85792275900684</v>
      </c>
      <c r="H29" s="67">
        <f t="shared" si="1"/>
        <v>529.80690215583422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167.42995526007479</v>
      </c>
      <c r="T29" s="59">
        <f t="shared" si="34"/>
        <v>397.36718389105215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51.509022162552128</v>
      </c>
      <c r="AA29" s="21">
        <f>EXP(-LN(2)/25)*AA28+(1-EXP(-LN(2)/25))/(LN(2)/25)*Calculateur!V29*Calculateur!X29*VLOOKUP('Données projet'!$B$9,Paramètres!$A$1:$I$89,3,0)*0.475*44/12</f>
        <v>21.8599582017603</v>
      </c>
      <c r="AB29" s="21">
        <f>EXP(-LN(2)/2)*AB28+(1-EXP(-LN(2)/2))/(LN(2)/2)*V29*Y29*VLOOKUP('Données projet'!$B$9,Paramètres!$A$1:$I$89,3,0)*0.475*44/12</f>
        <v>0</v>
      </c>
      <c r="AC29" s="22">
        <f t="shared" si="3"/>
        <v>73.368980364312421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127.55710992710948</v>
      </c>
      <c r="AO29" s="59">
        <f t="shared" si="36"/>
        <v>417.43085823929903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54.120747229949146</v>
      </c>
      <c r="AV29" s="21">
        <f>EXP(-LN(2)/25)*AV28+(1-EXP(-LN(2)/25))/(LN(2)/25)*Calculateur!AQ29*Calculateur!AS29*VLOOKUP('Données projet'!$B$10,Paramètres!$A$1:$I$89,3,0)*0.475*44/12</f>
        <v>22.968350448610114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77.089097678559256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123.48243581061803</v>
      </c>
      <c r="BJ29" s="59">
        <f t="shared" si="38"/>
        <v>405.05940798527138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52.51001070524827</v>
      </c>
      <c r="BQ29" s="21">
        <f>EXP(-LN(2)/25)*BQ28+(1-EXP(-LN(2)/25))/(LN(2)/25)*Calculateur!BL29*Calculateur!BN29*VLOOKUP('Données projet'!$B$11,Paramètres!$A$1:$I$89,3,0)*0.475*44/12</f>
        <v>22.284768590020526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74.794779295268796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156.72204844493132</v>
      </c>
      <c r="CE29" s="59">
        <f t="shared" si="40"/>
        <v>377.72061016381247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48.954299031149887</v>
      </c>
      <c r="CL29" s="21">
        <f>EXP(-LN(2)/25)*CL28+(1-EXP(-LN(2)/25))/(LN(2)/25)*Calculateur!CG29*Calculateur!CI29*VLOOKUP('Données projet'!$B$12,Paramètres!$A$1:$I$89,3,0)*0.475*44/12</f>
        <v>20.775757055536168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69.730056086686062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88.170414732964616</v>
      </c>
      <c r="CZ29" s="59">
        <f t="shared" si="42"/>
        <v>281.30515544919626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36.461374725628154</v>
      </c>
      <c r="DG29" s="21">
        <f>EXP(-LN(2)/25)*DG28+(1-EXP(-LN(2)/25))/(LN(2)/25)*Calculateur!DB29*Calculateur!DD29*VLOOKUP('Données projet'!$B$13,Paramètres!$A$1:$I$89,3,0)*0.475*44/12</f>
        <v>15.473874168405674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51.935248894033826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88.170414732964616</v>
      </c>
      <c r="DU29" s="59">
        <f t="shared" si="44"/>
        <v>281.30515544919626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36.461374725628154</v>
      </c>
      <c r="EB29" s="21">
        <f>EXP(-LN(2)/25)*EB28+(1-EXP(-LN(2)/25))/(LN(2)/25)*Calculateur!DW29*Calculateur!DY29*VLOOKUP('Données projet'!$B$14,Paramètres!$A$1:$I$89,3,0)*0.475*44/12</f>
        <v>15.473874168405674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51.935248894033826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124.13880080129429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262.65682505360115</v>
      </c>
      <c r="H30" s="67">
        <f t="shared" si="1"/>
        <v>531.79215448605214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167.42995526007479</v>
      </c>
      <c r="T30" s="59">
        <f t="shared" si="34"/>
        <v>397.36718389105215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50.498961655345788</v>
      </c>
      <c r="AA30" s="21">
        <f>EXP(-LN(2)/25)*AA29+(1-EXP(-LN(2)/25))/(LN(2)/25)*Calculateur!V30*Calculateur!X30*VLOOKUP('Données projet'!$B$9,Paramètres!$A$1:$I$89,3,0)*0.475*44/12</f>
        <v>21.262196495167924</v>
      </c>
      <c r="AB30" s="21">
        <f>EXP(-LN(2)/2)*AB29+(1-EXP(-LN(2)/2))/(LN(2)/2)*V30*Y30*VLOOKUP('Données projet'!$B$9,Paramètres!$A$1:$I$89,3,0)*0.475*44/12</f>
        <v>0</v>
      </c>
      <c r="AC30" s="22">
        <f t="shared" si="3"/>
        <v>71.761158150513708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127.55710992710948</v>
      </c>
      <c r="AO30" s="59">
        <f t="shared" si="36"/>
        <v>417.43085823929903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53.059472387166146</v>
      </c>
      <c r="AV30" s="21">
        <f>EXP(-LN(2)/25)*AV29+(1-EXP(-LN(2)/25))/(LN(2)/25)*Calculateur!AQ30*Calculateur!AS30*VLOOKUP('Données projet'!$B$10,Paramètres!$A$1:$I$89,3,0)*0.475*44/12</f>
        <v>22.340279697739813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75.399752084905955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123.48243581061803</v>
      </c>
      <c r="BJ30" s="59">
        <f t="shared" si="38"/>
        <v>405.05940798527138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51.480321423262382</v>
      </c>
      <c r="BQ30" s="21">
        <f>EXP(-LN(2)/25)*BQ29+(1-EXP(-LN(2)/25))/(LN(2)/25)*Calculateur!BL30*Calculateur!BN30*VLOOKUP('Données projet'!$B$11,Paramètres!$A$1:$I$89,3,0)*0.475*44/12</f>
        <v>21.675390421021369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73.155711844283758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156.72204844493132</v>
      </c>
      <c r="CE30" s="59">
        <f t="shared" si="40"/>
        <v>377.72061016381247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47.994335086323098</v>
      </c>
      <c r="CL30" s="21">
        <f>EXP(-LN(2)/25)*CL29+(1-EXP(-LN(2)/25))/(LN(2)/25)*Calculateur!CG30*Calculateur!CI30*VLOOKUP('Données projet'!$B$12,Paramètres!$A$1:$I$89,3,0)*0.475*44/12</f>
        <v>20.207642886302953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68.201977972626054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88.170414732964616</v>
      </c>
      <c r="CZ30" s="59">
        <f t="shared" si="42"/>
        <v>281.30515544919626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35.746389406501223</v>
      </c>
      <c r="DG30" s="21">
        <f>EXP(-LN(2)/25)*DG29+(1-EXP(-LN(2)/25))/(LN(2)/25)*Calculateur!DB30*Calculateur!DD30*VLOOKUP('Données projet'!$B$13,Paramètres!$A$1:$I$89,3,0)*0.475*44/12</f>
        <v>15.050740265534944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50.797129672036164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88.170414732964616</v>
      </c>
      <c r="DU30" s="59">
        <f t="shared" si="44"/>
        <v>281.30515544919626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35.746389406501223</v>
      </c>
      <c r="EB30" s="21">
        <f>EXP(-LN(2)/25)*EB29+(1-EXP(-LN(2)/25))/(LN(2)/25)*Calculateur!DW30*Calculateur!DY30*VLOOKUP('Données projet'!$B$14,Paramètres!$A$1:$I$89,3,0)*0.475*44/12</f>
        <v>15.050740265534944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50.797129672036164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124.41395714706277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271.44740171379226</v>
      </c>
      <c r="H31" s="67">
        <f t="shared" si="1"/>
        <v>533.77552834500773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167.42995526007479</v>
      </c>
      <c r="T31" s="59">
        <f t="shared" si="34"/>
        <v>397.36718389105215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49.508707818609686</v>
      </c>
      <c r="AA31" s="21">
        <f>EXP(-LN(2)/25)*AA30+(1-EXP(-LN(2)/25))/(LN(2)/25)*Calculateur!V31*Calculateur!X31*VLOOKUP('Données projet'!$B$9,Paramètres!$A$1:$I$89,3,0)*0.475*44/12</f>
        <v>20.680780613877239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70.189488432486925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127.55710992710948</v>
      </c>
      <c r="AO31" s="59">
        <f t="shared" si="36"/>
        <v>417.43085823929903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52.019008496736383</v>
      </c>
      <c r="AV31" s="21">
        <f>EXP(-LN(2)/25)*AV30+(1-EXP(-LN(2)/25))/(LN(2)/25)*Calculateur!AQ31*Calculateur!AS31*VLOOKUP('Données projet'!$B$10,Paramètres!$A$1:$I$89,3,0)*0.475*44/12</f>
        <v>21.729383574580869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73.748392071317255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123.48243581061803</v>
      </c>
      <c r="BJ31" s="59">
        <f t="shared" si="38"/>
        <v>405.05940798527138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50.47082372004779</v>
      </c>
      <c r="BQ31" s="21">
        <f>EXP(-LN(2)/25)*BQ30+(1-EXP(-LN(2)/25))/(LN(2)/25)*Calculateur!BL31*Calculateur!BN31*VLOOKUP('Données projet'!$B$11,Paramètres!$A$1:$I$89,3,0)*0.475*44/12</f>
        <v>21.082675730099297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71.553499450147086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156.72204844493132</v>
      </c>
      <c r="CE31" s="59">
        <f t="shared" si="40"/>
        <v>377.72061016381247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47.053195448934169</v>
      </c>
      <c r="CL31" s="21">
        <f>EXP(-LN(2)/25)*CL30+(1-EXP(-LN(2)/25))/(LN(2)/25)*Calculateur!CG31*Calculateur!CI31*VLOOKUP('Données projet'!$B$12,Paramètres!$A$1:$I$89,3,0)*0.475*44/12</f>
        <v>19.655063828903245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66.708259277837413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88.170414732964616</v>
      </c>
      <c r="CZ31" s="59">
        <f t="shared" si="42"/>
        <v>281.30515544919626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35.04542451338439</v>
      </c>
      <c r="DG31" s="21">
        <f>EXP(-LN(2)/25)*DG30+(1-EXP(-LN(2)/25))/(LN(2)/25)*Calculateur!DB31*Calculateur!DD31*VLOOKUP('Données projet'!$B$13,Paramètres!$A$1:$I$89,3,0)*0.475*44/12</f>
        <v>14.639176981489859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49.684601494874251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88.170414732964616</v>
      </c>
      <c r="DU31" s="59">
        <f t="shared" si="44"/>
        <v>281.30515544919626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35.04542451338439</v>
      </c>
      <c r="EB31" s="21">
        <f>EXP(-LN(2)/25)*EB30+(1-EXP(-LN(2)/25))/(LN(2)/25)*Calculateur!DW31*Calculateur!DY31*VLOOKUP('Données projet'!$B$14,Paramètres!$A$1:$I$89,3,0)*0.475*44/12</f>
        <v>14.639176981489859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49.684601494874251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124.6843401453896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280.22998414874826</v>
      </c>
      <c r="H32" s="67">
        <f t="shared" si="1"/>
        <v>535.75709850689464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167.42995526007479</v>
      </c>
      <c r="T32" s="59">
        <f t="shared" si="34"/>
        <v>397.36718389105215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48.537872255616783</v>
      </c>
      <c r="AA32" s="21">
        <f>EXP(-LN(2)/25)*AA31+(1-EXP(-LN(2)/25))/(LN(2)/25)*Calculateur!V32*Calculateur!X32*VLOOKUP('Données projet'!$B$9,Paramètres!$A$1:$I$89,3,0)*0.475*44/12</f>
        <v>20.11526358043578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68.65313583605257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127.55710992710948</v>
      </c>
      <c r="AO32" s="59">
        <f t="shared" si="36"/>
        <v>417.43085823929903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50.99894746857764</v>
      </c>
      <c r="AV32" s="21">
        <f>EXP(-LN(2)/25)*AV31+(1-EXP(-LN(2)/25))/(LN(2)/25)*Calculateur!AQ32*Calculateur!AS32*VLOOKUP('Données projet'!$B$10,Paramètres!$A$1:$I$89,3,0)*0.475*44/12</f>
        <v>21.135192438035336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72.134139906612972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123.48243581061803</v>
      </c>
      <c r="BJ32" s="59">
        <f t="shared" si="38"/>
        <v>405.05940798527138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49.481121651060441</v>
      </c>
      <c r="BQ32" s="21">
        <f>EXP(-LN(2)/25)*BQ31+(1-EXP(-LN(2)/25))/(LN(2)/25)*Calculateur!BL32*Calculateur!BN32*VLOOKUP('Données projet'!$B$11,Paramètres!$A$1:$I$89,3,0)*0.475*44/12</f>
        <v>20.506168853569999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69.987290504630437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156.72204844493132</v>
      </c>
      <c r="CE32" s="59">
        <f t="shared" si="40"/>
        <v>377.72061016381247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46.130510985795944</v>
      </c>
      <c r="CL32" s="21">
        <f>EXP(-LN(2)/25)*CL31+(1-EXP(-LN(2)/25))/(LN(2)/25)*Calculateur!CG32*Calculateur!CI32*VLOOKUP('Données projet'!$B$12,Paramètres!$A$1:$I$89,3,0)*0.475*44/12</f>
        <v>19.117595074886999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65.248106060682943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88.170414732964616</v>
      </c>
      <c r="CZ32" s="59">
        <f t="shared" si="42"/>
        <v>281.30515544919626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34.358205114275208</v>
      </c>
      <c r="DG32" s="21">
        <f>EXP(-LN(2)/25)*DG31+(1-EXP(-LN(2)/25))/(LN(2)/25)*Calculateur!DB32*Calculateur!DD32*VLOOKUP('Données projet'!$B$13,Paramètres!$A$1:$I$89,3,0)*0.475*44/12</f>
        <v>14.238867917090159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48.597073031365369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88.170414732964616</v>
      </c>
      <c r="DU32" s="59">
        <f t="shared" si="44"/>
        <v>281.30515544919626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34.358205114275208</v>
      </c>
      <c r="EB32" s="21">
        <f>EXP(-LN(2)/25)*EB31+(1-EXP(-LN(2)/25))/(LN(2)/25)*Calculateur!DW32*Calculateur!DY32*VLOOKUP('Données projet'!$B$14,Paramètres!$A$1:$I$89,3,0)*0.475*44/12</f>
        <v>14.238867917090159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48.597073031365369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124.95003260318128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289.0048796155267</v>
      </c>
      <c r="H33" s="67">
        <f t="shared" si="1"/>
        <v>537.73693429658658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167.42995526007479</v>
      </c>
      <c r="T33" s="59">
        <f t="shared" si="34"/>
        <v>397.36718389105215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47.586074185862948</v>
      </c>
      <c r="AA33" s="21">
        <f>EXP(-LN(2)/25)*AA32+(1-EXP(-LN(2)/25))/(LN(2)/25)*Calculateur!V33*Calculateur!X33*VLOOKUP('Données projet'!$B$9,Paramètres!$A$1:$I$89,3,0)*0.475*44/12</f>
        <v>19.565210640013024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67.151284825875976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127.55710992710948</v>
      </c>
      <c r="AO33" s="59">
        <f t="shared" si="36"/>
        <v>417.43085823929903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49.998889215005299</v>
      </c>
      <c r="AV33" s="21">
        <f>EXP(-LN(2)/25)*AV32+(1-EXP(-LN(2)/25))/(LN(2)/25)*Calculateur!AQ33*Calculateur!AS33*VLOOKUP('Données projet'!$B$10,Paramètres!$A$1:$I$89,3,0)*0.475*44/12</f>
        <v>20.557249489365795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70.556138704371094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123.48243581061803</v>
      </c>
      <c r="BJ33" s="59">
        <f t="shared" si="38"/>
        <v>405.05940798527138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48.510827035987276</v>
      </c>
      <c r="BQ33" s="21">
        <f>EXP(-LN(2)/25)*BQ32+(1-EXP(-LN(2)/25))/(LN(2)/25)*Calculateur!BL33*Calculateur!BN33*VLOOKUP('Données projet'!$B$11,Paramètres!$A$1:$I$89,3,0)*0.475*44/12</f>
        <v>19.945426587896574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68.456253623883853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156.72204844493132</v>
      </c>
      <c r="CE33" s="59">
        <f t="shared" si="40"/>
        <v>377.72061016381247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45.225919802197907</v>
      </c>
      <c r="CL33" s="21">
        <f>EXP(-LN(2)/25)*CL32+(1-EXP(-LN(2)/25))/(LN(2)/25)*Calculateur!CG33*Calculateur!CI33*VLOOKUP('Données projet'!$B$12,Paramètres!$A$1:$I$89,3,0)*0.475*44/12</f>
        <v>18.594823432213584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63.820743234411495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88.170414732964616</v>
      </c>
      <c r="CZ33" s="59">
        <f t="shared" si="42"/>
        <v>281.30515544919626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33.684461668420113</v>
      </c>
      <c r="DG33" s="21">
        <f>EXP(-LN(2)/25)*DG32+(1-EXP(-LN(2)/25))/(LN(2)/25)*Calculateur!DB33*Calculateur!DD33*VLOOKUP('Données projet'!$B$13,Paramètres!$A$1:$I$89,3,0)*0.475*44/12</f>
        <v>13.849505325107808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47.533966993527919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88.170414732964616</v>
      </c>
      <c r="DU33" s="59">
        <f t="shared" si="44"/>
        <v>281.30515544919626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33.684461668420113</v>
      </c>
      <c r="EB33" s="21">
        <f>EXP(-LN(2)/25)*EB32+(1-EXP(-LN(2)/25))/(LN(2)/25)*Calculateur!DW33*Calculateur!DY33*VLOOKUP('Données projet'!$B$14,Paramètres!$A$1:$I$89,3,0)*0.475*44/12</f>
        <v>13.849505325107808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47.533966993527919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125.21111589082963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297.77237372503146</v>
      </c>
      <c r="H34" s="67">
        <f t="shared" si="1"/>
        <v>539.71510015504361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167.42995526007479</v>
      </c>
      <c r="T34" s="59">
        <f t="shared" si="34"/>
        <v>397.36718389105215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46.652940295717485</v>
      </c>
      <c r="AA34" s="21">
        <f>EXP(-LN(2)/25)*AA33+(1-EXP(-LN(2)/25))/(LN(2)/25)*Calculateur!V34*Calculateur!X34*VLOOKUP('Données projet'!$B$9,Paramètres!$A$1:$I$89,3,0)*0.475*44/12</f>
        <v>19.030198926172158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65.683139221889647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127.55710992710948</v>
      </c>
      <c r="AO34" s="59">
        <f t="shared" si="36"/>
        <v>417.43085823929903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49.018441493810208</v>
      </c>
      <c r="AV34" s="21">
        <f>EXP(-LN(2)/25)*AV33+(1-EXP(-LN(2)/25))/(LN(2)/25)*Calculateur!AQ34*Calculateur!AS34*VLOOKUP('Données projet'!$B$10,Paramètres!$A$1:$I$89,3,0)*0.475*44/12</f>
        <v>19.995110421020321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69.013551914830529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123.48243581061803</v>
      </c>
      <c r="BJ34" s="59">
        <f t="shared" si="38"/>
        <v>405.05940798527138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47.559559306494421</v>
      </c>
      <c r="BQ34" s="21">
        <f>EXP(-LN(2)/25)*BQ33+(1-EXP(-LN(2)/25))/(LN(2)/25)*Calculateur!BL34*Calculateur!BN34*VLOOKUP('Données projet'!$B$11,Paramètres!$A$1:$I$89,3,0)*0.475*44/12</f>
        <v>19.400017848966144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66.959577155460565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156.72204844493132</v>
      </c>
      <c r="CE34" s="59">
        <f t="shared" si="40"/>
        <v>377.72061016381247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44.339067099964083</v>
      </c>
      <c r="CL34" s="21">
        <f>EXP(-LN(2)/25)*CL33+(1-EXP(-LN(2)/25))/(LN(2)/25)*Calculateur!CG34*Calculateur!CI34*VLOOKUP('Données projet'!$B$12,Paramètres!$A$1:$I$89,3,0)*0.475*44/12</f>
        <v>18.086347007600438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62.425414107564521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88.170414732964616</v>
      </c>
      <c r="CZ34" s="59">
        <f t="shared" si="42"/>
        <v>281.30515544919626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33.023929920595315</v>
      </c>
      <c r="DG34" s="21">
        <f>EXP(-LN(2)/25)*DG33+(1-EXP(-LN(2)/25))/(LN(2)/25)*Calculateur!DB34*Calculateur!DD34*VLOOKUP('Données projet'!$B$13,Paramètres!$A$1:$I$89,3,0)*0.475*44/12</f>
        <v>13.470789873678903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46.494719794274218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88.170414732964616</v>
      </c>
      <c r="DU34" s="59">
        <f t="shared" si="44"/>
        <v>281.30515544919626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33.023929920595315</v>
      </c>
      <c r="EB34" s="21">
        <f>EXP(-LN(2)/25)*EB33+(1-EXP(-LN(2)/25))/(LN(2)/25)*Calculateur!DW34*Calculateur!DY34*VLOOKUP('Données projet'!$B$14,Paramètres!$A$1:$I$89,3,0)*0.475*44/12</f>
        <v>13.470789873678903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46.494719794274218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125.46766996713205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306.53273261553801</v>
      </c>
      <c r="H35" s="67">
        <f t="shared" si="1"/>
        <v>541.69165612971415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167.42995526007479</v>
      </c>
      <c r="T35" s="59">
        <f t="shared" si="34"/>
        <v>397.36718389105215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45.738104592002301</v>
      </c>
      <c r="AA35" s="21">
        <f>EXP(-LN(2)/25)*AA34+(1-EXP(-LN(2)/25))/(LN(2)/25)*Calculateur!V35*Calculateur!X35*VLOOKUP('Données projet'!$B$9,Paramètres!$A$1:$I$89,3,0)*0.475*44/12</f>
        <v>18.509817135781311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64.24792172778362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127.55710992710948</v>
      </c>
      <c r="AO35" s="59">
        <f t="shared" si="36"/>
        <v>417.43085823929903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48.057219754413687</v>
      </c>
      <c r="AV35" s="21">
        <f>EXP(-LN(2)/25)*AV34+(1-EXP(-LN(2)/25))/(LN(2)/25)*Calculateur!AQ35*Calculateur!AS35*VLOOKUP('Données projet'!$B$10,Paramètres!$A$1:$I$89,3,0)*0.475*44/12</f>
        <v>19.448343075060365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67.505562829474059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123.48243581061803</v>
      </c>
      <c r="BJ35" s="59">
        <f t="shared" si="38"/>
        <v>405.05940798527138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46.626945356960896</v>
      </c>
      <c r="BQ35" s="21">
        <f>EXP(-LN(2)/25)*BQ34+(1-EXP(-LN(2)/25))/(LN(2)/25)*Calculateur!BL35*Calculateur!BN35*VLOOKUP('Données projet'!$B$11,Paramètres!$A$1:$I$89,3,0)*0.475*44/12</f>
        <v>18.869523340683564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65.49646869764446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156.72204844493132</v>
      </c>
      <c r="CE35" s="59">
        <f t="shared" si="40"/>
        <v>377.72061016381247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43.469605038294333</v>
      </c>
      <c r="CL35" s="21">
        <f>EXP(-LN(2)/25)*CL34+(1-EXP(-LN(2)/25))/(LN(2)/25)*Calculateur!CG35*Calculateur!CI35*VLOOKUP('Données projet'!$B$12,Paramètres!$A$1:$I$89,3,0)*0.475*44/12</f>
        <v>17.591774897557951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61.061379935852287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88.170414732964616</v>
      </c>
      <c r="CZ35" s="59">
        <f t="shared" si="42"/>
        <v>281.30515544919626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32.376350797460773</v>
      </c>
      <c r="DG35" s="21">
        <f>EXP(-LN(2)/25)*DG34+(1-EXP(-LN(2)/25))/(LN(2)/25)*Calculateur!DB35*Calculateur!DD35*VLOOKUP('Données projet'!$B$13,Paramètres!$A$1:$I$89,3,0)*0.475*44/12</f>
        <v>13.102430416185102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45.478781213645874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88.170414732964616</v>
      </c>
      <c r="DU35" s="59">
        <f t="shared" si="44"/>
        <v>281.30515544919626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32.376350797460773</v>
      </c>
      <c r="EB35" s="21">
        <f>EXP(-LN(2)/25)*EB34+(1-EXP(-LN(2)/25))/(LN(2)/25)*Calculateur!DW35*Calculateur!DY35*VLOOKUP('Données projet'!$B$14,Paramètres!$A$1:$I$89,3,0)*0.475*44/12</f>
        <v>13.102430416185102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45.478781213645874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125.71977340377963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315.28620484689498</v>
      </c>
      <c r="H36" s="67">
        <f t="shared" si="1"/>
        <v>543.66665830191403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167.42995526007479</v>
      </c>
      <c r="T36" s="59">
        <f t="shared" si="34"/>
        <v>397.36718389105215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44.841208258442286</v>
      </c>
      <c r="AA36" s="21">
        <f>EXP(-LN(2)/25)*AA35+(1-EXP(-LN(2)/25))/(LN(2)/25)*Calculateur!V36*Calculateur!X36*VLOOKUP('Données projet'!$B$9,Paramètres!$A$1:$I$89,3,0)*0.475*44/12</f>
        <v>18.003665212814393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62.844873471256676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127.55710992710948</v>
      </c>
      <c r="AO36" s="59">
        <f t="shared" si="36"/>
        <v>417.43085823929903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47.114846987039364</v>
      </c>
      <c r="AV36" s="21">
        <f>EXP(-LN(2)/25)*AV35+(1-EXP(-LN(2)/25))/(LN(2)/25)*Calculateur!AQ36*Calculateur!AS36*VLOOKUP('Données projet'!$B$10,Paramètres!$A$1:$I$89,3,0)*0.475*44/12</f>
        <v>18.916527110928925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66.031374097968296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123.48243581061803</v>
      </c>
      <c r="BJ36" s="59">
        <f t="shared" si="38"/>
        <v>405.05940798527138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45.712619398139381</v>
      </c>
      <c r="BQ36" s="21">
        <f>EXP(-LN(2)/25)*BQ35+(1-EXP(-LN(2)/25))/(LN(2)/25)*Calculateur!BL36*Calculateur!BN36*VLOOKUP('Données projet'!$B$11,Paramètres!$A$1:$I$89,3,0)*0.475*44/12</f>
        <v>18.353535232627465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64.066154630766846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156.72204844493132</v>
      </c>
      <c r="CE36" s="59">
        <f t="shared" si="40"/>
        <v>377.72061016381247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42.61719259733443</v>
      </c>
      <c r="CL36" s="21">
        <f>EXP(-LN(2)/25)*CL35+(1-EXP(-LN(2)/25))/(LN(2)/25)*Calculateur!CG36*Calculateur!CI36*VLOOKUP('Données projet'!$B$12,Paramètres!$A$1:$I$89,3,0)*0.475*44/12</f>
        <v>17.110726887872993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59.727919485207423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88.170414732964616</v>
      </c>
      <c r="CZ36" s="59">
        <f t="shared" si="42"/>
        <v>281.30515544919626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31.741470305946638</v>
      </c>
      <c r="DG36" s="21">
        <f>EXP(-LN(2)/25)*DG35+(1-EXP(-LN(2)/25))/(LN(2)/25)*Calculateur!DB36*Calculateur!DD36*VLOOKUP('Données projet'!$B$13,Paramètres!$A$1:$I$89,3,0)*0.475*44/12</f>
        <v>12.744143767427651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44.485614073374293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88.170414732964616</v>
      </c>
      <c r="DU36" s="59">
        <f t="shared" si="44"/>
        <v>281.30515544919626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31.741470305946638</v>
      </c>
      <c r="EB36" s="21">
        <f>EXP(-LN(2)/25)*EB35+(1-EXP(-LN(2)/25))/(LN(2)/25)*Calculateur!DW36*Calculateur!DY36*VLOOKUP('Données projet'!$B$14,Paramètres!$A$1:$I$89,3,0)*0.475*44/12</f>
        <v>12.744143767427651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44.485614073374293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125.9675034094202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324.03302305867476</v>
      </c>
      <c r="H37" s="67">
        <f t="shared" si="1"/>
        <v>545.64015916094684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167.42995526007479</v>
      </c>
      <c r="T37" s="59">
        <f t="shared" si="34"/>
        <v>397.36718389105215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43.961899514930643</v>
      </c>
      <c r="AA37" s="21">
        <f>EXP(-LN(2)/25)*AA36+(1-EXP(-LN(2)/25))/(LN(2)/25)*Calculateur!V37*Calculateur!X37*VLOOKUP('Données projet'!$B$9,Paramètres!$A$1:$I$89,3,0)*0.475*44/12</f>
        <v>17.511354040798377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61.473253555729016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127.55710992710948</v>
      </c>
      <c r="AO37" s="59">
        <f t="shared" si="36"/>
        <v>417.43085823929903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46.190953574842617</v>
      </c>
      <c r="AV37" s="21">
        <f>EXP(-LN(2)/25)*AV36+(1-EXP(-LN(2)/25))/(LN(2)/25)*Calculateur!AQ37*Calculateur!AS37*VLOOKUP('Données projet'!$B$10,Paramètres!$A$1:$I$89,3,0)*0.475*44/12</f>
        <v>18.399253682303648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64.590207257146261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123.48243581061803</v>
      </c>
      <c r="BJ37" s="59">
        <f t="shared" si="38"/>
        <v>405.05940798527138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44.816222813686586</v>
      </c>
      <c r="BQ37" s="21">
        <f>EXP(-LN(2)/25)*BQ36+(1-EXP(-LN(2)/25))/(LN(2)/25)*Calculateur!BL37*Calculateur!BN37*VLOOKUP('Données projet'!$B$11,Paramètres!$A$1:$I$89,3,0)*0.475*44/12</f>
        <v>17.851656846520797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62.667879660207383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156.72204844493132</v>
      </c>
      <c r="CE37" s="59">
        <f t="shared" si="40"/>
        <v>377.72061016381247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41.781495444421502</v>
      </c>
      <c r="CL37" s="21">
        <f>EXP(-LN(2)/25)*CL36+(1-EXP(-LN(2)/25))/(LN(2)/25)*Calculateur!CG37*Calculateur!CI37*VLOOKUP('Données projet'!$B$12,Paramètres!$A$1:$I$89,3,0)*0.475*44/12</f>
        <v>16.642833161310087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58.424328605731588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88.170414732964616</v>
      </c>
      <c r="CZ37" s="59">
        <f t="shared" si="42"/>
        <v>281.30515544919626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31.119039433632231</v>
      </c>
      <c r="DG37" s="21">
        <f>EXP(-LN(2)/25)*DG36+(1-EXP(-LN(2)/25))/(LN(2)/25)*Calculateur!DB37*Calculateur!DD37*VLOOKUP('Données projet'!$B$13,Paramètres!$A$1:$I$89,3,0)*0.475*44/12</f>
        <v>12.395654485921948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43.514693919554176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88.170414732964616</v>
      </c>
      <c r="DU37" s="59">
        <f t="shared" si="44"/>
        <v>281.30515544919626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31.119039433632231</v>
      </c>
      <c r="EB37" s="21">
        <f>EXP(-LN(2)/25)*EB36+(1-EXP(-LN(2)/25))/(LN(2)/25)*Calculateur!DW37*Calculateur!DY37*VLOOKUP('Données projet'!$B$14,Paramètres!$A$1:$I$89,3,0)*0.475*44/12</f>
        <v>12.395654485921948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43.514693919554176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126.21093585330425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332.77340542776602</v>
      </c>
      <c r="H38" s="67">
        <f t="shared" si="1"/>
        <v>547.61220793297309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167.42995526007479</v>
      </c>
      <c r="T38" s="59">
        <f t="shared" si="34"/>
        <v>397.36718389105215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43.099833479553887</v>
      </c>
      <c r="AA38" s="21">
        <f>EXP(-LN(2)/25)*AA37+(1-EXP(-LN(2)/25))/(LN(2)/25)*Calculateur!V38*Calculateur!X38*VLOOKUP('Données projet'!$B$9,Paramètres!$A$1:$I$89,3,0)*0.475*44/12</f>
        <v>17.032505143670658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60.132338623224541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127.55710992710948</v>
      </c>
      <c r="AO38" s="59">
        <f t="shared" si="36"/>
        <v>417.43085823929903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45.285177148939709</v>
      </c>
      <c r="AV38" s="21">
        <f>EXP(-LN(2)/25)*AV37+(1-EXP(-LN(2)/25))/(LN(2)/25)*Calculateur!AQ38*Calculateur!AS38*VLOOKUP('Données projet'!$B$10,Paramètres!$A$1:$I$89,3,0)*0.475*44/12</f>
        <v>17.896125122786355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63.181302271726068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123.48243581061803</v>
      </c>
      <c r="BJ38" s="59">
        <f t="shared" si="38"/>
        <v>405.05940798527138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43.937404019506985</v>
      </c>
      <c r="BQ38" s="21">
        <f>EXP(-LN(2)/25)*BQ37+(1-EXP(-LN(2)/25))/(LN(2)/25)*Calculateur!BL38*Calculateur!BN38*VLOOKUP('Données projet'!$B$11,Paramètres!$A$1:$I$89,3,0)*0.475*44/12</f>
        <v>17.363502351274853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61.300906370781838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156.72204844493132</v>
      </c>
      <c r="CE38" s="59">
        <f t="shared" si="40"/>
        <v>377.72061016381247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40.962185802952263</v>
      </c>
      <c r="CL38" s="21">
        <f>EXP(-LN(2)/25)*CL37+(1-EXP(-LN(2)/25))/(LN(2)/25)*Calculateur!CG38*Calculateur!CI38*VLOOKUP('Données projet'!$B$12,Paramètres!$A$1:$I$89,3,0)*0.475*44/12</f>
        <v>16.187734013305505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57.149919816257764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88.170414732964616</v>
      </c>
      <c r="CZ38" s="59">
        <f t="shared" si="42"/>
        <v>281.30515544919626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30.508814051078566</v>
      </c>
      <c r="DG38" s="21">
        <f>EXP(-LN(2)/25)*DG37+(1-EXP(-LN(2)/25))/(LN(2)/25)*Calculateur!DB38*Calculateur!DD38*VLOOKUP('Données projet'!$B$13,Paramètres!$A$1:$I$89,3,0)*0.475*44/12</f>
        <v>12.056694662145274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42.565508713223842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88.170414732964616</v>
      </c>
      <c r="DU38" s="59">
        <f t="shared" si="44"/>
        <v>281.30515544919626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30.508814051078566</v>
      </c>
      <c r="EB38" s="21">
        <f>EXP(-LN(2)/25)*EB37+(1-EXP(-LN(2)/25))/(LN(2)/25)*Calculateur!DW38*Calculateur!DY38*VLOOKUP('Données projet'!$B$14,Paramètres!$A$1:$I$89,3,0)*0.475*44/12</f>
        <v>12.056694662145274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42.565508713223842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126.45014528852032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341.50755695470184</v>
      </c>
      <c r="H39" s="67">
        <f t="shared" si="1"/>
        <v>549.58285087123795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167.42995526007479</v>
      </c>
      <c r="T39" s="59">
        <f t="shared" si="34"/>
        <v>397.36718389105215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42.2546720333225</v>
      </c>
      <c r="AA39" s="21">
        <f>EXP(-LN(2)/25)*AA38+(1-EXP(-LN(2)/25))/(LN(2)/25)*Calculateur!V39*Calculateur!X39*VLOOKUP('Données projet'!$B$9,Paramètres!$A$1:$I$89,3,0)*0.475*44/12</f>
        <v>16.566750394816466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58.821422428138966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127.55710992710948</v>
      </c>
      <c r="AO39" s="59">
        <f t="shared" si="36"/>
        <v>417.43085823929903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44.397162446279694</v>
      </c>
      <c r="AV39" s="21">
        <f>EXP(-LN(2)/25)*AV38+(1-EXP(-LN(2)/25))/(LN(2)/25)*Calculateur!AQ39*Calculateur!AS39*VLOOKUP('Données projet'!$B$10,Paramètres!$A$1:$I$89,3,0)*0.475*44/12</f>
        <v>17.406754640187444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61.803917086467138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123.48243581061803</v>
      </c>
      <c r="BJ39" s="59">
        <f t="shared" si="38"/>
        <v>405.05940798527138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43.075818325854705</v>
      </c>
      <c r="BQ39" s="21">
        <f>EXP(-LN(2)/25)*BQ38+(1-EXP(-LN(2)/25))/(LN(2)/25)*Calculateur!BL39*Calculateur!BN39*VLOOKUP('Données projet'!$B$11,Paramètres!$A$1:$I$89,3,0)*0.475*44/12</f>
        <v>16.888696466372338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59.964514792227043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156.72204844493132</v>
      </c>
      <c r="CE39" s="59">
        <f t="shared" si="40"/>
        <v>377.72061016381247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40.1589423238227</v>
      </c>
      <c r="CL39" s="21">
        <f>EXP(-LN(2)/25)*CL38+(1-EXP(-LN(2)/25))/(LN(2)/25)*Calculateur!CG39*Calculateur!CI39*VLOOKUP('Données projet'!$B$12,Paramètres!$A$1:$I$89,3,0)*0.475*44/12</f>
        <v>15.745079575435732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55.904021899258431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88.170414732964616</v>
      </c>
      <c r="CZ39" s="59">
        <f t="shared" si="42"/>
        <v>281.30515544919626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29.910554816076047</v>
      </c>
      <c r="DG39" s="21">
        <f>EXP(-LN(2)/25)*DG38+(1-EXP(-LN(2)/25))/(LN(2)/25)*Calculateur!DB39*Calculateur!DD39*VLOOKUP('Données projet'!$B$13,Paramètres!$A$1:$I$89,3,0)*0.475*44/12</f>
        <v>11.727003712574895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41.637558528650942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88.170414732964616</v>
      </c>
      <c r="DU39" s="59">
        <f t="shared" si="44"/>
        <v>281.30515544919626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29.910554816076047</v>
      </c>
      <c r="EB39" s="21">
        <f>EXP(-LN(2)/25)*EB38+(1-EXP(-LN(2)/25))/(LN(2)/25)*Calculateur!DW39*Calculateur!DY39*VLOOKUP('Données projet'!$B$14,Paramètres!$A$1:$I$89,3,0)*0.475*44/12</f>
        <v>11.727003712574895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41.637558528650942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126.68520497482757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350.23567060304447</v>
      </c>
      <c r="H40" s="67">
        <f t="shared" si="1"/>
        <v>551.55213151314524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167.42995526007479</v>
      </c>
      <c r="T40" s="59">
        <f t="shared" si="34"/>
        <v>397.36718389105215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41.426083687554133</v>
      </c>
      <c r="AA40" s="21">
        <f>EXP(-LN(2)/25)*AA39+(1-EXP(-LN(2)/25))/(LN(2)/25)*Calculateur!V40*Calculateur!X40*VLOOKUP('Données projet'!$B$9,Paramètres!$A$1:$I$89,3,0)*0.475*44/12</f>
        <v>16.113731734062672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57.539815421616808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127.55710992710948</v>
      </c>
      <c r="AO40" s="59">
        <f t="shared" si="36"/>
        <v>417.43085823929903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43.526561170303353</v>
      </c>
      <c r="AV40" s="21">
        <f>EXP(-LN(2)/25)*AV39+(1-EXP(-LN(2)/25))/(LN(2)/25)*Calculateur!AQ40*Calculateur!AS40*VLOOKUP('Données projet'!$B$10,Paramètres!$A$1:$I$89,3,0)*0.475*44/12</f>
        <v>16.930766019170076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60.457327189473432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123.48243581061803</v>
      </c>
      <c r="BJ40" s="59">
        <f t="shared" si="38"/>
        <v>405.05940798527138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42.231127802139568</v>
      </c>
      <c r="BQ40" s="21">
        <f>EXP(-LN(2)/25)*BQ39+(1-EXP(-LN(2)/25))/(LN(2)/25)*Calculateur!BL40*Calculateur!BN40*VLOOKUP('Données projet'!$B$11,Paramètres!$A$1:$I$89,3,0)*0.475*44/12</f>
        <v>16.426874173361437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58.658001975501008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156.72204844493132</v>
      </c>
      <c r="CE40" s="59">
        <f t="shared" si="40"/>
        <v>377.72061016381247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39.37144995938872</v>
      </c>
      <c r="CL40" s="21">
        <f>EXP(-LN(2)/25)*CL39+(1-EXP(-LN(2)/25))/(LN(2)/25)*Calculateur!CG40*Calculateur!CI40*VLOOKUP('Données projet'!$B$12,Paramètres!$A$1:$I$89,3,0)*0.475*44/12</f>
        <v>15.314529546447693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54.685979505836414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88.170414732964616</v>
      </c>
      <c r="CZ40" s="59">
        <f t="shared" si="42"/>
        <v>281.30515544919626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29.324027079769824</v>
      </c>
      <c r="DG40" s="21">
        <f>EXP(-LN(2)/25)*DG39+(1-EXP(-LN(2)/25))/(LN(2)/25)*Calculateur!DB40*Calculateur!DD40*VLOOKUP('Données projet'!$B$13,Paramètres!$A$1:$I$89,3,0)*0.475*44/12</f>
        <v>11.406328179358212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40.730355259128032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88.170414732964616</v>
      </c>
      <c r="DU40" s="59">
        <f t="shared" si="44"/>
        <v>281.30515544919626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29.324027079769824</v>
      </c>
      <c r="EB40" s="21">
        <f>EXP(-LN(2)/25)*EB39+(1-EXP(-LN(2)/25))/(LN(2)/25)*Calculateur!DW40*Calculateur!DY40*VLOOKUP('Données projet'!$B$14,Paramètres!$A$1:$I$89,3,0)*0.475*44/12</f>
        <v>11.406328179358212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40.730355259128032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126.91618690109212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358.95792831212935</v>
      </c>
      <c r="H41" s="67">
        <f t="shared" si="1"/>
        <v>553.52009090875754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167.42995526007479</v>
      </c>
      <c r="T41" s="59">
        <f t="shared" si="34"/>
        <v>397.36718389105215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40.613743453857296</v>
      </c>
      <c r="AA41" s="21">
        <f>EXP(-LN(2)/25)*AA40+(1-EXP(-LN(2)/25))/(LN(2)/25)*Calculateur!V41*Calculateur!X41*VLOOKUP('Données projet'!$B$9,Paramètres!$A$1:$I$89,3,0)*0.475*44/12</f>
        <v>15.673100892410405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56.286844346267699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127.55710992710948</v>
      </c>
      <c r="AO41" s="59">
        <f t="shared" si="36"/>
        <v>417.43085823929903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42.67303185433456</v>
      </c>
      <c r="AV41" s="21">
        <f>EXP(-LN(2)/25)*AV40+(1-EXP(-LN(2)/25))/(LN(2)/25)*Calculateur!AQ41*Calculateur!AS41*VLOOKUP('Données projet'!$B$10,Paramètres!$A$1:$I$89,3,0)*0.475*44/12</f>
        <v>16.467793332025579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59.140825186360139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123.48243581061803</v>
      </c>
      <c r="BJ41" s="59">
        <f t="shared" si="38"/>
        <v>405.05940798527138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41.403001144384135</v>
      </c>
      <c r="BQ41" s="21">
        <f>EXP(-LN(2)/25)*BQ40+(1-EXP(-LN(2)/25))/(LN(2)/25)*Calculateur!BL41*Calculateur!BN41*VLOOKUP('Données projet'!$B$11,Paramètres!$A$1:$I$89,3,0)*0.475*44/12</f>
        <v>15.977680435239099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57.380681579623236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156.72204844493132</v>
      </c>
      <c r="CE41" s="59">
        <f t="shared" si="40"/>
        <v>377.72061016381247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38.599399839898375</v>
      </c>
      <c r="CL41" s="21">
        <f>EXP(-LN(2)/25)*CL40+(1-EXP(-LN(2)/25))/(LN(2)/25)*Calculateur!CG41*Calculateur!CI41*VLOOKUP('Données projet'!$B$12,Paramètres!$A$1:$I$89,3,0)*0.475*44/12</f>
        <v>14.895752930643974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53.495152770542347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88.170414732964616</v>
      </c>
      <c r="CZ41" s="59">
        <f t="shared" si="42"/>
        <v>281.30515544919626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28.749000794625971</v>
      </c>
      <c r="DG41" s="21">
        <f>EXP(-LN(2)/25)*DG40+(1-EXP(-LN(2)/25))/(LN(2)/25)*Calculateur!DB41*Calculateur!DD41*VLOOKUP('Données projet'!$B$13,Paramètres!$A$1:$I$89,3,0)*0.475*44/12</f>
        <v>11.094421535460933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39.843422330086902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88.170414732964616</v>
      </c>
      <c r="DU41" s="59">
        <f t="shared" si="44"/>
        <v>281.30515544919626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28.749000794625971</v>
      </c>
      <c r="EB41" s="21">
        <f>EXP(-LN(2)/25)*EB40+(1-EXP(-LN(2)/25))/(LN(2)/25)*Calculateur!DW41*Calculateur!DY41*VLOOKUP('Données projet'!$B$14,Paramètres!$A$1:$I$89,3,0)*0.475*44/12</f>
        <v>11.094421535460933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39.843422330086902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127.1431618073342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367.674501900206</v>
      </c>
      <c r="H42" s="67">
        <f t="shared" si="1"/>
        <v>555.48676782456732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167.42995526007479</v>
      </c>
      <c r="T42" s="59">
        <f t="shared" si="34"/>
        <v>397.36718389105215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39.817332716664637</v>
      </c>
      <c r="AA42" s="21">
        <f>EXP(-LN(2)/25)*AA41+(1-EXP(-LN(2)/25))/(LN(2)/25)*Calculateur!V42*Calculateur!X42*VLOOKUP('Données projet'!$B$9,Paramètres!$A$1:$I$89,3,0)*0.475*44/12</f>
        <v>15.244519124294888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55.061851840959527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127.55710992710948</v>
      </c>
      <c r="AO42" s="59">
        <f t="shared" si="36"/>
        <v>417.43085823929903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41.836239727650444</v>
      </c>
      <c r="AV42" s="21">
        <f>EXP(-LN(2)/25)*AV41+(1-EXP(-LN(2)/25))/(LN(2)/25)*Calculateur!AQ42*Calculateur!AS42*VLOOKUP('Données projet'!$B$10,Paramètres!$A$1:$I$89,3,0)*0.475*44/12</f>
        <v>16.017480657357726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57.853720385008174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123.48243581061803</v>
      </c>
      <c r="BJ42" s="59">
        <f t="shared" si="38"/>
        <v>405.05940798527138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40.591113545279903</v>
      </c>
      <c r="BQ42" s="21">
        <f>EXP(-LN(2)/25)*BQ41+(1-EXP(-LN(2)/25))/(LN(2)/25)*Calculateur!BL42*Calculateur!BN42*VLOOKUP('Données projet'!$B$11,Paramètres!$A$1:$I$89,3,0)*0.475*44/12</f>
        <v>15.54076992350779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56.131883468787692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156.72204844493132</v>
      </c>
      <c r="CE42" s="59">
        <f t="shared" si="40"/>
        <v>377.72061016381247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37.842489152347163</v>
      </c>
      <c r="CL42" s="21">
        <f>EXP(-LN(2)/25)*CL41+(1-EXP(-LN(2)/25))/(LN(2)/25)*Calculateur!CG42*Calculateur!CI42*VLOOKUP('Données projet'!$B$12,Paramètres!$A$1:$I$89,3,0)*0.475*44/12</f>
        <v>14.488427783421912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52.330916935769075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88.170414732964616</v>
      </c>
      <c r="CZ42" s="59">
        <f t="shared" si="42"/>
        <v>281.30515544919626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28.185250424202387</v>
      </c>
      <c r="DG42" s="21">
        <f>EXP(-LN(2)/25)*DG41+(1-EXP(-LN(2)/25))/(LN(2)/25)*Calculateur!DB42*Calculateur!DD42*VLOOKUP('Données projet'!$B$13,Paramètres!$A$1:$I$89,3,0)*0.475*44/12</f>
        <v>10.791043995143482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38.976294419345869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88.170414732964616</v>
      </c>
      <c r="DU42" s="59">
        <f t="shared" si="44"/>
        <v>281.30515544919626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28.185250424202387</v>
      </c>
      <c r="EB42" s="21">
        <f>EXP(-LN(2)/25)*EB41+(1-EXP(-LN(2)/25))/(LN(2)/25)*Calculateur!DW42*Calculateur!DY42*VLOOKUP('Données projet'!$B$14,Paramètres!$A$1:$I$89,3,0)*0.475*44/12</f>
        <v>10.791043995143482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38.976294419345869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127.36619920639285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376.38555387234192</v>
      </c>
      <c r="H43" s="67">
        <f t="shared" si="1"/>
        <v>557.45219892578052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167.42995526007479</v>
      </c>
      <c r="T43" s="59">
        <f t="shared" si="34"/>
        <v>397.36718389105215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39.036539108265742</v>
      </c>
      <c r="AA43" s="21">
        <f>EXP(-LN(2)/25)*AA42+(1-EXP(-LN(2)/25))/(LN(2)/25)*Calculateur!V43*Calculateur!X43*VLOOKUP('Données projet'!$B$9,Paramètres!$A$1:$I$89,3,0)*0.475*44/12</f>
        <v>14.827656947166625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53.864196055432366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127.55710992710948</v>
      </c>
      <c r="AO43" s="59">
        <f t="shared" si="36"/>
        <v>417.43085823929903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41.015856584177797</v>
      </c>
      <c r="AV43" s="21">
        <f>EXP(-LN(2)/25)*AV42+(1-EXP(-LN(2)/25))/(LN(2)/25)*Calculateur!AQ43*Calculateur!AS43*VLOOKUP('Données projet'!$B$10,Paramètres!$A$1:$I$89,3,0)*0.475*44/12</f>
        <v>15.579481806459579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56.59533839063738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123.48243581061803</v>
      </c>
      <c r="BJ43" s="59">
        <f t="shared" si="38"/>
        <v>405.05940798527138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39.795146566791566</v>
      </c>
      <c r="BQ43" s="21">
        <f>EXP(-LN(2)/25)*BQ42+(1-EXP(-LN(2)/25))/(LN(2)/25)*Calculateur!BL43*Calculateur!BN43*VLOOKUP('Données projet'!$B$11,Paramètres!$A$1:$I$89,3,0)*0.475*44/12</f>
        <v>15.115806752695898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54.910953319487461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156.72204844493132</v>
      </c>
      <c r="CE43" s="59">
        <f t="shared" si="40"/>
        <v>377.72061016381247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37.100421021708897</v>
      </c>
      <c r="CL43" s="21">
        <f>EXP(-LN(2)/25)*CL42+(1-EXP(-LN(2)/25))/(LN(2)/25)*Calculateur!CG43*Calculateur!CI43*VLOOKUP('Données projet'!$B$12,Paramètres!$A$1:$I$89,3,0)*0.475*44/12</f>
        <v>14.092240963770937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51.19266198547983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88.170414732964616</v>
      </c>
      <c r="CZ43" s="59">
        <f t="shared" si="42"/>
        <v>281.30515544919626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27.632554854689037</v>
      </c>
      <c r="DG43" s="21">
        <f>EXP(-LN(2)/25)*DG42+(1-EXP(-LN(2)/25))/(LN(2)/25)*Calculateur!DB43*Calculateur!DD43*VLOOKUP('Données projet'!$B$13,Paramètres!$A$1:$I$89,3,0)*0.475*44/12</f>
        <v>10.495962329619944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38.128517184308983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88.170414732964616</v>
      </c>
      <c r="DU43" s="59">
        <f t="shared" si="44"/>
        <v>281.30515544919626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27.632554854689037</v>
      </c>
      <c r="EB43" s="21">
        <f>EXP(-LN(2)/25)*EB42+(1-EXP(-LN(2)/25))/(LN(2)/25)*Calculateur!DW43*Calculateur!DY43*VLOOKUP('Données projet'!$B$14,Paramètres!$A$1:$I$89,3,0)*0.475*44/12</f>
        <v>10.495962329619944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38.128517184308983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127.58536740521477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385.09123814526288</v>
      </c>
      <c r="H44" s="67">
        <f t="shared" si="1"/>
        <v>559.41641893985832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167.42995526007479</v>
      </c>
      <c r="T44" s="59">
        <f t="shared" si="34"/>
        <v>397.36718389105215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38.271056386290468</v>
      </c>
      <c r="AA44" s="21">
        <f>EXP(-LN(2)/25)*AA43+(1-EXP(-LN(2)/25))/(LN(2)/25)*Calculateur!V44*Calculateur!X44*VLOOKUP('Données projet'!$B$9,Paramètres!$A$1:$I$89,3,0)*0.475*44/12</f>
        <v>14.422193888193764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52.693250274484228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127.55710992710948</v>
      </c>
      <c r="AO44" s="59">
        <f t="shared" si="36"/>
        <v>417.43085823929903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40.211560653764344</v>
      </c>
      <c r="AV44" s="21">
        <f>EXP(-LN(2)/25)*AV43+(1-EXP(-LN(2)/25))/(LN(2)/25)*Calculateur!AQ44*Calculateur!AS44*VLOOKUP('Données projet'!$B$10,Paramètres!$A$1:$I$89,3,0)*0.475*44/12</f>
        <v>15.153460057172602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55.365020710936946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123.48243581061803</v>
      </c>
      <c r="BJ44" s="59">
        <f t="shared" si="38"/>
        <v>405.05940798527138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39.014788015259462</v>
      </c>
      <c r="BQ44" s="21">
        <f>EXP(-LN(2)/25)*BQ43+(1-EXP(-LN(2)/25))/(LN(2)/25)*Calculateur!BL44*Calculateur!BN44*VLOOKUP('Données projet'!$B$11,Paramètres!$A$1:$I$89,3,0)*0.475*44/12</f>
        <v>14.702464222137699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53.717252237397162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156.72204844493132</v>
      </c>
      <c r="CE44" s="59">
        <f t="shared" si="40"/>
        <v>377.72061016381247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36.372904394495578</v>
      </c>
      <c r="CL44" s="21">
        <f>EXP(-LN(2)/25)*CL43+(1-EXP(-LN(2)/25))/(LN(2)/25)*Calculateur!CG44*Calculateur!CI44*VLOOKUP('Données projet'!$B$12,Paramètres!$A$1:$I$89,3,0)*0.475*44/12</f>
        <v>13.706887893537877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50.079792288033453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88.170414732964616</v>
      </c>
      <c r="CZ44" s="59">
        <f t="shared" si="42"/>
        <v>281.30515544919626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27.090697308182833</v>
      </c>
      <c r="DG44" s="21">
        <f>EXP(-LN(2)/25)*DG43+(1-EXP(-LN(2)/25))/(LN(2)/25)*Calculateur!DB44*Calculateur!DD44*VLOOKUP('Données projet'!$B$13,Paramètres!$A$1:$I$89,3,0)*0.475*44/12</f>
        <v>10.208949687757817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37.299646995940648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88.170414732964616</v>
      </c>
      <c r="DU44" s="59">
        <f t="shared" si="44"/>
        <v>281.30515544919626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27.090697308182833</v>
      </c>
      <c r="EB44" s="21">
        <f>EXP(-LN(2)/25)*EB43+(1-EXP(-LN(2)/25))/(LN(2)/25)*Calculateur!DW44*Calculateur!DY44*VLOOKUP('Données projet'!$B$14,Paramètres!$A$1:$I$89,3,0)*0.475*44/12</f>
        <v>10.208949687757817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37.299646995940648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127.80073352577381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393.79170069948515</v>
      </c>
      <c r="H45" s="67">
        <f t="shared" si="1"/>
        <v>561.37946080365464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167.42995526007479</v>
      </c>
      <c r="T45" s="59">
        <f t="shared" si="34"/>
        <v>397.36718389105215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37.520584313594775</v>
      </c>
      <c r="AA45" s="21">
        <f>EXP(-LN(2)/25)*AA44+(1-EXP(-LN(2)/25))/(LN(2)/25)*Calculateur!V45*Calculateur!X45*VLOOKUP('Données projet'!$B$9,Paramètres!$A$1:$I$89,3,0)*0.475*44/12</f>
        <v>14.027818237890891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51.548402551485665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127.55710992710948</v>
      </c>
      <c r="AO45" s="59">
        <f t="shared" si="36"/>
        <v>417.43085823929903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39.423036475974222</v>
      </c>
      <c r="AV45" s="21">
        <f>EXP(-LN(2)/25)*AV44+(1-EXP(-LN(2)/25))/(LN(2)/25)*Calculateur!AQ45*Calculateur!AS45*VLOOKUP('Données projet'!$B$10,Paramètres!$A$1:$I$89,3,0)*0.475*44/12</f>
        <v>14.739087895023387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54.16212437099761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123.48243581061803</v>
      </c>
      <c r="BJ45" s="59">
        <f t="shared" si="38"/>
        <v>405.05940798527138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38.24973181895119</v>
      </c>
      <c r="BQ45" s="21">
        <f>EXP(-LN(2)/25)*BQ44+(1-EXP(-LN(2)/25))/(LN(2)/25)*Calculateur!BL45*Calculateur!BN45*VLOOKUP('Données projet'!$B$11,Paramètres!$A$1:$I$89,3,0)*0.475*44/12</f>
        <v>14.300424564814353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52.55015638376554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156.72204844493132</v>
      </c>
      <c r="CE45" s="59">
        <f t="shared" si="40"/>
        <v>377.72061016381247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35.659653924600583</v>
      </c>
      <c r="CL45" s="21">
        <f>EXP(-LN(2)/25)*CL44+(1-EXP(-LN(2)/25))/(LN(2)/25)*Calculateur!CG45*Calculateur!CI45*VLOOKUP('Données projet'!$B$12,Paramètres!$A$1:$I$89,3,0)*0.475*44/12</f>
        <v>13.332072323275177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48.991726247875761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88.170414732964616</v>
      </c>
      <c r="CZ45" s="59">
        <f t="shared" si="42"/>
        <v>281.30515544919626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26.559465257663145</v>
      </c>
      <c r="DG45" s="21">
        <f>EXP(-LN(2)/25)*DG44+(1-EXP(-LN(2)/25))/(LN(2)/25)*Calculateur!DB45*Calculateur!DD45*VLOOKUP('Données projet'!$B$13,Paramètres!$A$1:$I$89,3,0)*0.475*44/12</f>
        <v>9.929785421680748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36.489250679343897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88.170414732964616</v>
      </c>
      <c r="DU45" s="59">
        <f t="shared" si="44"/>
        <v>281.30515544919626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26.559465257663145</v>
      </c>
      <c r="EB45" s="21">
        <f>EXP(-LN(2)/25)*EB44+(1-EXP(-LN(2)/25))/(LN(2)/25)*Calculateur!DW45*Calculateur!DY45*VLOOKUP('Données projet'!$B$14,Paramètres!$A$1:$I$89,3,0)*0.475*44/12</f>
        <v>9.929785421680748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36.489250679343897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128.01236352562765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402.48708016759076</v>
      </c>
      <c r="H46" s="67">
        <f t="shared" si="1"/>
        <v>563.34135579614599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167.42995526007479</v>
      </c>
      <c r="T46" s="59">
        <f t="shared" si="34"/>
        <v>397.36718389105215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36.784828540501877</v>
      </c>
      <c r="AA46" s="21">
        <f>EXP(-LN(2)/25)*AA45+(1-EXP(-LN(2)/25))/(LN(2)/25)*Calculateur!V46*Calculateur!X46*VLOOKUP('Données projet'!$B$9,Paramètres!$A$1:$I$89,3,0)*0.475*44/12</f>
        <v>13.644226810484865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50.429055350986744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127.55710992710948</v>
      </c>
      <c r="AO46" s="59">
        <f t="shared" si="36"/>
        <v>417.43085823929903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38.649974776358306</v>
      </c>
      <c r="AV46" s="21">
        <f>EXP(-LN(2)/25)*AV45+(1-EXP(-LN(2)/25))/(LN(2)/25)*Calculateur!AQ46*Calculateur!AS46*VLOOKUP('Données projet'!$B$10,Paramètres!$A$1:$I$89,3,0)*0.475*44/12</f>
        <v>14.336046761439027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52.986021537797335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123.48243581061803</v>
      </c>
      <c r="BJ46" s="59">
        <f t="shared" si="38"/>
        <v>405.05940798527138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37.49967790801432</v>
      </c>
      <c r="BQ46" s="21">
        <f>EXP(-LN(2)/25)*BQ45+(1-EXP(-LN(2)/25))/(LN(2)/25)*Calculateur!BL46*Calculateur!BN46*VLOOKUP('Données projet'!$B$11,Paramètres!$A$1:$I$89,3,0)*0.475*44/12</f>
        <v>13.909378703062862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51.409056611077183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156.72204844493132</v>
      </c>
      <c r="CE46" s="59">
        <f t="shared" si="40"/>
        <v>377.72061016381247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34.960389861380399</v>
      </c>
      <c r="CL46" s="21">
        <f>EXP(-LN(2)/25)*CL45+(1-EXP(-LN(2)/25))/(LN(2)/25)*Calculateur!CG46*Calculateur!CI46*VLOOKUP('Données projet'!$B$12,Paramètres!$A$1:$I$89,3,0)*0.475*44/12</f>
        <v>12.967506104492005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47.927895965872402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88.170414732964616</v>
      </c>
      <c r="CZ46" s="59">
        <f t="shared" si="42"/>
        <v>281.30515544919626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26.038650343634593</v>
      </c>
      <c r="DG46" s="21">
        <f>EXP(-LN(2)/25)*DG45+(1-EXP(-LN(2)/25))/(LN(2)/25)*Calculateur!DB46*Calculateur!DD46*VLOOKUP('Données projet'!$B$13,Paramètres!$A$1:$I$89,3,0)*0.475*44/12</f>
        <v>9.6582549171401677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35.696905260774763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88.170414732964616</v>
      </c>
      <c r="DU46" s="59">
        <f t="shared" si="44"/>
        <v>281.30515544919626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26.038650343634593</v>
      </c>
      <c r="EB46" s="21">
        <f>EXP(-LN(2)/25)*EB45+(1-EXP(-LN(2)/25))/(LN(2)/25)*Calculateur!DW46*Calculateur!DY46*VLOOKUP('Données projet'!$B$14,Paramètres!$A$1:$I$89,3,0)*0.475*44/12</f>
        <v>9.6582549171401677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35.696905260774763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128.22032221811781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411.17750836623765</v>
      </c>
      <c r="H47" s="67">
        <f t="shared" si="1"/>
        <v>565.30213365846566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167.42995526007479</v>
      </c>
      <c r="T47" s="59">
        <f t="shared" si="34"/>
        <v>397.36718389105215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36.06350048935262</v>
      </c>
      <c r="AA47" s="21">
        <f>EXP(-LN(2)/25)*AA46+(1-EXP(-LN(2)/25))/(LN(2)/25)*Calculateur!V47*Calculateur!X47*VLOOKUP('Données projet'!$B$9,Paramètres!$A$1:$I$89,3,0)*0.475*44/12</f>
        <v>13.271124710833453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49.334625200186075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127.55710992710948</v>
      </c>
      <c r="AO47" s="59">
        <f t="shared" si="36"/>
        <v>417.43085823929903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37.89207234515078</v>
      </c>
      <c r="AV47" s="21">
        <f>EXP(-LN(2)/25)*AV46+(1-EXP(-LN(2)/25))/(LN(2)/25)*Calculateur!AQ47*Calculateur!AS47*VLOOKUP('Données projet'!$B$10,Paramètres!$A$1:$I$89,3,0)*0.475*44/12</f>
        <v>13.944026808847543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51.836099153998319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123.48243581061803</v>
      </c>
      <c r="BJ47" s="59">
        <f t="shared" si="38"/>
        <v>405.05940798527138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36.764332096783207</v>
      </c>
      <c r="BQ47" s="21">
        <f>EXP(-LN(2)/25)*BQ46+(1-EXP(-LN(2)/25))/(LN(2)/25)*Calculateur!BL47*Calculateur!BN47*VLOOKUP('Données projet'!$B$11,Paramètres!$A$1:$I$89,3,0)*0.475*44/12</f>
        <v>13.529026010965172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50.293358107748375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156.72204844493132</v>
      </c>
      <c r="CE47" s="59">
        <f t="shared" si="40"/>
        <v>377.72061016381247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34.274837939931004</v>
      </c>
      <c r="CL47" s="21">
        <f>EXP(-LN(2)/25)*CL46+(1-EXP(-LN(2)/25))/(LN(2)/25)*Calculateur!CG47*Calculateur!CI47*VLOOKUP('Données projet'!$B$12,Paramètres!$A$1:$I$89,3,0)*0.475*44/12</f>
        <v>12.612908968133162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46.887746908064166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88.170414732964616</v>
      </c>
      <c r="CZ47" s="59">
        <f t="shared" si="42"/>
        <v>281.30515544919626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25.52804829240441</v>
      </c>
      <c r="DG47" s="21">
        <f>EXP(-LN(2)/25)*DG46+(1-EXP(-LN(2)/25))/(LN(2)/25)*Calculateur!DB47*Calculateur!DD47*VLOOKUP('Données projet'!$B$13,Paramètres!$A$1:$I$89,3,0)*0.475*44/12</f>
        <v>9.3941494285254183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34.92219772092983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88.170414732964616</v>
      </c>
      <c r="DU47" s="59">
        <f t="shared" si="44"/>
        <v>281.30515544919626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25.52804829240441</v>
      </c>
      <c r="EB47" s="21">
        <f>EXP(-LN(2)/25)*EB46+(1-EXP(-LN(2)/25))/(LN(2)/25)*Calculateur!DW47*Calculateur!DY47*VLOOKUP('Données projet'!$B$14,Paramètres!$A$1:$I$89,3,0)*0.475*44/12</f>
        <v>9.3941494285254183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34.92219772092983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128.4246732922193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419.86311077844152</v>
      </c>
      <c r="H48" s="67">
        <f t="shared" si="1"/>
        <v>567.2618227027192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167.42995526007479</v>
      </c>
      <c r="T48" s="59">
        <f t="shared" si="34"/>
        <v>397.36718389105215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35.356317241319736</v>
      </c>
      <c r="AA48" s="21">
        <f>EXP(-LN(2)/25)*AA47+(1-EXP(-LN(2)/25))/(LN(2)/25)*Calculateur!V48*Calculateur!X48*VLOOKUP('Données projet'!$B$9,Paramètres!$A$1:$I$89,3,0)*0.475*44/12</f>
        <v>12.908225107717595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48.264542349037328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127.55710992710948</v>
      </c>
      <c r="AO48" s="59">
        <f t="shared" si="36"/>
        <v>417.43085823929903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37.149031918344392</v>
      </c>
      <c r="AV48" s="21">
        <f>EXP(-LN(2)/25)*AV47+(1-EXP(-LN(2)/25))/(LN(2)/25)*Calculateur!AQ48*Calculateur!AS48*VLOOKUP('Données projet'!$B$10,Paramètres!$A$1:$I$89,3,0)*0.475*44/12</f>
        <v>13.562726662475105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50.711758580819499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123.48243581061803</v>
      </c>
      <c r="BJ48" s="59">
        <f t="shared" si="38"/>
        <v>405.05940798527138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36.043405968393678</v>
      </c>
      <c r="BQ48" s="21">
        <f>EXP(-LN(2)/25)*BQ47+(1-EXP(-LN(2)/25))/(LN(2)/25)*Calculateur!BL48*Calculateur!BN48*VLOOKUP('Données projet'!$B$11,Paramètres!$A$1:$I$89,3,0)*0.475*44/12</f>
        <v>13.159074083234772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49.202480051628449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156.72204844493132</v>
      </c>
      <c r="CE48" s="59">
        <f t="shared" si="40"/>
        <v>377.72061016381247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33.602729273515848</v>
      </c>
      <c r="CL48" s="21">
        <f>EXP(-LN(2)/25)*CL47+(1-EXP(-LN(2)/25))/(LN(2)/25)*Calculateur!CG48*Calculateur!CI48*VLOOKUP('Données projet'!$B$12,Paramètres!$A$1:$I$89,3,0)*0.475*44/12</f>
        <v>12.268008309115505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45.870737582631349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88.170414732964616</v>
      </c>
      <c r="CZ48" s="59">
        <f t="shared" si="42"/>
        <v>281.30515544919626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25.027458835962353</v>
      </c>
      <c r="DG48" s="21">
        <f>EXP(-LN(2)/25)*DG47+(1-EXP(-LN(2)/25))/(LN(2)/25)*Calculateur!DB48*Calculateur!DD48*VLOOKUP('Données projet'!$B$13,Paramètres!$A$1:$I$89,3,0)*0.475*44/12</f>
        <v>9.1372659183855429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34.164724754347894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88.170414732964616</v>
      </c>
      <c r="DU48" s="59">
        <f t="shared" si="44"/>
        <v>281.30515544919626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25.027458835962353</v>
      </c>
      <c r="EB48" s="21">
        <f>EXP(-LN(2)/25)*EB47+(1-EXP(-LN(2)/25))/(LN(2)/25)*Calculateur!DW48*Calculateur!DY48*VLOOKUP('Données projet'!$B$14,Paramètres!$A$1:$I$89,3,0)*0.475*44/12</f>
        <v>9.1372659183855429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34.164724754347894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128.62547933204567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428.54400699178024</v>
      </c>
      <c r="H49" s="67">
        <f t="shared" si="1"/>
        <v>569.22044991085374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167.42995526007479</v>
      </c>
      <c r="T49" s="59">
        <f t="shared" si="34"/>
        <v>397.36718389105215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34.663001425441585</v>
      </c>
      <c r="AA49" s="21">
        <f>EXP(-LN(2)/25)*AA48+(1-EXP(-LN(2)/25))/(LN(2)/25)*Calculateur!V49*Calculateur!X49*VLOOKUP('Données projet'!$B$9,Paramètres!$A$1:$I$89,3,0)*0.475*44/12</f>
        <v>12.555249013333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47.218250438774589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127.55710992710948</v>
      </c>
      <c r="AO49" s="59">
        <f t="shared" si="36"/>
        <v>417.43085823929903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36.420562061097769</v>
      </c>
      <c r="AV49" s="21">
        <f>EXP(-LN(2)/25)*AV48+(1-EXP(-LN(2)/25))/(LN(2)/25)*Calculateur!AQ49*Calculateur!AS49*VLOOKUP('Données projet'!$B$10,Paramètres!$A$1:$I$89,3,0)*0.475*44/12</f>
        <v>13.191853188656927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49.612415249754697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123.48243581061803</v>
      </c>
      <c r="BJ49" s="59">
        <f t="shared" si="38"/>
        <v>405.05940798527138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35.336616761660352</v>
      </c>
      <c r="BQ49" s="21">
        <f>EXP(-LN(2)/25)*BQ48+(1-EXP(-LN(2)/25))/(LN(2)/25)*Calculateur!BL49*Calculateur!BN49*VLOOKUP('Données projet'!$B$11,Paramètres!$A$1:$I$89,3,0)*0.475*44/12</f>
        <v>12.799238510423088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48.13585527208344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156.72204844493132</v>
      </c>
      <c r="CE49" s="59">
        <f t="shared" si="40"/>
        <v>377.72061016381247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32.94380024810328</v>
      </c>
      <c r="CL49" s="21">
        <f>EXP(-LN(2)/25)*CL48+(1-EXP(-LN(2)/25))/(LN(2)/25)*Calculateur!CG49*Calculateur!CI49*VLOOKUP('Données projet'!$B$12,Paramètres!$A$1:$I$89,3,0)*0.475*44/12</f>
        <v>11.932538976756224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44.876339224859507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88.170414732964616</v>
      </c>
      <c r="CZ49" s="59">
        <f t="shared" si="42"/>
        <v>281.30515544919626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24.536685633431702</v>
      </c>
      <c r="DG49" s="21">
        <f>EXP(-LN(2)/25)*DG48+(1-EXP(-LN(2)/25))/(LN(2)/25)*Calculateur!DB49*Calculateur!DD49*VLOOKUP('Données projet'!$B$13,Paramètres!$A$1:$I$89,3,0)*0.475*44/12</f>
        <v>8.8874069013393591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33.424092534771063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88.170414732964616</v>
      </c>
      <c r="DU49" s="59">
        <f t="shared" si="44"/>
        <v>281.30515544919626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24.536685633431702</v>
      </c>
      <c r="EB49" s="21">
        <f>EXP(-LN(2)/25)*EB48+(1-EXP(-LN(2)/25))/(LN(2)/25)*Calculateur!DW49*Calculateur!DY49*VLOOKUP('Données projet'!$B$14,Paramètres!$A$1:$I$89,3,0)*0.475*44/12</f>
        <v>8.8874069013393591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33.424092534771063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128.82280183601608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437.22031109741749</v>
      </c>
      <c r="H50" s="67">
        <f t="shared" si="1"/>
        <v>571.17804102468813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167.42995526007479</v>
      </c>
      <c r="T50" s="59">
        <f t="shared" si="34"/>
        <v>397.36718389105215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33.983281109831914</v>
      </c>
      <c r="AA50" s="21">
        <f>EXP(-LN(2)/25)*AA49+(1-EXP(-LN(2)/25))/(LN(2)/25)*Calculateur!V50*Calculateur!X50*VLOOKUP('Données projet'!$B$9,Paramètres!$A$1:$I$89,3,0)*0.475*44/12</f>
        <v>12.21192506881156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46.195206178643474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127.55710992710948</v>
      </c>
      <c r="AO50" s="59">
        <f t="shared" si="36"/>
        <v>417.43085823929903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35.706377053429016</v>
      </c>
      <c r="AV50" s="21">
        <f>EXP(-LN(2)/25)*AV49+(1-EXP(-LN(2)/25))/(LN(2)/25)*Calculateur!AQ50*Calculateur!AS50*VLOOKUP('Données projet'!$B$10,Paramètres!$A$1:$I$89,3,0)*0.475*44/12</f>
        <v>12.831121269483694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48.537498322912711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123.48243581061803</v>
      </c>
      <c r="BJ50" s="59">
        <f t="shared" si="38"/>
        <v>405.05940798527138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34.643687260172214</v>
      </c>
      <c r="BQ50" s="21">
        <f>EXP(-LN(2)/25)*BQ49+(1-EXP(-LN(2)/25))/(LN(2)/25)*Calculateur!BL50*Calculateur!BN50*VLOOKUP('Données projet'!$B$11,Paramètres!$A$1:$I$89,3,0)*0.475*44/12</f>
        <v>12.449242660272867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47.09292992044508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156.72204844493132</v>
      </c>
      <c r="CE50" s="59">
        <f t="shared" si="40"/>
        <v>377.72061016381247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32.297792418972037</v>
      </c>
      <c r="CL50" s="21">
        <f>EXP(-LN(2)/25)*CL49+(1-EXP(-LN(2)/25))/(LN(2)/25)*Calculateur!CG50*Calculateur!CI50*VLOOKUP('Données projet'!$B$12,Paramètres!$A$1:$I$89,3,0)*0.475*44/12</f>
        <v>11.606243070931871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43.904035489903904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88.170414732964616</v>
      </c>
      <c r="CZ50" s="59">
        <f t="shared" si="42"/>
        <v>281.30515544919626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24.055536194060583</v>
      </c>
      <c r="DG50" s="21">
        <f>EXP(-LN(2)/25)*DG49+(1-EXP(-LN(2)/25))/(LN(2)/25)*Calculateur!DB50*Calculateur!DD50*VLOOKUP('Données projet'!$B$13,Paramètres!$A$1:$I$89,3,0)*0.475*44/12</f>
        <v>8.6443802922538175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32.6999164863144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88.170414732964616</v>
      </c>
      <c r="DU50" s="59">
        <f t="shared" si="44"/>
        <v>281.30515544919626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24.055536194060583</v>
      </c>
      <c r="EB50" s="21">
        <f>EXP(-LN(2)/25)*EB49+(1-EXP(-LN(2)/25))/(LN(2)/25)*Calculateur!DW50*Calculateur!DY50*VLOOKUP('Données projet'!$B$14,Paramètres!$A$1:$I$89,3,0)*0.475*44/12</f>
        <v>8.6443802922538175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32.6999164863144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129.01670123568965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445.89213205420975</v>
      </c>
      <c r="H51" s="67">
        <f t="shared" si="1"/>
        <v>573.13462062806445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167.42995526007479</v>
      </c>
      <c r="T51" s="59">
        <f t="shared" si="34"/>
        <v>397.36718389105215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33.316889695022894</v>
      </c>
      <c r="AA51" s="21">
        <f>EXP(-LN(2)/25)*AA50+(1-EXP(-LN(2)/25))/(LN(2)/25)*Calculateur!V51*Calculateur!X51*VLOOKUP('Données projet'!$B$9,Paramètres!$A$1:$I$89,3,0)*0.475*44/12</f>
        <v>11.87798933560768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45.194879030630574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127.55710992710948</v>
      </c>
      <c r="AO51" s="59">
        <f t="shared" si="36"/>
        <v>417.43085823929903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35.006196778150802</v>
      </c>
      <c r="AV51" s="21">
        <f>EXP(-LN(2)/25)*AV50+(1-EXP(-LN(2)/25))/(LN(2)/25)*Calculateur!AQ51*Calculateur!AS51*VLOOKUP('Données projet'!$B$10,Paramètres!$A$1:$I$89,3,0)*0.475*44/12</f>
        <v>12.48025358361032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47.486450361761122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123.48243581061803</v>
      </c>
      <c r="BJ51" s="59">
        <f t="shared" si="38"/>
        <v>405.05940798527138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33.964345683562996</v>
      </c>
      <c r="BQ51" s="21">
        <f>EXP(-LN(2)/25)*BQ50+(1-EXP(-LN(2)/25))/(LN(2)/25)*Calculateur!BL51*Calculateur!BN51*VLOOKUP('Données projet'!$B$11,Paramètres!$A$1:$I$89,3,0)*0.475*44/12</f>
        <v>12.108817465050487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46.073163148613482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156.72204844493132</v>
      </c>
      <c r="CE51" s="59">
        <f t="shared" si="40"/>
        <v>377.72061016381247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31.664452409344186</v>
      </c>
      <c r="CL51" s="21">
        <f>EXP(-LN(2)/25)*CL50+(1-EXP(-LN(2)/25))/(LN(2)/25)*Calculateur!CG51*Calculateur!CI51*VLOOKUP('Données projet'!$B$12,Paramètres!$A$1:$I$89,3,0)*0.475*44/12</f>
        <v>11.288869743811443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42.953322153155625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88.170414732964616</v>
      </c>
      <c r="CZ51" s="59">
        <f t="shared" si="42"/>
        <v>281.30515544919626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23.583821801723349</v>
      </c>
      <c r="DG51" s="21">
        <f>EXP(-LN(2)/25)*DG50+(1-EXP(-LN(2)/25))/(LN(2)/25)*Calculateur!DB51*Calculateur!DD51*VLOOKUP('Données projet'!$B$13,Paramètres!$A$1:$I$89,3,0)*0.475*44/12</f>
        <v>8.407999258573934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31.991821060297283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88.170414732964616</v>
      </c>
      <c r="DU51" s="59">
        <f t="shared" si="44"/>
        <v>281.30515544919626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23.583821801723349</v>
      </c>
      <c r="EB51" s="21">
        <f>EXP(-LN(2)/25)*EB50+(1-EXP(-LN(2)/25))/(LN(2)/25)*Calculateur!DW51*Calculateur!DY51*VLOOKUP('Données projet'!$B$14,Paramètres!$A$1:$I$89,3,0)*0.475*44/12</f>
        <v>8.407999258573934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31.991821060297283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129.20723691427301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454.55957402161437</v>
      </c>
      <c r="H52" s="67">
        <f t="shared" si="1"/>
        <v>575.09021222196009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167.42995526007479</v>
      </c>
      <c r="T52" s="59">
        <f t="shared" si="34"/>
        <v>397.36718389105215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32.66356580939965</v>
      </c>
      <c r="AA52" s="21">
        <f>EXP(-LN(2)/25)*AA51+(1-EXP(-LN(2)/25))/(LN(2)/25)*Calculateur!V52*Calculateur!X52*VLOOKUP('Données projet'!$B$9,Paramètres!$A$1:$I$89,3,0)*0.475*44/12</f>
        <v>11.553185092589176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44.216750901988824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127.55710992710948</v>
      </c>
      <c r="AO52" s="59">
        <f t="shared" si="36"/>
        <v>417.43085823929903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34.319746611002998</v>
      </c>
      <c r="AV52" s="21">
        <f>EXP(-LN(2)/25)*AV51+(1-EXP(-LN(2)/25))/(LN(2)/25)*Calculateur!AQ52*Calculateur!AS52*VLOOKUP('Données projet'!$B$10,Paramètres!$A$1:$I$89,3,0)*0.475*44/12</f>
        <v>12.138980393058484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46.45872700406148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123.48243581061803</v>
      </c>
      <c r="BJ52" s="59">
        <f t="shared" si="38"/>
        <v>405.05940798527138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33.298325580913641</v>
      </c>
      <c r="BQ52" s="21">
        <f>EXP(-LN(2)/25)*BQ51+(1-EXP(-LN(2)/25))/(LN(2)/25)*Calculateur!BL52*Calculateur!BN52*VLOOKUP('Données projet'!$B$11,Paramètres!$A$1:$I$89,3,0)*0.475*44/12</f>
        <v>11.777701214693646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45.076026795607291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156.72204844493132</v>
      </c>
      <c r="CE52" s="59">
        <f t="shared" si="40"/>
        <v>377.72061016381247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31.043531811005874</v>
      </c>
      <c r="CL52" s="21">
        <f>EXP(-LN(2)/25)*CL51+(1-EXP(-LN(2)/25))/(LN(2)/25)*Calculateur!CG52*Calculateur!CI52*VLOOKUP('Données projet'!$B$12,Paramètres!$A$1:$I$89,3,0)*0.475*44/12</f>
        <v>10.980175007011059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42.023706818016933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88.170414732964616</v>
      </c>
      <c r="CZ52" s="59">
        <f t="shared" si="42"/>
        <v>281.30515544919626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23.121357440902482</v>
      </c>
      <c r="DG52" s="21">
        <f>EXP(-LN(2)/25)*DG51+(1-EXP(-LN(2)/25))/(LN(2)/25)*Calculateur!DB52*Calculateur!DD52*VLOOKUP('Données projet'!$B$13,Paramètres!$A$1:$I$89,3,0)*0.475*44/12</f>
        <v>8.1780820766907656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31.29943951759325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88.170414732964616</v>
      </c>
      <c r="DU52" s="59">
        <f t="shared" si="44"/>
        <v>281.30515544919626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23.121357440902482</v>
      </c>
      <c r="EB52" s="21">
        <f>EXP(-LN(2)/25)*EB51+(1-EXP(-LN(2)/25))/(LN(2)/25)*Calculateur!DW52*Calculateur!DY52*VLOOKUP('Données projet'!$B$14,Paramètres!$A$1:$I$89,3,0)*0.475*44/12</f>
        <v>8.1780820766907656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31.29943951759325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129.3944672248069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463.2227366646531</v>
      </c>
      <c r="H53" s="67">
        <f t="shared" si="1"/>
        <v>577.0448382932957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167.42995526007479</v>
      </c>
      <c r="T53" s="59">
        <f t="shared" si="34"/>
        <v>397.36718389105215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32.023053206685255</v>
      </c>
      <c r="AA53" s="21">
        <f>EXP(-LN(2)/25)*AA52+(1-EXP(-LN(2)/25))/(LN(2)/25)*Calculateur!V53*Calculateur!X53*VLOOKUP('Données projet'!$B$9,Paramètres!$A$1:$I$89,3,0)*0.475*44/12</f>
        <v>11.237262638676727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43.26031584536198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127.55710992710948</v>
      </c>
      <c r="AO53" s="59">
        <f t="shared" si="36"/>
        <v>417.43085823929903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33.646757312939705</v>
      </c>
      <c r="AV53" s="21">
        <f>EXP(-LN(2)/25)*AV52+(1-EXP(-LN(2)/25))/(LN(2)/25)*Calculateur!AQ53*Calculateur!AS53*VLOOKUP('Données projet'!$B$10,Paramètres!$A$1:$I$89,3,0)*0.475*44/12</f>
        <v>11.807039335849064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45.453796648788767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123.48243581061803</v>
      </c>
      <c r="BJ53" s="59">
        <f t="shared" si="38"/>
        <v>405.05940798527138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32.645365726245089</v>
      </c>
      <c r="BQ53" s="21">
        <f>EXP(-LN(2)/25)*BQ52+(1-EXP(-LN(2)/25))/(LN(2)/25)*Calculateur!BL53*Calculateur!BN53*VLOOKUP('Données projet'!$B$11,Paramètres!$A$1:$I$89,3,0)*0.475*44/12</f>
        <v>11.45563935561546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44.101005081860549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156.72204844493132</v>
      </c>
      <c r="CE53" s="59">
        <f t="shared" si="40"/>
        <v>377.72061016381247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30.43478708687681</v>
      </c>
      <c r="CL53" s="21">
        <f>EXP(-LN(2)/25)*CL52+(1-EXP(-LN(2)/25))/(LN(2)/25)*Calculateur!CG53*Calculateur!CI53*VLOOKUP('Données projet'!$B$12,Paramètres!$A$1:$I$89,3,0)*0.475*44/12</f>
        <v>10.679921544022033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41.114708630898846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88.170414732964616</v>
      </c>
      <c r="CZ53" s="59">
        <f t="shared" si="42"/>
        <v>281.30515544919626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22.667961724121906</v>
      </c>
      <c r="DG53" s="21">
        <f>EXP(-LN(2)/25)*DG52+(1-EXP(-LN(2)/25))/(LN(2)/25)*Calculateur!DB53*Calculateur!DD53*VLOOKUP('Données projet'!$B$13,Paramètres!$A$1:$I$89,3,0)*0.475*44/12</f>
        <v>7.9544519922370114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30.622413716358917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88.170414732964616</v>
      </c>
      <c r="DU53" s="59">
        <f t="shared" si="44"/>
        <v>281.30515544919626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22.667961724121906</v>
      </c>
      <c r="EB53" s="21">
        <f>EXP(-LN(2)/25)*EB52+(1-EXP(-LN(2)/25))/(LN(2)/25)*Calculateur!DW53*Calculateur!DY53*VLOOKUP('Données projet'!$B$14,Paramètres!$A$1:$I$89,3,0)*0.475*44/12</f>
        <v>7.9544519922370114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30.622413716358917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129.57844950803729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471.88171543379087</v>
      </c>
      <c r="H54" s="67">
        <f t="shared" si="1"/>
        <v>578.99852037808239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167.42995526007479</v>
      </c>
      <c r="T54" s="59">
        <f t="shared" si="34"/>
        <v>397.36718389105215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31.395100665435976</v>
      </c>
      <c r="AA54" s="21">
        <f>EXP(-LN(2)/25)*AA53+(1-EXP(-LN(2)/25))/(LN(2)/25)*Calculateur!V54*Calculateur!X54*VLOOKUP('Données projet'!$B$9,Paramètres!$A$1:$I$89,3,0)*0.475*44/12</f>
        <v>10.929979100880153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42.325079766316129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127.55710992710948</v>
      </c>
      <c r="AO54" s="59">
        <f t="shared" si="36"/>
        <v>417.43085823929903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32.986964924528493</v>
      </c>
      <c r="AV54" s="21">
        <f>EXP(-LN(2)/25)*AV53+(1-EXP(-LN(2)/25))/(LN(2)/25)*Calculateur!AQ54*Calculateur!AS54*VLOOKUP('Données projet'!$B$10,Paramètres!$A$1:$I$89,3,0)*0.475*44/12</f>
        <v>11.484175224305059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44.471140148833555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123.48243581061803</v>
      </c>
      <c r="BJ54" s="59">
        <f t="shared" si="38"/>
        <v>405.05940798527138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32.005210016060396</v>
      </c>
      <c r="BQ54" s="21">
        <f>EXP(-LN(2)/25)*BQ53+(1-EXP(-LN(2)/25))/(LN(2)/25)*Calculateur!BL54*Calculateur!BN54*VLOOKUP('Données projet'!$B$11,Paramètres!$A$1:$I$89,3,0)*0.475*44/12</f>
        <v>11.142384295010265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43.147594311070662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156.72204844493132</v>
      </c>
      <c r="CE54" s="59">
        <f t="shared" si="40"/>
        <v>377.72061016381247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29.837979475490297</v>
      </c>
      <c r="CL54" s="21">
        <f>EXP(-LN(2)/25)*CL53+(1-EXP(-LN(2)/25))/(LN(2)/25)*Calculateur!CG54*Calculateur!CI54*VLOOKUP('Données projet'!$B$12,Paramètres!$A$1:$I$89,3,0)*0.475*44/12</f>
        <v>10.387878527768086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40.225858003258381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88.170414732964616</v>
      </c>
      <c r="CZ54" s="59">
        <f t="shared" si="42"/>
        <v>281.30515544919626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22.223456820803314</v>
      </c>
      <c r="DG54" s="21">
        <f>EXP(-LN(2)/25)*DG53+(1-EXP(-LN(2)/25))/(LN(2)/25)*Calculateur!DB54*Calculateur!DD54*VLOOKUP('Données projet'!$B$13,Paramètres!$A$1:$I$89,3,0)*0.475*44/12</f>
        <v>7.7369370842028404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29.960393905006153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88.170414732964616</v>
      </c>
      <c r="DU54" s="59">
        <f t="shared" si="44"/>
        <v>281.30515544919626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22.223456820803314</v>
      </c>
      <c r="EB54" s="21">
        <f>EXP(-LN(2)/25)*EB53+(1-EXP(-LN(2)/25))/(LN(2)/25)*Calculateur!DW54*Calculateur!DY54*VLOOKUP('Données projet'!$B$14,Paramètres!$A$1:$I$89,3,0)*0.475*44/12</f>
        <v>7.7369370842028404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29.960393905006153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129.75924010997642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480.53660182224155</v>
      </c>
      <c r="H55" s="67">
        <f t="shared" si="1"/>
        <v>580.95127911947657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167.42995526007479</v>
      </c>
      <c r="T55" s="59">
        <f t="shared" si="34"/>
        <v>397.36718389105215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30.779461890507363</v>
      </c>
      <c r="AA55" s="21">
        <f>EXP(-LN(2)/25)*AA54+(1-EXP(-LN(2)/25))/(LN(2)/25)*Calculateur!V55*Calculateur!X55*VLOOKUP('Données projet'!$B$9,Paramètres!$A$1:$I$89,3,0)*0.475*44/12</f>
        <v>10.631098247583965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41.410560138091327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127.55710992710948</v>
      </c>
      <c r="AO55" s="59">
        <f t="shared" si="36"/>
        <v>417.43085823929903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32.3401106624204</v>
      </c>
      <c r="AV55" s="21">
        <f>EXP(-LN(2)/25)*AV54+(1-EXP(-LN(2)/25))/(LN(2)/25)*Calculateur!AQ55*Calculateur!AS55*VLOOKUP('Données projet'!$B$10,Paramètres!$A$1:$I$89,3,0)*0.475*44/12</f>
        <v>11.170139848869908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43.510250511290309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123.48243581061803</v>
      </c>
      <c r="BJ55" s="59">
        <f t="shared" si="38"/>
        <v>405.05940798527138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31.377607368895998</v>
      </c>
      <c r="BQ55" s="21">
        <f>EXP(-LN(2)/25)*BQ54+(1-EXP(-LN(2)/25))/(LN(2)/25)*Calculateur!BL55*Calculateur!BN55*VLOOKUP('Données projet'!$B$11,Paramètres!$A$1:$I$89,3,0)*0.475*44/12</f>
        <v>10.837695210510686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42.215302579406682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156.72204844493132</v>
      </c>
      <c r="CE55" s="59">
        <f t="shared" si="40"/>
        <v>377.72061016381247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29.252874897346373</v>
      </c>
      <c r="CL55" s="21">
        <f>EXP(-LN(2)/25)*CL54+(1-EXP(-LN(2)/25))/(LN(2)/25)*Calculateur!CG55*Calculateur!CI55*VLOOKUP('Données projet'!$B$12,Paramètres!$A$1:$I$89,3,0)*0.475*44/12</f>
        <v>10.103821443151478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39.356696340497848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88.170414732964616</v>
      </c>
      <c r="CZ55" s="59">
        <f t="shared" si="42"/>
        <v>281.30515544919626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21.787668387517581</v>
      </c>
      <c r="DG55" s="21">
        <f>EXP(-LN(2)/25)*DG54+(1-EXP(-LN(2)/25))/(LN(2)/25)*Calculateur!DB55*Calculateur!DD55*VLOOKUP('Données projet'!$B$13,Paramètres!$A$1:$I$89,3,0)*0.475*44/12</f>
        <v>7.5253701327674758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29.313038520285055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88.170414732964616</v>
      </c>
      <c r="DU55" s="59">
        <f t="shared" si="44"/>
        <v>281.30515544919626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21.787668387517581</v>
      </c>
      <c r="EB55" s="21">
        <f>EXP(-LN(2)/25)*EB54+(1-EXP(-LN(2)/25))/(LN(2)/25)*Calculateur!DW55*Calculateur!DY55*VLOOKUP('Données projet'!$B$14,Paramètres!$A$1:$I$89,3,0)*0.475*44/12</f>
        <v>7.5253701327674758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29.313038520285055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129.93689439915909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489.18748360292329</v>
      </c>
      <c r="H56" s="67">
        <f t="shared" si="1"/>
        <v>582.90313432124287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167.42995526007479</v>
      </c>
      <c r="T56" s="59">
        <f t="shared" si="34"/>
        <v>397.36718389105215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30.175895416452526</v>
      </c>
      <c r="AA56" s="21">
        <f>EXP(-LN(2)/25)*AA55+(1-EXP(-LN(2)/25))/(LN(2)/25)*Calculateur!V56*Calculateur!X56*VLOOKUP('Données projet'!$B$9,Paramètres!$A$1:$I$89,3,0)*0.475*44/12</f>
        <v>10.340390306938623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40.51628572339115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127.55710992710948</v>
      </c>
      <c r="AO56" s="59">
        <f t="shared" si="36"/>
        <v>417.43085823929903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31.705940817850106</v>
      </c>
      <c r="AV56" s="21">
        <f>EXP(-LN(2)/25)*AV55+(1-EXP(-LN(2)/25))/(LN(2)/25)*Calculateur!AQ56*Calculateur!AS56*VLOOKUP('Données projet'!$B$10,Paramètres!$A$1:$I$89,3,0)*0.475*44/12</f>
        <v>10.864691787290436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42.570632605140545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123.48243581061803</v>
      </c>
      <c r="BJ56" s="59">
        <f t="shared" si="38"/>
        <v>405.05940798527138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30.762311626842678</v>
      </c>
      <c r="BQ56" s="21">
        <f>EXP(-LN(2)/25)*BQ55+(1-EXP(-LN(2)/25))/(LN(2)/25)*Calculateur!BL56*Calculateur!BN56*VLOOKUP('Données projet'!$B$11,Paramètres!$A$1:$I$89,3,0)*0.475*44/12</f>
        <v>10.54133786504965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41.30364949189233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156.72204844493132</v>
      </c>
      <c r="CE56" s="59">
        <f t="shared" si="40"/>
        <v>377.72061016381247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28.679243863101298</v>
      </c>
      <c r="CL56" s="21">
        <f>EXP(-LN(2)/25)*CL55+(1-EXP(-LN(2)/25))/(LN(2)/25)*Calculateur!CG56*Calculateur!CI56*VLOOKUP('Données projet'!$B$12,Paramètres!$A$1:$I$89,3,0)*0.475*44/12</f>
        <v>9.8275319144516242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38.506775777552924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88.170414732964616</v>
      </c>
      <c r="CZ56" s="59">
        <f t="shared" si="42"/>
        <v>281.30515544919626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21.360425499603881</v>
      </c>
      <c r="DG56" s="21">
        <f>EXP(-LN(2)/25)*DG55+(1-EXP(-LN(2)/25))/(LN(2)/25)*Calculateur!DB56*Calculateur!DD56*VLOOKUP('Données projet'!$B$13,Paramètres!$A$1:$I$89,3,0)*0.475*44/12</f>
        <v>7.3195884907449331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28.680013990348815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88.170414732964616</v>
      </c>
      <c r="DU56" s="59">
        <f t="shared" si="44"/>
        <v>281.30515544919626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21.360425499603881</v>
      </c>
      <c r="EB56" s="21">
        <f>EXP(-LN(2)/25)*EB55+(1-EXP(-LN(2)/25))/(LN(2)/25)*Calculateur!DW56*Calculateur!DY56*VLOOKUP('Données projet'!$B$14,Paramètres!$A$1:$I$89,3,0)*0.475*44/12</f>
        <v>7.3195884907449331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28.680013990348815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130.11146678359998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497.8344450470222</v>
      </c>
      <c r="H57" s="67">
        <f t="shared" si="1"/>
        <v>584.85410499706768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167.42995526007479</v>
      </c>
      <c r="T57" s="59">
        <f t="shared" si="34"/>
        <v>397.36718389105215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29.584164512814706</v>
      </c>
      <c r="AA57" s="21">
        <f>EXP(-LN(2)/25)*AA56+(1-EXP(-LN(2)/25))/(LN(2)/25)*Calculateur!V57*Calculateur!X57*VLOOKUP('Données projet'!$B$9,Paramètres!$A$1:$I$89,3,0)*0.475*44/12</f>
        <v>10.057631790217894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39.641796303032599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127.55710992710948</v>
      </c>
      <c r="AO57" s="59">
        <f t="shared" si="36"/>
        <v>417.43085823929903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31.084206657126426</v>
      </c>
      <c r="AV57" s="21">
        <f>EXP(-LN(2)/25)*AV56+(1-EXP(-LN(2)/25))/(LN(2)/25)*Calculateur!AQ57*Calculateur!AS57*VLOOKUP('Données projet'!$B$10,Paramètres!$A$1:$I$89,3,0)*0.475*44/12</f>
        <v>10.56759621901767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41.651802876144096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123.48243581061803</v>
      </c>
      <c r="BJ57" s="59">
        <f t="shared" si="38"/>
        <v>405.05940798527138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30.159081458997676</v>
      </c>
      <c r="BQ57" s="21">
        <f>EXP(-LN(2)/25)*BQ56+(1-EXP(-LN(2)/25))/(LN(2)/25)*Calculateur!BL57*Calculateur!BN57*VLOOKUP('Données projet'!$B$11,Paramètres!$A$1:$I$89,3,0)*0.475*44/12</f>
        <v>10.253084426785001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40.412165885782677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156.72204844493132</v>
      </c>
      <c r="CE57" s="59">
        <f t="shared" si="40"/>
        <v>377.72061016381247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28.116861383557385</v>
      </c>
      <c r="CL57" s="21">
        <f>EXP(-LN(2)/25)*CL56+(1-EXP(-LN(2)/25))/(LN(2)/25)*Calculateur!CG57*Calculateur!CI57*VLOOKUP('Données projet'!$B$12,Paramètres!$A$1:$I$89,3,0)*0.475*44/12</f>
        <v>9.5587975374435015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37.675658921000888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88.170414732964616</v>
      </c>
      <c r="CZ57" s="59">
        <f t="shared" si="42"/>
        <v>281.30515544919626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20.941560584129739</v>
      </c>
      <c r="DG57" s="21">
        <f>EXP(-LN(2)/25)*DG56+(1-EXP(-LN(2)/25))/(LN(2)/25)*Calculateur!DB57*Calculateur!DD57*VLOOKUP('Données projet'!$B$13,Paramètres!$A$1:$I$89,3,0)*0.475*44/12</f>
        <v>7.1194339585450832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28.060994542674823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88.170414732964616</v>
      </c>
      <c r="DU57" s="59">
        <f t="shared" si="44"/>
        <v>281.30515544919626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20.941560584129739</v>
      </c>
      <c r="EB57" s="21">
        <f>EXP(-LN(2)/25)*EB56+(1-EXP(-LN(2)/25))/(LN(2)/25)*Calculateur!DW57*Calculateur!DY57*VLOOKUP('Données projet'!$B$14,Paramètres!$A$1:$I$89,3,0)*0.475*44/12</f>
        <v>7.1194339585450832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28.060994542674823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130.28301072745617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506.4775671259107</v>
      </c>
      <c r="H58" s="67">
        <f t="shared" si="1"/>
        <v>586.80420941611692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167.42995526007479</v>
      </c>
      <c r="T58" s="59">
        <f t="shared" si="34"/>
        <v>397.36718389105215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29.004037091277009</v>
      </c>
      <c r="AA58" s="21">
        <f>EXP(-LN(2)/25)*AA57+(1-EXP(-LN(2)/25))/(LN(2)/25)*Calculateur!V58*Calculateur!X58*VLOOKUP('Données projet'!$B$9,Paramètres!$A$1:$I$89,3,0)*0.475*44/12</f>
        <v>9.7826053200065157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38.786642411283523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127.55710992710948</v>
      </c>
      <c r="AO58" s="59">
        <f t="shared" si="36"/>
        <v>417.43085823929903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30.474664324074144</v>
      </c>
      <c r="AV58" s="21">
        <f>EXP(-LN(2)/25)*AV57+(1-EXP(-LN(2)/25))/(LN(2)/25)*Calculateur!AQ58*Calculateur!AS58*VLOOKUP('Données projet'!$B$10,Paramètres!$A$1:$I$89,3,0)*0.475*44/12</f>
        <v>10.278624744682899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40.753289068757041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123.48243581061803</v>
      </c>
      <c r="BJ58" s="59">
        <f t="shared" si="38"/>
        <v>405.05940798527138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29.567680266810044</v>
      </c>
      <c r="BQ58" s="21">
        <f>EXP(-LN(2)/25)*BQ57+(1-EXP(-LN(2)/25))/(LN(2)/25)*Calculateur!BL58*Calculateur!BN58*VLOOKUP('Données projet'!$B$11,Paramètres!$A$1:$I$89,3,0)*0.475*44/12</f>
        <v>9.9727132939482885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39.540393560758332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156.72204844493132</v>
      </c>
      <c r="CE58" s="59">
        <f t="shared" si="40"/>
        <v>377.72061016381247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27.565506881417885</v>
      </c>
      <c r="CL58" s="21">
        <f>EXP(-LN(2)/25)*CL57+(1-EXP(-LN(2)/25))/(LN(2)/25)*Calculateur!CG58*Calculateur!CI58*VLOOKUP('Données projet'!$B$12,Paramètres!$A$1:$I$89,3,0)*0.475*44/12</f>
        <v>9.2974117161067937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36.862918597524683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88.170414732964616</v>
      </c>
      <c r="CZ58" s="59">
        <f t="shared" si="42"/>
        <v>281.30515544919626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20.530909354165672</v>
      </c>
      <c r="DG58" s="21">
        <f>EXP(-LN(2)/25)*DG57+(1-EXP(-LN(2)/25))/(LN(2)/25)*Calculateur!DB58*Calculateur!DD58*VLOOKUP('Données projet'!$B$13,Paramètres!$A$1:$I$89,3,0)*0.475*44/12</f>
        <v>6.9247526625539075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27.455662016719579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88.170414732964616</v>
      </c>
      <c r="DU58" s="59">
        <f t="shared" si="44"/>
        <v>281.30515544919626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20.530909354165672</v>
      </c>
      <c r="EB58" s="21">
        <f>EXP(-LN(2)/25)*EB57+(1-EXP(-LN(2)/25))/(LN(2)/25)*Calculateur!DW58*Calculateur!DY58*VLOOKUP('Données projet'!$B$14,Paramètres!$A$1:$I$89,3,0)*0.475*44/12</f>
        <v>6.9247526625539075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27.455662016719579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130.45157876740129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515.11692769796434</v>
      </c>
      <c r="H59" s="67">
        <f t="shared" si="1"/>
        <v>588.75346514518651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167.42995526007479</v>
      </c>
      <c r="T59" s="59">
        <f t="shared" si="34"/>
        <v>397.36718389105215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28.435285614632878</v>
      </c>
      <c r="AA59" s="21">
        <f>EXP(-LN(2)/25)*AA58+(1-EXP(-LN(2)/25))/(LN(2)/25)*Calculateur!V59*Calculateur!X59*VLOOKUP('Données projet'!$B$9,Paramètres!$A$1:$I$89,3,0)*0.475*44/12</f>
        <v>9.5150994630860826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37.950385077718963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127.55710992710948</v>
      </c>
      <c r="AO59" s="59">
        <f t="shared" si="36"/>
        <v>417.43085823929903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29.877074744388903</v>
      </c>
      <c r="AV59" s="21">
        <f>EXP(-LN(2)/25)*AV58+(1-EXP(-LN(2)/25))/(LN(2)/25)*Calculateur!AQ59*Calculateur!AS59*VLOOKUP('Données projet'!$B$10,Paramètres!$A$1:$I$89,3,0)*0.475*44/12</f>
        <v>9.9975552105101624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39.874629954899063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123.48243581061803</v>
      </c>
      <c r="BJ59" s="59">
        <f t="shared" si="38"/>
        <v>405.05940798527138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28.987876091282104</v>
      </c>
      <c r="BQ59" s="21">
        <f>EXP(-LN(2)/25)*BQ58+(1-EXP(-LN(2)/25))/(LN(2)/25)*Calculateur!BL59*Calculateur!BN59*VLOOKUP('Données projet'!$B$11,Paramètres!$A$1:$I$89,3,0)*0.475*44/12</f>
        <v>9.7000089244830736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38.687885015765175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156.72204844493132</v>
      </c>
      <c r="CE59" s="59">
        <f t="shared" si="40"/>
        <v>377.72061016381247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27.024964104772302</v>
      </c>
      <c r="CL59" s="21">
        <f>EXP(-LN(2)/25)*CL58+(1-EXP(-LN(2)/25))/(LN(2)/25)*Calculateur!CG59*Calculateur!CI59*VLOOKUP('Données projet'!$B$12,Paramètres!$A$1:$I$89,3,0)*0.475*44/12</f>
        <v>9.0431735038002206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36.06813760857252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88.170414732964616</v>
      </c>
      <c r="CZ59" s="59">
        <f t="shared" si="42"/>
        <v>281.30515544919626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20.128310744348685</v>
      </c>
      <c r="DG59" s="21">
        <f>EXP(-LN(2)/25)*DG58+(1-EXP(-LN(2)/25))/(LN(2)/25)*Calculateur!DB59*Calculateur!DD59*VLOOKUP('Données projet'!$B$13,Paramètres!$A$1:$I$89,3,0)*0.475*44/12</f>
        <v>6.7353949368394552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26.86370568118814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88.170414732964616</v>
      </c>
      <c r="DU59" s="59">
        <f t="shared" si="44"/>
        <v>281.30515544919626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20.128310744348685</v>
      </c>
      <c r="EB59" s="21">
        <f>EXP(-LN(2)/25)*EB58+(1-EXP(-LN(2)/25))/(LN(2)/25)*Calculateur!DW59*Calculateur!DY59*VLOOKUP('Données projet'!$B$14,Paramètres!$A$1:$I$89,3,0)*0.475*44/12</f>
        <v>6.7353949368394552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26.86370568118814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130.61722252871502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523.75260168165596</v>
      </c>
      <c r="H60" s="67">
        <f t="shared" si="1"/>
        <v>590.70188908775697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167.42995526007479</v>
      </c>
      <c r="T60" s="59">
        <f t="shared" si="34"/>
        <v>397.36718389105215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27.877687007541592</v>
      </c>
      <c r="AA60" s="21">
        <f>EXP(-LN(2)/25)*AA59+(1-EXP(-LN(2)/25))/(LN(2)/25)*Calculateur!V60*Calculateur!X60*VLOOKUP('Données projet'!$B$9,Paramètres!$A$1:$I$89,3,0)*0.475*44/12</f>
        <v>9.2549085678906593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37.132595575432248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127.55710992710948</v>
      </c>
      <c r="AO60" s="59">
        <f t="shared" si="36"/>
        <v>417.43085823929903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29.291203531867637</v>
      </c>
      <c r="AV60" s="21">
        <f>EXP(-LN(2)/25)*AV59+(1-EXP(-LN(2)/25))/(LN(2)/25)*Calculateur!AQ60*Calculateur!AS60*VLOOKUP('Données projet'!$B$10,Paramètres!$A$1:$I$89,3,0)*0.475*44/12</f>
        <v>9.724171537530184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39.01537506939782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123.48243581061803</v>
      </c>
      <c r="BJ60" s="59">
        <f t="shared" si="38"/>
        <v>405.05940798527138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28.419441521990638</v>
      </c>
      <c r="BQ60" s="21">
        <f>EXP(-LN(2)/25)*BQ59+(1-EXP(-LN(2)/25))/(LN(2)/25)*Calculateur!BL60*Calculateur!BN60*VLOOKUP('Données projet'!$B$11,Paramètres!$A$1:$I$89,3,0)*0.475*44/12</f>
        <v>9.4347616703417838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37.85420319233242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156.72204844493132</v>
      </c>
      <c r="CE60" s="59">
        <f t="shared" si="40"/>
        <v>377.72061016381247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26.4950210422782</v>
      </c>
      <c r="CL60" s="21">
        <f>EXP(-LN(2)/25)*CL59+(1-EXP(-LN(2)/25))/(LN(2)/25)*Calculateur!CG60*Calculateur!CI60*VLOOKUP('Données projet'!$B$12,Paramètres!$A$1:$I$89,3,0)*0.475*44/12</f>
        <v>8.7958874487789771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35.290908491057181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88.170414732964616</v>
      </c>
      <c r="CZ60" s="59">
        <f t="shared" si="42"/>
        <v>281.30515544919626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19.733606847709304</v>
      </c>
      <c r="DG60" s="21">
        <f>EXP(-LN(2)/25)*DG59+(1-EXP(-LN(2)/25))/(LN(2)/25)*Calculateur!DB60*Calculateur!DD60*VLOOKUP('Données projet'!$B$13,Paramètres!$A$1:$I$89,3,0)*0.475*44/12</f>
        <v>6.5512152080925548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26.284822055801857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88.170414732964616</v>
      </c>
      <c r="DU60" s="59">
        <f t="shared" si="44"/>
        <v>281.30515544919626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19.733606847709304</v>
      </c>
      <c r="EB60" s="21">
        <f>EXP(-LN(2)/25)*EB59+(1-EXP(-LN(2)/25))/(LN(2)/25)*Calculateur!DW60*Calculateur!DY60*VLOOKUP('Données projet'!$B$14,Paramètres!$A$1:$I$89,3,0)*0.475*44/12</f>
        <v>6.5512152080925548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26.284822055801857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130.77999274109391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532.38466121616079</v>
      </c>
      <c r="H61" s="67">
        <f t="shared" si="1"/>
        <v>592.6494975202296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167.42995526007479</v>
      </c>
      <c r="T61" s="59">
        <f t="shared" si="34"/>
        <v>397.36718389105215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27.331022569033799</v>
      </c>
      <c r="AA61" s="21">
        <f>EXP(-LN(2)/25)*AA60+(1-EXP(-LN(2)/25))/(LN(2)/25)*Calculateur!V61*Calculateur!X61*VLOOKUP('Données projet'!$B$9,Paramètres!$A$1:$I$89,3,0)*0.475*44/12</f>
        <v>9.0018326064072003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36.332855175440997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127.55710992710948</v>
      </c>
      <c r="AO61" s="59">
        <f t="shared" si="36"/>
        <v>417.43085823929903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28.71682089647776</v>
      </c>
      <c r="AV61" s="21">
        <f>EXP(-LN(2)/25)*AV60+(1-EXP(-LN(2)/25))/(LN(2)/25)*Calculateur!AQ61*Calculateur!AS61*VLOOKUP('Données projet'!$B$10,Paramètres!$A$1:$I$89,3,0)*0.475*44/12</f>
        <v>9.4582635554644643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38.175084451942226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123.48243581061803</v>
      </c>
      <c r="BJ61" s="59">
        <f t="shared" si="38"/>
        <v>405.05940798527138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27.862153607892125</v>
      </c>
      <c r="BQ61" s="21">
        <f>EXP(-LN(2)/25)*BQ60+(1-EXP(-LN(2)/25))/(LN(2)/25)*Calculateur!BL61*Calculateur!BN61*VLOOKUP('Données projet'!$B$11,Paramètres!$A$1:$I$89,3,0)*0.475*44/12</f>
        <v>9.1767676163137342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37.038921224205858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156.72204844493132</v>
      </c>
      <c r="CE61" s="59">
        <f t="shared" si="40"/>
        <v>377.72061016381247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25.975469840006255</v>
      </c>
      <c r="CL61" s="21">
        <f>EXP(-LN(2)/25)*CL60+(1-EXP(-LN(2)/25))/(LN(2)/25)*Calculateur!CG61*Calculateur!CI61*VLOOKUP('Données projet'!$B$12,Paramètres!$A$1:$I$89,3,0)*0.475*44/12</f>
        <v>8.5553634439364981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34.530833283942755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88.170414732964616</v>
      </c>
      <c r="CZ61" s="59">
        <f t="shared" si="42"/>
        <v>281.30515544919626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19.346642853737414</v>
      </c>
      <c r="DG61" s="21">
        <f>EXP(-LN(2)/25)*DG60+(1-EXP(-LN(2)/25))/(LN(2)/25)*Calculateur!DB61*Calculateur!DD61*VLOOKUP('Données projet'!$B$13,Paramètres!$A$1:$I$89,3,0)*0.475*44/12</f>
        <v>6.3720718837138293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25.718714737451243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88.170414732964616</v>
      </c>
      <c r="DU61" s="59">
        <f t="shared" si="44"/>
        <v>281.30515544919626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19.346642853737414</v>
      </c>
      <c r="EB61" s="21">
        <f>EXP(-LN(2)/25)*EB60+(1-EXP(-LN(2)/25))/(LN(2)/25)*Calculateur!DW61*Calculateur!DY61*VLOOKUP('Données projet'!$B$14,Paramètres!$A$1:$I$89,3,0)*0.475*44/12</f>
        <v>6.3720718837138293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25.718714737451243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130.93993925418775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541.01317581057015</v>
      </c>
      <c r="H62" s="67">
        <f t="shared" si="1"/>
        <v>594.59630612559317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167.42995526007479</v>
      </c>
      <c r="T62" s="59">
        <f t="shared" si="34"/>
        <v>397.36718389105215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26.795077886732759</v>
      </c>
      <c r="AA62" s="21">
        <f>EXP(-LN(2)/25)*AA61+(1-EXP(-LN(2)/25))/(LN(2)/25)*Calculateur!V62*Calculateur!X62*VLOOKUP('Données projet'!$B$9,Paramètres!$A$1:$I$89,3,0)*0.475*44/12</f>
        <v>8.755677020399192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35.550754907131953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127.55710992710948</v>
      </c>
      <c r="AO62" s="59">
        <f t="shared" si="36"/>
        <v>417.43085823929903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28.153701554229063</v>
      </c>
      <c r="AV62" s="21">
        <f>EXP(-LN(2)/25)*AV61+(1-EXP(-LN(2)/25))/(LN(2)/25)*Calculateur!AQ62*Calculateur!AS62*VLOOKUP('Données projet'!$B$10,Paramètres!$A$1:$I$89,3,0)*0.475*44/12</f>
        <v>9.1996268411518258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37.353328395380885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123.48243581061803</v>
      </c>
      <c r="BJ62" s="59">
        <f t="shared" si="38"/>
        <v>405.05940798527138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27.315793769877018</v>
      </c>
      <c r="BQ62" s="21">
        <f>EXP(-LN(2)/25)*BQ61+(1-EXP(-LN(2)/25))/(LN(2)/25)*Calculateur!BL62*Calculateur!BN62*VLOOKUP('Données projet'!$B$11,Paramètres!$A$1:$I$89,3,0)*0.475*44/12</f>
        <v>8.9258284232604002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36.241622193137417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156.72204844493132</v>
      </c>
      <c r="CE62" s="59">
        <f t="shared" si="40"/>
        <v>377.72061016381247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25.466106719915921</v>
      </c>
      <c r="CL62" s="21">
        <f>EXP(-LN(2)/25)*CL61+(1-EXP(-LN(2)/25))/(LN(2)/25)*Calculateur!CG62*Calculateur!CI62*VLOOKUP('Données projet'!$B$12,Paramètres!$A$1:$I$89,3,0)*0.475*44/12</f>
        <v>8.3214165806550451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33.787523300570967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88.170414732964616</v>
      </c>
      <c r="CZ62" s="59">
        <f t="shared" si="42"/>
        <v>281.30515544919626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18.967266987662583</v>
      </c>
      <c r="DG62" s="21">
        <f>EXP(-LN(2)/25)*DG61+(1-EXP(-LN(2)/25))/(LN(2)/25)*Calculateur!DB62*Calculateur!DD62*VLOOKUP('Données projet'!$B$13,Paramètres!$A$1:$I$89,3,0)*0.475*44/12</f>
        <v>6.1978272429609778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25.165094230623559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88.170414732964616</v>
      </c>
      <c r="DU62" s="59">
        <f t="shared" si="44"/>
        <v>281.30515544919626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18.967266987662583</v>
      </c>
      <c r="EB62" s="21">
        <f>EXP(-LN(2)/25)*EB61+(1-EXP(-LN(2)/25))/(LN(2)/25)*Calculateur!DW62*Calculateur!DY62*VLOOKUP('Données projet'!$B$14,Paramètres!$A$1:$I$89,3,0)*0.475*44/12</f>
        <v>6.1978272429609778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25.165094230623559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131.09711105286621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549.63821248270312</v>
      </c>
      <c r="H63" s="67">
        <f t="shared" si="1"/>
        <v>596.54233002474325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167.42995526007479</v>
      </c>
      <c r="T63" s="59">
        <f t="shared" si="34"/>
        <v>397.36718389105215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26.269642752757665</v>
      </c>
      <c r="AA63" s="21">
        <f>EXP(-LN(2)/25)*AA62+(1-EXP(-LN(2)/25))/(LN(2)/25)*Calculateur!V63*Calculateur!X63*VLOOKUP('Données projet'!$B$9,Paramètres!$A$1:$I$89,3,0)*0.475*44/12</f>
        <v>8.5162525718353326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34.785895324593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127.55710992710948</v>
      </c>
      <c r="AO63" s="59">
        <f t="shared" si="36"/>
        <v>417.43085823929903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27.601624638812979</v>
      </c>
      <c r="AV63" s="21">
        <f>EXP(-LN(2)/25)*AV62+(1-EXP(-LN(2)/25))/(LN(2)/25)*Calculateur!AQ63*Calculateur!AS63*VLOOKUP('Données projet'!$B$10,Paramètres!$A$1:$I$89,3,0)*0.475*44/12</f>
        <v>8.9480625613931792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36.549687200206158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123.48243581061803</v>
      </c>
      <c r="BJ63" s="59">
        <f t="shared" si="38"/>
        <v>405.05940798527138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26.780147715038794</v>
      </c>
      <c r="BQ63" s="21">
        <f>EXP(-LN(2)/25)*BQ62+(1-EXP(-LN(2)/25))/(LN(2)/25)*Calculateur!BL63*Calculateur!BN63*VLOOKUP('Données projet'!$B$11,Paramètres!$A$1:$I$89,3,0)*0.475*44/12</f>
        <v>8.6817511756374284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35.461898890676224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156.72204844493132</v>
      </c>
      <c r="CE63" s="59">
        <f t="shared" si="40"/>
        <v>377.72061016381247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24.966731899929734</v>
      </c>
      <c r="CL63" s="21">
        <f>EXP(-LN(2)/25)*CL62+(1-EXP(-LN(2)/25))/(LN(2)/25)*Calculateur!CG63*Calculateur!CI63*VLOOKUP('Données projet'!$B$12,Paramètres!$A$1:$I$89,3,0)*0.475*44/12</f>
        <v>8.0938670066527543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33.060598906582484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88.170414732964616</v>
      </c>
      <c r="CZ63" s="59">
        <f t="shared" si="42"/>
        <v>281.30515544919626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18.595330450925051</v>
      </c>
      <c r="DG63" s="21">
        <f>EXP(-LN(2)/25)*DG62+(1-EXP(-LN(2)/25))/(LN(2)/25)*Calculateur!DB63*Calculateur!DD63*VLOOKUP('Données projet'!$B$13,Paramètres!$A$1:$I$89,3,0)*0.475*44/12</f>
        <v>6.0283473310726405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24.623677781997692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88.170414732964616</v>
      </c>
      <c r="DU63" s="59">
        <f t="shared" si="44"/>
        <v>281.30515544919626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18.595330450925051</v>
      </c>
      <c r="EB63" s="21">
        <f>EXP(-LN(2)/25)*EB62+(1-EXP(-LN(2)/25))/(LN(2)/25)*Calculateur!DW63*Calculateur!DY63*VLOOKUP('Données projet'!$B$14,Paramètres!$A$1:$I$89,3,0)*0.475*44/12</f>
        <v>6.0283473310726405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24.623677781997692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131.25155627222114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558.25983588840143</v>
      </c>
      <c r="H64" s="67">
        <f t="shared" si="1"/>
        <v>598.48758380565391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167.42995526007479</v>
      </c>
      <c r="T64" s="59">
        <f t="shared" si="34"/>
        <v>397.36718389105215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25.754511081276036</v>
      </c>
      <c r="AA64" s="21">
        <f>EXP(-LN(2)/25)*AA63+(1-EXP(-LN(2)/25))/(LN(2)/25)*Calculateur!V64*Calculateur!X64*VLOOKUP('Données projet'!$B$9,Paramètres!$A$1:$I$89,3,0)*0.475*44/12</f>
        <v>8.2833751974082368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34.037886278684269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127.55710992710948</v>
      </c>
      <c r="AO64" s="59">
        <f t="shared" si="36"/>
        <v>417.43085823929903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27.060373614974534</v>
      </c>
      <c r="AV64" s="21">
        <f>EXP(-LN(2)/25)*AV63+(1-EXP(-LN(2)/25))/(LN(2)/25)*Calculateur!AQ64*Calculateur!AS64*VLOOKUP('Données projet'!$B$10,Paramètres!$A$1:$I$89,3,0)*0.475*44/12</f>
        <v>8.7033773200937237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35.763750935068259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123.48243581061803</v>
      </c>
      <c r="BJ64" s="59">
        <f t="shared" si="38"/>
        <v>405.05940798527138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26.255005352624114</v>
      </c>
      <c r="BQ64" s="21">
        <f>EXP(-LN(2)/25)*BQ63+(1-EXP(-LN(2)/25))/(LN(2)/25)*Calculateur!BL64*Calculateur!BN64*VLOOKUP('Données projet'!$B$11,Paramètres!$A$1:$I$89,3,0)*0.475*44/12</f>
        <v>8.4443482331861706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34.699353585810286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156.72204844493132</v>
      </c>
      <c r="CE64" s="59">
        <f t="shared" si="40"/>
        <v>377.72061016381247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24.477149515574911</v>
      </c>
      <c r="CL64" s="21">
        <f>EXP(-LN(2)/25)*CL63+(1-EXP(-LN(2)/25))/(LN(2)/25)*Calculateur!CG64*Calculateur!CI64*VLOOKUP('Données projet'!$B$12,Paramètres!$A$1:$I$89,3,0)*0.475*44/12</f>
        <v>7.8725397877178676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32.349689303292777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88.170414732964616</v>
      </c>
      <c r="CZ64" s="59">
        <f t="shared" si="42"/>
        <v>281.30515544919626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18.230687362814052</v>
      </c>
      <c r="DG64" s="21">
        <f>EXP(-LN(2)/25)*DG63+(1-EXP(-LN(2)/25))/(LN(2)/25)*Calculateur!DB64*Calculateur!DD64*VLOOKUP('Données projet'!$B$13,Paramètres!$A$1:$I$89,3,0)*0.475*44/12</f>
        <v>5.863501856287451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24.094189219101501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88.170414732964616</v>
      </c>
      <c r="DU64" s="59">
        <f t="shared" si="44"/>
        <v>281.30515544919626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18.230687362814052</v>
      </c>
      <c r="EB64" s="21">
        <f>EXP(-LN(2)/25)*EB63+(1-EXP(-LN(2)/25))/(LN(2)/25)*Calculateur!DW64*Calculateur!DY64*VLOOKUP('Données projet'!$B$14,Paramètres!$A$1:$I$89,3,0)*0.475*44/12</f>
        <v>5.863501856287451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24.094189219101501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131.40332221230801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566.87810844210605</v>
      </c>
      <c r="H65" s="67">
        <f t="shared" si="1"/>
        <v>600.43208155058346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167.42995526007479</v>
      </c>
      <c r="T65" s="59">
        <f t="shared" si="34"/>
        <v>397.36718389105215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25.249480827672866</v>
      </c>
      <c r="AA65" s="21">
        <f>EXP(-LN(2)/25)*AA64+(1-EXP(-LN(2)/25))/(LN(2)/25)*Calculateur!V65*Calculateur!X65*VLOOKUP('Données projet'!$B$9,Paramètres!$A$1:$I$89,3,0)*0.475*44/12</f>
        <v>8.0568658670313393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33.306346694704203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127.55710992710948</v>
      </c>
      <c r="AO65" s="59">
        <f t="shared" si="36"/>
        <v>417.43085823929903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26.529736193583034</v>
      </c>
      <c r="AV65" s="21">
        <f>EXP(-LN(2)/25)*AV64+(1-EXP(-LN(2)/25))/(LN(2)/25)*Calculateur!AQ65*Calculateur!AS65*VLOOKUP('Données projet'!$B$10,Paramètres!$A$1:$I$89,3,0)*0.475*44/12</f>
        <v>8.4653830095850395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34.995119203168073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123.48243581061803</v>
      </c>
      <c r="BJ65" s="59">
        <f t="shared" si="38"/>
        <v>405.05940798527138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25.740160711631173</v>
      </c>
      <c r="BQ65" s="21">
        <f>EXP(-LN(2)/25)*BQ64+(1-EXP(-LN(2)/25))/(LN(2)/25)*Calculateur!BL65*Calculateur!BN65*VLOOKUP('Données projet'!$B$11,Paramètres!$A$1:$I$89,3,0)*0.475*44/12</f>
        <v>8.2134370866807203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33.95359779831189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156.72204844493132</v>
      </c>
      <c r="CE65" s="59">
        <f t="shared" si="40"/>
        <v>377.72061016381247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23.997167543161517</v>
      </c>
      <c r="CL65" s="21">
        <f>EXP(-LN(2)/25)*CL64+(1-EXP(-LN(2)/25))/(LN(2)/25)*Calculateur!CG65*Calculateur!CI65*VLOOKUP('Données projet'!$B$12,Paramètres!$A$1:$I$89,3,0)*0.475*44/12</f>
        <v>7.6572647732238481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31.654432316385364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88.170414732964616</v>
      </c>
      <c r="CZ65" s="59">
        <f t="shared" si="42"/>
        <v>281.30515544919626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17.87319470325059</v>
      </c>
      <c r="DG65" s="21">
        <f>EXP(-LN(2)/25)*DG64+(1-EXP(-LN(2)/25))/(LN(2)/25)*Calculateur!DB65*Calculateur!DD65*VLOOKUP('Données projet'!$B$13,Paramètres!$A$1:$I$89,3,0)*0.475*44/12</f>
        <v>5.7031640896791096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23.5763587929297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88.170414732964616</v>
      </c>
      <c r="DU65" s="59">
        <f t="shared" si="44"/>
        <v>281.30515544919626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17.87319470325059</v>
      </c>
      <c r="EB65" s="21">
        <f>EXP(-LN(2)/25)*EB64+(1-EXP(-LN(2)/25))/(LN(2)/25)*Calculateur!DW65*Calculateur!DY65*VLOOKUP('Données projet'!$B$14,Paramètres!$A$1:$I$89,3,0)*0.475*44/12</f>
        <v>5.7031640896791096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23.5763587929297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131.55245535263219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575.49309042943355</v>
      </c>
      <c r="H66" s="67">
        <f t="shared" si="1"/>
        <v>602.37583686147423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167.42995526007479</v>
      </c>
      <c r="T66" s="59">
        <f t="shared" si="34"/>
        <v>397.36718389105215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24.754353909304815</v>
      </c>
      <c r="AA66" s="21">
        <f>EXP(-LN(2)/25)*AA65+(1-EXP(-LN(2)/25))/(LN(2)/25)*Calculateur!V66*Calculateur!X66*VLOOKUP('Données projet'!$B$9,Paramètres!$A$1:$I$89,3,0)*0.475*44/12</f>
        <v>7.836550446205206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32.59090435551002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127.55710992710948</v>
      </c>
      <c r="AO66" s="59">
        <f t="shared" si="36"/>
        <v>417.43085823929903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26.009504248368152</v>
      </c>
      <c r="AV66" s="21">
        <f>EXP(-LN(2)/25)*AV65+(1-EXP(-LN(2)/25))/(LN(2)/25)*Calculateur!AQ66*Calculateur!AS66*VLOOKUP('Données projet'!$B$10,Paramètres!$A$1:$I$89,3,0)*0.475*44/12</f>
        <v>8.2338966660127912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34.243400914380942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123.48243581061803</v>
      </c>
      <c r="BJ66" s="59">
        <f t="shared" si="38"/>
        <v>405.05940798527138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25.235411860023877</v>
      </c>
      <c r="BQ66" s="21">
        <f>EXP(-LN(2)/25)*BQ65+(1-EXP(-LN(2)/25))/(LN(2)/25)*Calculateur!BL66*Calculateur!BN66*VLOOKUP('Données projet'!$B$11,Paramètres!$A$1:$I$89,3,0)*0.475*44/12</f>
        <v>7.9888402176195514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33.224252077643428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156.72204844493132</v>
      </c>
      <c r="CE66" s="59">
        <f t="shared" si="40"/>
        <v>377.72061016381247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23.526597724467056</v>
      </c>
      <c r="CL66" s="21">
        <f>EXP(-LN(2)/25)*CL65+(1-EXP(-LN(2)/25))/(LN(2)/25)*Calculateur!CG66*Calculateur!CI66*VLOOKUP('Données projet'!$B$12,Paramètres!$A$1:$I$89,3,0)*0.475*44/12</f>
        <v>7.4478764653219889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30.974474189789046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88.170414732964616</v>
      </c>
      <c r="CZ66" s="59">
        <f t="shared" si="42"/>
        <v>281.30515544919626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17.522712256692174</v>
      </c>
      <c r="DG66" s="21">
        <f>EXP(-LN(2)/25)*DG65+(1-EXP(-LN(2)/25))/(LN(2)/25)*Calculateur!DB66*Calculateur!DD66*VLOOKUP('Données projet'!$B$13,Paramètres!$A$1:$I$89,3,0)*0.475*44/12</f>
        <v>5.5472107677304701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23.069923024422643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88.170414732964616</v>
      </c>
      <c r="DU66" s="59">
        <f t="shared" si="44"/>
        <v>281.30515544919626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17.522712256692174</v>
      </c>
      <c r="EB66" s="21">
        <f>EXP(-LN(2)/25)*EB65+(1-EXP(-LN(2)/25))/(LN(2)/25)*Calculateur!DW66*Calculateur!DY66*VLOOKUP('Données projet'!$B$14,Paramètres!$A$1:$I$89,3,0)*0.475*44/12</f>
        <v>5.5472107677304701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23.069923024422643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131.69900136638347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584.10484011240283</v>
      </c>
      <c r="H67" s="67">
        <f t="shared" si="1"/>
        <v>604.31886288369424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167.42995526007479</v>
      </c>
      <c r="T67" s="59">
        <f t="shared" si="34"/>
        <v>397.36718389105215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24.268936127808363</v>
      </c>
      <c r="AA67" s="21">
        <f>EXP(-LN(2)/25)*AA66+(1-EXP(-LN(2)/25))/(LN(2)/25)*Calculateur!V67*Calculateur!X67*VLOOKUP('Données projet'!$B$9,Paramètres!$A$1:$I$89,3,0)*0.475*44/12</f>
        <v>7.6222595621474474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31.891195689955811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127.55710992710948</v>
      </c>
      <c r="AO67" s="59">
        <f t="shared" si="36"/>
        <v>417.43085823929903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25.499473734288781</v>
      </c>
      <c r="AV67" s="21">
        <f>EXP(-LN(2)/25)*AV66+(1-EXP(-LN(2)/25))/(LN(2)/25)*Calculateur!AQ67*Calculateur!AS67*VLOOKUP('Données projet'!$B$10,Paramètres!$A$1:$I$89,3,0)*0.475*44/12</f>
        <v>8.008740328678865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33.508214062967646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123.48243581061803</v>
      </c>
      <c r="BJ67" s="59">
        <f t="shared" si="38"/>
        <v>405.05940798527138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24.740560825530203</v>
      </c>
      <c r="BQ67" s="21">
        <f>EXP(-LN(2)/25)*BQ66+(1-EXP(-LN(2)/25))/(LN(2)/25)*Calculateur!BL67*Calculateur!BN67*VLOOKUP('Données projet'!$B$11,Paramètres!$A$1:$I$89,3,0)*0.475*44/12</f>
        <v>7.7703849617538969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32.510945787284101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156.72204844493132</v>
      </c>
      <c r="CE67" s="59">
        <f t="shared" si="40"/>
        <v>377.72061016381247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23.065255492897943</v>
      </c>
      <c r="CL67" s="21">
        <f>EXP(-LN(2)/25)*CL66+(1-EXP(-LN(2)/25))/(LN(2)/25)*Calculateur!CG67*Calculateur!CI67*VLOOKUP('Données projet'!$B$12,Paramètres!$A$1:$I$89,3,0)*0.475*44/12</f>
        <v>7.2442138917109578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30.309469384608903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88.170414732964616</v>
      </c>
      <c r="CZ67" s="59">
        <f t="shared" si="42"/>
        <v>281.30515544919626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17.179102557137583</v>
      </c>
      <c r="DG67" s="21">
        <f>EXP(-LN(2)/25)*DG66+(1-EXP(-LN(2)/25))/(LN(2)/25)*Calculateur!DB67*Calculateur!DD67*VLOOKUP('Données projet'!$B$13,Paramètres!$A$1:$I$89,3,0)*0.475*44/12</f>
        <v>5.3955219975717448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22.574624554709327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88.170414732964616</v>
      </c>
      <c r="DU67" s="59">
        <f t="shared" si="44"/>
        <v>281.30515544919626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17.179102557137583</v>
      </c>
      <c r="EB67" s="21">
        <f>EXP(-LN(2)/25)*EB66+(1-EXP(-LN(2)/25))/(LN(2)/25)*Calculateur!DW67*Calculateur!DY67*VLOOKUP('Données projet'!$B$14,Paramètres!$A$1:$I$89,3,0)*0.475*44/12</f>
        <v>5.3955219975717448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22.574624554709327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131.843005134424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592.7134138278974</v>
      </c>
      <c r="H68" s="67">
        <f t="shared" ref="H68:H131" si="56">(B68+E68+F68)*44/12+(C68+D68)*0.475*44/12</f>
        <v>606.26117232825266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167.42995526007479</v>
      </c>
      <c r="T68" s="59">
        <f t="shared" si="34"/>
        <v>397.36718389105215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23.793037092931446</v>
      </c>
      <c r="AA68" s="21">
        <f>EXP(-LN(2)/25)*AA67+(1-EXP(-LN(2)/25))/(LN(2)/25)*Calculateur!V68*Calculateur!X68*VLOOKUP('Données projet'!$B$9,Paramètres!$A$1:$I$89,3,0)*0.475*44/12</f>
        <v>7.4138284735833162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31.206865566514761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127.55710992710948</v>
      </c>
      <c r="AO68" s="59">
        <f t="shared" si="36"/>
        <v>417.43085823929903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24.99944460750261</v>
      </c>
      <c r="AV68" s="21">
        <f>EXP(-LN(2)/25)*AV67+(1-EXP(-LN(2)/25))/(LN(2)/25)*Calculateur!AQ68*Calculateur!AS68*VLOOKUP('Données projet'!$B$10,Paramètres!$A$1:$I$89,3,0)*0.475*44/12</f>
        <v>7.7897409032297915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32.789185510732402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123.48243581061803</v>
      </c>
      <c r="BJ68" s="59">
        <f t="shared" si="38"/>
        <v>405.05940798527138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24.25541351799362</v>
      </c>
      <c r="BQ68" s="21">
        <f>EXP(-LN(2)/25)*BQ67+(1-EXP(-LN(2)/25))/(LN(2)/25)*Calculateur!BL68*Calculateur!BN68*VLOOKUP('Données projet'!$B$11,Paramètres!$A$1:$I$89,3,0)*0.475*44/12</f>
        <v>7.5579033763479506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31.813316894341572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156.72204844493132</v>
      </c>
      <c r="CE68" s="59">
        <f t="shared" si="40"/>
        <v>377.72061016381247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22.612959901098925</v>
      </c>
      <c r="CL68" s="21">
        <f>EXP(-LN(2)/25)*CL67+(1-EXP(-LN(2)/25))/(LN(2)/25)*Calculateur!CG68*Calculateur!CI68*VLOOKUP('Données projet'!$B$12,Paramètres!$A$1:$I$89,3,0)*0.475*44/12</f>
        <v>7.0461204818854704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29.659080382984396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88.170414732964616</v>
      </c>
      <c r="CZ68" s="59">
        <f t="shared" si="42"/>
        <v>281.30515544919626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16.842230834210035</v>
      </c>
      <c r="DG68" s="21">
        <f>EXP(-LN(2)/25)*DG67+(1-EXP(-LN(2)/25))/(LN(2)/25)*Calculateur!DB68*Calculateur!DD68*VLOOKUP('Données projet'!$B$13,Paramètres!$A$1:$I$89,3,0)*0.475*44/12</f>
        <v>5.2479811648099748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22.09021199902001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88.170414732964616</v>
      </c>
      <c r="DU68" s="59">
        <f t="shared" si="44"/>
        <v>281.30515544919626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16.842230834210035</v>
      </c>
      <c r="EB68" s="21">
        <f>EXP(-LN(2)/25)*EB67+(1-EXP(-LN(2)/25))/(LN(2)/25)*Calculateur!DW68*Calculateur!DY68*VLOOKUP('Données projet'!$B$14,Paramètres!$A$1:$I$89,3,0)*0.475*44/12</f>
        <v>5.2479811648099748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22.09021199902001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131.98451075903324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601.31886607989736</v>
      </c>
      <c r="H69" s="67">
        <f t="shared" si="56"/>
        <v>608.20277749261015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167.42995526007479</v>
      </c>
      <c r="T69" s="59">
        <f t="shared" ref="T69:T132" si="88">$T$3</f>
        <v>397.36718389105215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23.326470147858714</v>
      </c>
      <c r="AA69" s="21">
        <f>EXP(-LN(2)/25)*AA68+(1-EXP(-LN(2)/25))/(LN(2)/25)*Calculateur!V69*Calculateur!X69*VLOOKUP('Données projet'!$B$9,Paramètres!$A$1:$I$89,3,0)*0.475*44/12</f>
        <v>7.2110969440968855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30.537567091955601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127.55710992710948</v>
      </c>
      <c r="AO69" s="59">
        <f t="shared" ref="AO69:AO132" si="90">$AO$3</f>
        <v>417.43085823929903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24.509220746905065</v>
      </c>
      <c r="AV69" s="21">
        <f>EXP(-LN(2)/25)*AV68+(1-EXP(-LN(2)/25))/(LN(2)/25)*Calculateur!AQ69*Calculateur!AS69*VLOOKUP('Données projet'!$B$10,Paramètres!$A$1:$I$89,3,0)*0.475*44/12</f>
        <v>7.5767300285863026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32.085950775491369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123.48243581061803</v>
      </c>
      <c r="BJ69" s="59">
        <f t="shared" ref="BJ69:BJ132" si="92">$BJ$3</f>
        <v>405.05940798527138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23.779779653247193</v>
      </c>
      <c r="BQ69" s="21">
        <f>EXP(-LN(2)/25)*BQ68+(1-EXP(-LN(2)/25))/(LN(2)/25)*Calculateur!BL69*Calculateur!BN69*VLOOKUP('Données projet'!$B$11,Paramètres!$A$1:$I$89,3,0)*0.475*44/12</f>
        <v>7.3512321110688514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31.131011764316042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156.72204844493132</v>
      </c>
      <c r="CE69" s="59">
        <f t="shared" ref="CE69:CE132" si="94">$CE$3</f>
        <v>377.72061016381247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22.169533549982013</v>
      </c>
      <c r="CL69" s="21">
        <f>EXP(-LN(2)/25)*CL68+(1-EXP(-LN(2)/25))/(LN(2)/25)*Calculateur!CG69*Calculateur!CI69*VLOOKUP('Données projet'!$B$12,Paramètres!$A$1:$I$89,3,0)*0.475*44/12</f>
        <v>6.8534439467689401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29.022977496750954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88.170414732964616</v>
      </c>
      <c r="CZ69" s="59">
        <f t="shared" ref="CZ69:CZ132" si="96">$CZ$3</f>
        <v>281.30515544919626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16.511964960297636</v>
      </c>
      <c r="DG69" s="21">
        <f>EXP(-LN(2)/25)*DG68+(1-EXP(-LN(2)/25))/(LN(2)/25)*Calculateur!DB69*Calculateur!DD69*VLOOKUP('Données projet'!$B$13,Paramètres!$A$1:$I$89,3,0)*0.475*44/12</f>
        <v>5.1044748438789114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21.616439804176547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88.170414732964616</v>
      </c>
      <c r="DU69" s="59">
        <f t="shared" ref="DU69:DU132" si="98">$DU$3</f>
        <v>281.30515544919626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16.511964960297636</v>
      </c>
      <c r="EB69" s="21">
        <f>EXP(-LN(2)/25)*EB68+(1-EXP(-LN(2)/25))/(LN(2)/25)*Calculateur!DW69*Calculateur!DY69*VLOOKUP('Données projet'!$B$14,Paramètres!$A$1:$I$89,3,0)*0.475*44/12</f>
        <v>5.1044748438789114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21.616439804176547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132.12356157741465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609.92124962596313</v>
      </c>
      <c r="H70" s="67">
        <f t="shared" si="56"/>
        <v>610.14369028019132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167.42995526007479</v>
      </c>
      <c r="T70" s="59">
        <f t="shared" si="88"/>
        <v>397.36718389105215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22.869052296001122</v>
      </c>
      <c r="AA70" s="21">
        <f>EXP(-LN(2)/25)*AA69+(1-EXP(-LN(2)/25))/(LN(2)/25)*Calculateur!V70*Calculateur!X70*VLOOKUP('Données projet'!$B$9,Paramètres!$A$1:$I$89,3,0)*0.475*44/12</f>
        <v>7.013909118945449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29.882961414946571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127.55710992710948</v>
      </c>
      <c r="AO70" s="59">
        <f t="shared" si="90"/>
        <v>417.43085823929903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24.028609877206808</v>
      </c>
      <c r="AV70" s="21">
        <f>EXP(-LN(2)/25)*AV69+(1-EXP(-LN(2)/25))/(LN(2)/25)*Calculateur!AQ70*Calculateur!AS70*VLOOKUP('Données projet'!$B$10,Paramètres!$A$1:$I$89,3,0)*0.475*44/12</f>
        <v>7.3695439475116951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31.398153824718502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123.48243581061803</v>
      </c>
      <c r="BJ70" s="59">
        <f t="shared" si="92"/>
        <v>405.05940798527138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23.31347267848043</v>
      </c>
      <c r="BQ70" s="21">
        <f>EXP(-LN(2)/25)*BQ69+(1-EXP(-LN(2)/25))/(LN(2)/25)*Calculateur!BL70*Calculateur!BN70*VLOOKUP('Données projet'!$B$11,Paramètres!$A$1:$I$89,3,0)*0.475*44/12</f>
        <v>7.1502122824071783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30.463684960887608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156.72204844493132</v>
      </c>
      <c r="CE70" s="59">
        <f t="shared" si="94"/>
        <v>377.72061016381247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21.734802519147138</v>
      </c>
      <c r="CL70" s="21">
        <f>EXP(-LN(2)/25)*CL69+(1-EXP(-LN(2)/25))/(LN(2)/25)*Calculateur!CG70*Calculateur!CI70*VLOOKUP('Données projet'!$B$12,Paramètres!$A$1:$I$89,3,0)*0.475*44/12</f>
        <v>6.6660361616375896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28.400838680784727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88.170414732964616</v>
      </c>
      <c r="CZ70" s="59">
        <f t="shared" si="96"/>
        <v>281.30515544919626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16.188175398730365</v>
      </c>
      <c r="DG70" s="21">
        <f>EXP(-LN(2)/25)*DG69+(1-EXP(-LN(2)/25))/(LN(2)/25)*Calculateur!DB70*Calculateur!DD70*VLOOKUP('Données projet'!$B$13,Paramètres!$A$1:$I$89,3,0)*0.475*44/12</f>
        <v>4.9648927108403766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21.153068109570743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88.170414732964616</v>
      </c>
      <c r="DU70" s="59">
        <f t="shared" si="98"/>
        <v>281.30515544919626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16.188175398730365</v>
      </c>
      <c r="EB70" s="21">
        <f>EXP(-LN(2)/25)*EB69+(1-EXP(-LN(2)/25))/(LN(2)/25)*Calculateur!DW70*Calculateur!DY70*VLOOKUP('Données projet'!$B$14,Paramètres!$A$1:$I$89,3,0)*0.475*44/12</f>
        <v>4.9648927108403766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21.153068109570743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132.26020017496825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618.52061555840783</v>
      </c>
      <c r="H71" s="67">
        <f t="shared" si="56"/>
        <v>612.08392221869906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167.42995526007479</v>
      </c>
      <c r="T71" s="59">
        <f t="shared" si="88"/>
        <v>397.36718389105215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22.420604129221118</v>
      </c>
      <c r="AA71" s="21">
        <f>EXP(-LN(2)/25)*AA70+(1-EXP(-LN(2)/25))/(LN(2)/25)*Calculateur!V71*Calculateur!X71*VLOOKUP('Données projet'!$B$9,Paramètres!$A$1:$I$89,3,0)*0.475*44/12</f>
        <v>6.8221134052424359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29.242717534463555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127.55710992710948</v>
      </c>
      <c r="AO71" s="59">
        <f t="shared" si="90"/>
        <v>417.43085823929903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23.557423493519646</v>
      </c>
      <c r="AV71" s="21">
        <f>EXP(-LN(2)/25)*AV70+(1-EXP(-LN(2)/25))/(LN(2)/25)*Calculateur!AQ71*Calculateur!AS71*VLOOKUP('Données projet'!$B$10,Paramètres!$A$1:$I$89,3,0)*0.475*44/12</f>
        <v>7.1680233807195153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30.725446874239161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123.48243581061803</v>
      </c>
      <c r="BJ71" s="59">
        <f t="shared" si="92"/>
        <v>405.05940798527138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22.856309699069673</v>
      </c>
      <c r="BQ71" s="21">
        <f>EXP(-LN(2)/25)*BQ70+(1-EXP(-LN(2)/25))/(LN(2)/25)*Calculateur!BL71*Calculateur!BN71*VLOOKUP('Données projet'!$B$11,Paramètres!$A$1:$I$89,3,0)*0.475*44/12</f>
        <v>6.9546893515314325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29.810999050601104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156.72204844493132</v>
      </c>
      <c r="CE71" s="59">
        <f t="shared" si="94"/>
        <v>377.72061016381247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21.308596298667187</v>
      </c>
      <c r="CL71" s="21">
        <f>EXP(-LN(2)/25)*CL70+(1-EXP(-LN(2)/25))/(LN(2)/25)*Calculateur!CG71*Calculateur!CI71*VLOOKUP('Données projet'!$B$12,Paramètres!$A$1:$I$89,3,0)*0.475*44/12</f>
        <v>6.4837530522460032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27.792349350913192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88.170414732964616</v>
      </c>
      <c r="CZ71" s="59">
        <f t="shared" si="96"/>
        <v>281.30515544919626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15.870735152973298</v>
      </c>
      <c r="DG71" s="21">
        <f>EXP(-LN(2)/25)*DG70+(1-EXP(-LN(2)/25))/(LN(2)/25)*Calculateur!DB71*Calculateur!DD71*VLOOKUP('Données projet'!$B$13,Paramètres!$A$1:$I$89,3,0)*0.475*44/12</f>
        <v>4.8291274585700865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20.699862611543384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88.170414732964616</v>
      </c>
      <c r="DU71" s="59">
        <f t="shared" si="98"/>
        <v>281.30515544919626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15.870735152973298</v>
      </c>
      <c r="EB71" s="21">
        <f>EXP(-LN(2)/25)*EB70+(1-EXP(-LN(2)/25))/(LN(2)/25)*Calculateur!DW71*Calculateur!DY71*VLOOKUP('Données projet'!$B$14,Paramètres!$A$1:$I$89,3,0)*0.475*44/12</f>
        <v>4.8291274585700865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20.699862611543384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132.39446839833241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627.11701338056127</v>
      </c>
      <c r="H72" s="67">
        <f t="shared" si="56"/>
        <v>614.02348447732243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167.42995526007479</v>
      </c>
      <c r="T72" s="59">
        <f t="shared" si="88"/>
        <v>397.36718389105215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21.980949757465297</v>
      </c>
      <c r="AA72" s="21">
        <f>EXP(-LN(2)/25)*AA71+(1-EXP(-LN(2)/25))/(LN(2)/25)*Calculateur!V72*Calculateur!X72*VLOOKUP('Données projet'!$B$9,Paramètres!$A$1:$I$89,3,0)*0.475*44/12</f>
        <v>6.63556235541673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28.616512112882027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127.55710992710948</v>
      </c>
      <c r="AO72" s="59">
        <f t="shared" si="90"/>
        <v>417.43085823929903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23.095476787421276</v>
      </c>
      <c r="AV72" s="21">
        <f>EXP(-LN(2)/25)*AV71+(1-EXP(-LN(2)/25))/(LN(2)/25)*Calculateur!AQ72*Calculateur!AS72*VLOOKUP('Données projet'!$B$10,Paramètres!$A$1:$I$89,3,0)*0.475*44/12</f>
        <v>6.9720134044237732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30.067490191845049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123.48243581061803</v>
      </c>
      <c r="BJ72" s="59">
        <f t="shared" si="92"/>
        <v>405.05940798527138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22.408111406843275</v>
      </c>
      <c r="BQ72" s="21">
        <f>EXP(-LN(2)/25)*BQ71+(1-EXP(-LN(2)/25))/(LN(2)/25)*Calculateur!BL72*Calculateur!BN72*VLOOKUP('Données projet'!$B$11,Paramètres!$A$1:$I$89,3,0)*0.475*44/12</f>
        <v>6.7645130054825877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29.172624412325863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156.72204844493132</v>
      </c>
      <c r="CE72" s="59">
        <f t="shared" si="94"/>
        <v>377.72061016381247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20.890747722210723</v>
      </c>
      <c r="CL72" s="21">
        <f>EXP(-LN(2)/25)*CL71+(1-EXP(-LN(2)/25))/(LN(2)/25)*Calculateur!CG72*Calculateur!CI72*VLOOKUP('Données projet'!$B$12,Paramètres!$A$1:$I$89,3,0)*0.475*44/12</f>
        <v>6.3064544840665819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27.197202206277304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88.170414732964616</v>
      </c>
      <c r="CZ72" s="59">
        <f t="shared" si="96"/>
        <v>281.30515544919626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15.559519716816094</v>
      </c>
      <c r="DG72" s="21">
        <f>EXP(-LN(2)/25)*DG71+(1-EXP(-LN(2)/25))/(LN(2)/25)*Calculateur!DB72*Calculateur!DD72*VLOOKUP('Données projet'!$B$13,Paramètres!$A$1:$I$89,3,0)*0.475*44/12</f>
        <v>4.6970747142627118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20.256594431078806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88.170414732964616</v>
      </c>
      <c r="DU72" s="59">
        <f t="shared" si="98"/>
        <v>281.30515544919626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15.559519716816094</v>
      </c>
      <c r="EB72" s="21">
        <f>EXP(-LN(2)/25)*EB71+(1-EXP(-LN(2)/25))/(LN(2)/25)*Calculateur!DW72*Calculateur!DY72*VLOOKUP('Données projet'!$B$14,Paramètres!$A$1:$I$89,3,0)*0.475*44/12</f>
        <v>4.6970747142627118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20.256594431078806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132.52640736819995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635.71049107848557</v>
      </c>
      <c r="H73" s="67">
        <f t="shared" si="56"/>
        <v>615.96238788291669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167.42995526007479</v>
      </c>
      <c r="T73" s="59">
        <f t="shared" si="88"/>
        <v>397.36718389105215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21.549916739776918</v>
      </c>
      <c r="AA73" s="21">
        <f>EXP(-LN(2)/25)*AA72+(1-EXP(-LN(2)/25))/(LN(2)/25)*Calculateur!V73*Calculateur!X73*VLOOKUP('Données projet'!$B$9,Paramètres!$A$1:$I$89,3,0)*0.475*44/12</f>
        <v>6.4541125538588009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28.004029293635718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127.55710992710948</v>
      </c>
      <c r="AO73" s="59">
        <f t="shared" si="90"/>
        <v>417.43085823929903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22.642588574469823</v>
      </c>
      <c r="AV73" s="21">
        <f>EXP(-LN(2)/25)*AV72+(1-EXP(-LN(2)/25))/(LN(2)/25)*Calculateur!AQ73*Calculateur!AS73*VLOOKUP('Données projet'!$B$10,Paramètres!$A$1:$I$89,3,0)*0.475*44/12</f>
        <v>6.7813633312375545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29.423951905707376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123.48243581061803</v>
      </c>
      <c r="BJ73" s="59">
        <f t="shared" si="92"/>
        <v>405.05940798527138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21.968702009753475</v>
      </c>
      <c r="BQ73" s="21">
        <f>EXP(-LN(2)/25)*BQ72+(1-EXP(-LN(2)/25))/(LN(2)/25)*Calculateur!BL73*Calculateur!BN73*VLOOKUP('Données projet'!$B$11,Paramètres!$A$1:$I$89,3,0)*0.475*44/12</f>
        <v>6.5795370416173879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28.548239051370864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156.72204844493132</v>
      </c>
      <c r="CE73" s="59">
        <f t="shared" si="94"/>
        <v>377.72061016381247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20.481092901476103</v>
      </c>
      <c r="CL73" s="21">
        <f>EXP(-LN(2)/25)*CL72+(1-EXP(-LN(2)/25))/(LN(2)/25)*Calculateur!CG73*Calculateur!CI73*VLOOKUP('Données projet'!$B$12,Paramètres!$A$1:$I$89,3,0)*0.475*44/12</f>
        <v>6.1340041545577533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26.615097056033857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88.170414732964616</v>
      </c>
      <c r="CZ73" s="59">
        <f t="shared" si="96"/>
        <v>281.30515544919626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15.254407025539262</v>
      </c>
      <c r="DG73" s="21">
        <f>EXP(-LN(2)/25)*DG72+(1-EXP(-LN(2)/25))/(LN(2)/25)*Calculateur!DB73*Calculateur!DD73*VLOOKUP('Données projet'!$B$13,Paramètres!$A$1:$I$89,3,0)*0.475*44/12</f>
        <v>4.5686329591927741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19.823039984732034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88.170414732964616</v>
      </c>
      <c r="DU73" s="59">
        <f t="shared" si="98"/>
        <v>281.30515544919626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15.254407025539262</v>
      </c>
      <c r="EB73" s="21">
        <f>EXP(-LN(2)/25)*EB72+(1-EXP(-LN(2)/25))/(LN(2)/25)*Calculateur!DW73*Calculateur!DY73*VLOOKUP('Données projet'!$B$14,Paramètres!$A$1:$I$89,3,0)*0.475*44/12</f>
        <v>4.5686329591927741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19.823039984732034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132.65605749191167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644.30109518847689</v>
      </c>
      <c r="H74" s="67">
        <f t="shared" si="56"/>
        <v>617.90064293523346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167.42995526007479</v>
      </c>
      <c r="T74" s="59">
        <f t="shared" si="88"/>
        <v>397.36718389105215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21.127336016661229</v>
      </c>
      <c r="AA74" s="21">
        <f>EXP(-LN(2)/25)*AA73+(1-EXP(-LN(2)/25))/(LN(2)/25)*Calculateur!V74*Calculateur!X74*VLOOKUP('Données projet'!$B$9,Paramètres!$A$1:$I$89,3,0)*0.475*44/12</f>
        <v>6.2776245066665037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27.40496052332773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127.55710992710948</v>
      </c>
      <c r="AO74" s="59">
        <f t="shared" si="90"/>
        <v>417.43085823929903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22.198581223139815</v>
      </c>
      <c r="AV74" s="21">
        <f>EXP(-LN(2)/25)*AV73+(1-EXP(-LN(2)/25))/(LN(2)/25)*Calculateur!AQ74*Calculateur!AS74*VLOOKUP('Données projet'!$B$10,Paramètres!$A$1:$I$89,3,0)*0.475*44/12</f>
        <v>6.5959265943284651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28.794507817468279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123.48243581061803</v>
      </c>
      <c r="BJ74" s="59">
        <f t="shared" si="92"/>
        <v>405.05940798527138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21.537909162927335</v>
      </c>
      <c r="BQ74" s="21">
        <f>EXP(-LN(2)/25)*BQ73+(1-EXP(-LN(2)/25))/(LN(2)/25)*Calculateur!BL74*Calculateur!BN74*VLOOKUP('Données projet'!$B$11,Paramètres!$A$1:$I$89,3,0)*0.475*44/12</f>
        <v>6.3996192552115456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27.937528418138882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156.72204844493132</v>
      </c>
      <c r="CE74" s="59">
        <f t="shared" si="94"/>
        <v>377.72061016381247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20.079471161911322</v>
      </c>
      <c r="CL74" s="21">
        <f>EXP(-LN(2)/25)*CL73+(1-EXP(-LN(2)/25))/(LN(2)/25)*Calculateur!CG74*Calculateur!CI74*VLOOKUP('Données projet'!$B$12,Paramètres!$A$1:$I$89,3,0)*0.475*44/12</f>
        <v>5.9662694883781127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26.045740650289435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88.170414732964616</v>
      </c>
      <c r="CZ74" s="59">
        <f t="shared" si="96"/>
        <v>281.30515544919626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14.955277408038002</v>
      </c>
      <c r="DG74" s="21">
        <f>EXP(-LN(2)/25)*DG73+(1-EXP(-LN(2)/25))/(LN(2)/25)*Calculateur!DB74*Calculateur!DD74*VLOOKUP('Données projet'!$B$13,Paramètres!$A$1:$I$89,3,0)*0.475*44/12</f>
        <v>4.4437034506696822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19.398980858707684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88.170414732964616</v>
      </c>
      <c r="DU74" s="59">
        <f t="shared" si="98"/>
        <v>281.30515544919626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14.955277408038002</v>
      </c>
      <c r="EB74" s="21">
        <f>EXP(-LN(2)/25)*EB73+(1-EXP(-LN(2)/25))/(LN(2)/25)*Calculateur!DW74*Calculateur!DY74*VLOOKUP('Données projet'!$B$14,Paramètres!$A$1:$I$89,3,0)*0.475*44/12</f>
        <v>4.4437034506696822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19.398980858707684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132.78345847583125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652.88887086065677</v>
      </c>
      <c r="H75" s="67">
        <f t="shared" si="56"/>
        <v>619.83825982126905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167.42995526007479</v>
      </c>
      <c r="T75" s="59">
        <f t="shared" si="88"/>
        <v>397.36718389105215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20.713041843777045</v>
      </c>
      <c r="AA75" s="21">
        <f>EXP(-LN(2)/25)*AA74+(1-EXP(-LN(2)/25))/(LN(2)/25)*Calculateur!V75*Calculateur!X75*VLOOKUP('Données projet'!$B$9,Paramètres!$A$1:$I$89,3,0)*0.475*44/12</f>
        <v>6.1059625344057835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26.819004378182829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127.55710992710948</v>
      </c>
      <c r="AO75" s="59">
        <f t="shared" si="90"/>
        <v>417.43085823929903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21.763280585151644</v>
      </c>
      <c r="AV75" s="21">
        <f>EXP(-LN(2)/25)*AV74+(1-EXP(-LN(2)/25))/(LN(2)/25)*Calculateur!AQ75*Calculateur!AS75*VLOOKUP('Données projet'!$B$10,Paramètres!$A$1:$I$89,3,0)*0.475*44/12</f>
        <v>6.4155606347418486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28.178841219893492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123.48243581061803</v>
      </c>
      <c r="BJ75" s="59">
        <f t="shared" si="92"/>
        <v>405.05940798527138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21.115563901069766</v>
      </c>
      <c r="BQ75" s="21">
        <f>EXP(-LN(2)/25)*BQ74+(1-EXP(-LN(2)/25))/(LN(2)/25)*Calculateur!BL75*Calculateur!BN75*VLOOKUP('Données projet'!$B$11,Paramètres!$A$1:$I$89,3,0)*0.475*44/12</f>
        <v>6.2246213301364355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27.340185231206203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156.72204844493132</v>
      </c>
      <c r="CE75" s="59">
        <f t="shared" si="94"/>
        <v>377.72061016381247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19.685724979694331</v>
      </c>
      <c r="CL75" s="21">
        <f>EXP(-LN(2)/25)*CL74+(1-EXP(-LN(2)/25))/(LN(2)/25)*Calculateur!CG75*Calculateur!CI75*VLOOKUP('Données projet'!$B$12,Paramètres!$A$1:$I$89,3,0)*0.475*44/12</f>
        <v>5.8031215354659365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25.488846515160269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88.170414732964616</v>
      </c>
      <c r="CZ75" s="59">
        <f t="shared" si="96"/>
        <v>281.30515544919626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14.662013539884891</v>
      </c>
      <c r="DG75" s="21">
        <f>EXP(-LN(2)/25)*DG74+(1-EXP(-LN(2)/25))/(LN(2)/25)*Calculateur!DB75*Calculateur!DD75*VLOOKUP('Données projet'!$B$13,Paramètres!$A$1:$I$89,3,0)*0.475*44/12</f>
        <v>4.3221901461269114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18.984203686011803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88.170414732964616</v>
      </c>
      <c r="DU75" s="59">
        <f t="shared" si="98"/>
        <v>281.30515544919626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14.662013539884891</v>
      </c>
      <c r="EB75" s="21">
        <f>EXP(-LN(2)/25)*EB74+(1-EXP(-LN(2)/25))/(LN(2)/25)*Calculateur!DW75*Calculateur!DY75*VLOOKUP('Données projet'!$B$14,Paramètres!$A$1:$I$89,3,0)*0.475*44/12</f>
        <v>4.3221901461269114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18.984203686011803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132.90864933750575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661.47386191892838</v>
      </c>
      <c r="H76" s="67">
        <f t="shared" si="56"/>
        <v>621.77524842879154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167.42995526007479</v>
      </c>
      <c r="T76" s="59">
        <f t="shared" si="88"/>
        <v>397.36718389105215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20.306871726928627</v>
      </c>
      <c r="AA76" s="21">
        <f>EXP(-LN(2)/25)*AA75+(1-EXP(-LN(2)/25))/(LN(2)/25)*Calculateur!V76*Calculateur!X76*VLOOKUP('Données projet'!$B$9,Paramètres!$A$1:$I$89,3,0)*0.475*44/12</f>
        <v>5.9389946678038434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26.24586639473247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127.55710992710948</v>
      </c>
      <c r="AO76" s="59">
        <f t="shared" si="90"/>
        <v>417.43085823929903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21.336515927167252</v>
      </c>
      <c r="AV76" s="21">
        <f>EXP(-LN(2)/25)*AV75+(1-EXP(-LN(2)/25))/(LN(2)/25)*Calculateur!AQ76*Calculateur!AS76*VLOOKUP('Données projet'!$B$10,Paramètres!$A$1:$I$89,3,0)*0.475*44/12</f>
        <v>6.2401267918051619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27.576642718972415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123.48243581061803</v>
      </c>
      <c r="BJ76" s="59">
        <f t="shared" si="92"/>
        <v>405.05940798527138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20.70150057219205</v>
      </c>
      <c r="BQ76" s="21">
        <f>EXP(-LN(2)/25)*BQ75+(1-EXP(-LN(2)/25))/(LN(2)/25)*Calculateur!BL76*Calculateur!BN76*VLOOKUP('Données projet'!$B$11,Paramètres!$A$1:$I$89,3,0)*0.475*44/12</f>
        <v>6.0544087325252454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26.755909304717296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156.72204844493132</v>
      </c>
      <c r="CE76" s="59">
        <f t="shared" si="94"/>
        <v>377.72061016381247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19.299699919949159</v>
      </c>
      <c r="CL76" s="21">
        <f>EXP(-LN(2)/25)*CL75+(1-EXP(-LN(2)/25))/(LN(2)/25)*Calculateur!CG76*Calculateur!CI76*VLOOKUP('Données projet'!$B$12,Paramètres!$A$1:$I$89,3,0)*0.475*44/12</f>
        <v>5.6444348719057222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24.944134791854882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88.170414732964616</v>
      </c>
      <c r="CZ76" s="59">
        <f t="shared" si="96"/>
        <v>281.30515544919626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14.374500397312964</v>
      </c>
      <c r="DG76" s="21">
        <f>EXP(-LN(2)/25)*DG75+(1-EXP(-LN(2)/25))/(LN(2)/25)*Calculateur!DB76*Calculateur!DD76*VLOOKUP('Données projet'!$B$13,Paramètres!$A$1:$I$89,3,0)*0.475*44/12</f>
        <v>4.2039996292869697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18.578500026599933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88.170414732964616</v>
      </c>
      <c r="DU76" s="59">
        <f t="shared" si="98"/>
        <v>281.30515544919626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14.374500397312964</v>
      </c>
      <c r="EB76" s="21">
        <f>EXP(-LN(2)/25)*EB75+(1-EXP(-LN(2)/25))/(LN(2)/25)*Calculateur!DW76*Calculateur!DY76*VLOOKUP('Données projet'!$B$14,Paramètres!$A$1:$I$89,3,0)*0.475*44/12</f>
        <v>4.2039996292869697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18.578500026599933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133.03166841761504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670.05611091755679</v>
      </c>
      <c r="H77" s="67">
        <f t="shared" si="56"/>
        <v>623.71161835910709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167.42995526007479</v>
      </c>
      <c r="T77" s="59">
        <f t="shared" si="88"/>
        <v>397.36718389105215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19.908666358332297</v>
      </c>
      <c r="AA77" s="21">
        <f>EXP(-LN(2)/25)*AA76+(1-EXP(-LN(2)/25))/(LN(2)/25)*Calculateur!V77*Calculateur!X77*VLOOKUP('Données projet'!$B$9,Paramètres!$A$1:$I$89,3,0)*0.475*44/12</f>
        <v>5.7765925462945917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25.685258904626888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127.55710992710948</v>
      </c>
      <c r="AO77" s="59">
        <f t="shared" si="90"/>
        <v>417.43085823929903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20.918119863825194</v>
      </c>
      <c r="AV77" s="21">
        <f>EXP(-LN(2)/25)*AV76+(1-EXP(-LN(2)/25))/(LN(2)/25)*Calculateur!AQ77*Calculateur!AS77*VLOOKUP('Données projet'!$B$10,Paramètres!$A$1:$I$89,3,0)*0.475*44/12</f>
        <v>6.0694901965292436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26.987610060354438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123.48243581061803</v>
      </c>
      <c r="BJ77" s="59">
        <f t="shared" si="92"/>
        <v>405.05940798527138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20.295556772639934</v>
      </c>
      <c r="BQ77" s="21">
        <f>EXP(-LN(2)/25)*BQ76+(1-EXP(-LN(2)/25))/(LN(2)/25)*Calculateur!BL77*Calculateur!BN77*VLOOKUP('Données projet'!$B$11,Paramètres!$A$1:$I$89,3,0)*0.475*44/12</f>
        <v>5.888850607346825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26.184407379986759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156.72204844493132</v>
      </c>
      <c r="CE77" s="59">
        <f t="shared" si="94"/>
        <v>377.72061016381247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18.921244576173553</v>
      </c>
      <c r="CL77" s="21">
        <f>EXP(-LN(2)/25)*CL76+(1-EXP(-LN(2)/25))/(LN(2)/25)*Calculateur!CG77*Calculateur!CI77*VLOOKUP('Données projet'!$B$12,Paramètres!$A$1:$I$89,3,0)*0.475*44/12</f>
        <v>5.4900875035055305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24.411332079679084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88.170414732964616</v>
      </c>
      <c r="CZ77" s="59">
        <f t="shared" si="96"/>
        <v>281.30515544919626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14.092625212101172</v>
      </c>
      <c r="DG77" s="21">
        <f>EXP(-LN(2)/25)*DG76+(1-EXP(-LN(2)/25))/(LN(2)/25)*Calculateur!DB77*Calculateur!DD77*VLOOKUP('Données projet'!$B$13,Paramètres!$A$1:$I$89,3,0)*0.475*44/12</f>
        <v>4.0890410383453855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18.181666250446558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88.170414732964616</v>
      </c>
      <c r="DU77" s="59">
        <f t="shared" si="98"/>
        <v>281.30515544919626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14.092625212101172</v>
      </c>
      <c r="EB77" s="21">
        <f>EXP(-LN(2)/25)*EB76+(1-EXP(-LN(2)/25))/(LN(2)/25)*Calculateur!DW77*Calculateur!DY77*VLOOKUP('Données projet'!$B$14,Paramètres!$A$1:$I$89,3,0)*0.475*44/12</f>
        <v>4.0890410383453855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18.181666250446558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133.15255339171387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678.63565919460086</v>
      </c>
      <c r="H78" s="67">
        <f t="shared" si="56"/>
        <v>625.64737893911513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167.42995526007479</v>
      </c>
      <c r="T78" s="59">
        <f t="shared" si="88"/>
        <v>397.36718389105215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19.51826955413285</v>
      </c>
      <c r="AA78" s="21">
        <f>EXP(-LN(2)/25)*AA77+(1-EXP(-LN(2)/25))/(LN(2)/25)*Calculateur!V78*Calculateur!X78*VLOOKUP('Données projet'!$B$9,Paramètres!$A$1:$I$89,3,0)*0.475*44/12</f>
        <v>5.618631319338367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25.136900873471216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127.55710992710948</v>
      </c>
      <c r="AO78" s="59">
        <f t="shared" si="90"/>
        <v>417.43085823929903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20.507928292088874</v>
      </c>
      <c r="AV78" s="21">
        <f>EXP(-LN(2)/25)*AV77+(1-EXP(-LN(2)/25))/(LN(2)/25)*Calculateur!AQ78*Calculateur!AS78*VLOOKUP('Données projet'!$B$10,Paramètres!$A$1:$I$89,3,0)*0.475*44/12</f>
        <v>5.9035196679245336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26.411447960013408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123.48243581061803</v>
      </c>
      <c r="BJ78" s="59">
        <f t="shared" si="92"/>
        <v>405.05940798527138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19.897573283395765</v>
      </c>
      <c r="BQ78" s="21">
        <f>EXP(-LN(2)/25)*BQ77+(1-EXP(-LN(2)/25))/(LN(2)/25)*Calculateur!BL78*Calculateur!BN78*VLOOKUP('Données projet'!$B$11,Paramètres!$A$1:$I$89,3,0)*0.475*44/12</f>
        <v>5.7278196778077319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25.625392961203495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156.72204844493132</v>
      </c>
      <c r="CE78" s="59">
        <f t="shared" si="94"/>
        <v>377.72061016381247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18.55021051085442</v>
      </c>
      <c r="CL78" s="21">
        <f>EXP(-LN(2)/25)*CL77+(1-EXP(-LN(2)/25))/(LN(2)/25)*Calculateur!CG78*Calculateur!CI78*VLOOKUP('Données projet'!$B$12,Paramètres!$A$1:$I$89,3,0)*0.475*44/12</f>
        <v>5.3399607720110174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23.890171282865438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88.170414732964616</v>
      </c>
      <c r="CZ78" s="59">
        <f t="shared" si="96"/>
        <v>281.30515544919626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13.816277427344497</v>
      </c>
      <c r="DG78" s="21">
        <f>EXP(-LN(2)/25)*DG77+(1-EXP(-LN(2)/25))/(LN(2)/25)*Calculateur!DB78*Calculateur!DD78*VLOOKUP('Données projet'!$B$13,Paramètres!$A$1:$I$89,3,0)*0.475*44/12</f>
        <v>3.9772259961185084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17.793503423463005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88.170414732964616</v>
      </c>
      <c r="DU78" s="59">
        <f t="shared" si="98"/>
        <v>281.30515544919626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13.816277427344497</v>
      </c>
      <c r="EB78" s="21">
        <f>EXP(-LN(2)/25)*EB77+(1-EXP(-LN(2)/25))/(LN(2)/25)*Calculateur!DW78*Calculateur!DY78*VLOOKUP('Données projet'!$B$14,Paramètres!$A$1:$I$89,3,0)*0.475*44/12</f>
        <v>3.9772259961185084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17.793503423463005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133.27134128177039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687.21254692241644</v>
      </c>
      <c r="H79" s="67">
        <f t="shared" si="56"/>
        <v>627.58253923270354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167.42995526007479</v>
      </c>
      <c r="T79" s="59">
        <f t="shared" si="88"/>
        <v>397.36718389105215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19.135528193145216</v>
      </c>
      <c r="AA79" s="21">
        <f>EXP(-LN(2)/25)*AA78+(1-EXP(-LN(2)/25))/(LN(2)/25)*Calculateur!V79*Calculateur!X79*VLOOKUP('Données projet'!$B$9,Paramètres!$A$1:$I$89,3,0)*0.475*44/12</f>
        <v>5.4649895504400803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24.600517743585296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127.55710992710948</v>
      </c>
      <c r="AO79" s="59">
        <f t="shared" si="90"/>
        <v>417.43085823929903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20.105780326882147</v>
      </c>
      <c r="AV79" s="21">
        <f>EXP(-LN(2)/25)*AV78+(1-EXP(-LN(2)/25))/(LN(2)/25)*Calculateur!AQ79*Calculateur!AS79*VLOOKUP('Données projet'!$B$10,Paramètres!$A$1:$I$89,3,0)*0.475*44/12</f>
        <v>5.7420876121525311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25.847867939034678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123.48243581061803</v>
      </c>
      <c r="BJ79" s="59">
        <f t="shared" si="92"/>
        <v>405.05940798527138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19.507394007629713</v>
      </c>
      <c r="BQ79" s="21">
        <f>EXP(-LN(2)/25)*BQ78+(1-EXP(-LN(2)/25))/(LN(2)/25)*Calculateur!BL79*Calculateur!BN79*VLOOKUP('Données projet'!$B$11,Paramètres!$A$1:$I$89,3,0)*0.475*44/12</f>
        <v>5.5711921475051334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25.078586155134847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156.72204844493132</v>
      </c>
      <c r="CE79" s="59">
        <f t="shared" si="94"/>
        <v>377.72061016381247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18.18645219724776</v>
      </c>
      <c r="CL79" s="21">
        <f>EXP(-LN(2)/25)*CL78+(1-EXP(-LN(2)/25))/(LN(2)/25)*Calculateur!CG79*Calculateur!CI79*VLOOKUP('Données projet'!$B$12,Paramètres!$A$1:$I$89,3,0)*0.475*44/12</f>
        <v>5.1939392638840438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23.380391461131804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88.170414732964616</v>
      </c>
      <c r="CZ79" s="59">
        <f t="shared" si="96"/>
        <v>281.30515544919626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13.545348654091395</v>
      </c>
      <c r="DG79" s="21">
        <f>EXP(-LN(2)/25)*DG78+(1-EXP(-LN(2)/25))/(LN(2)/25)*Calculateur!DB79*Calculateur!DD79*VLOOKUP('Données projet'!$B$13,Paramètres!$A$1:$I$89,3,0)*0.475*44/12</f>
        <v>3.8684685421014229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17.413817196192817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88.170414732964616</v>
      </c>
      <c r="DU79" s="59">
        <f t="shared" si="98"/>
        <v>281.30515544919626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13.545348654091395</v>
      </c>
      <c r="EB79" s="21">
        <f>EXP(-LN(2)/25)*EB78+(1-EXP(-LN(2)/25))/(LN(2)/25)*Calculateur!DW79*Calculateur!DY79*VLOOKUP('Données projet'!$B$14,Paramètres!$A$1:$I$89,3,0)*0.475*44/12</f>
        <v>3.8684685421014229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17.413817196192817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133.38806846750441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695.78681315542553</v>
      </c>
      <c r="H80" s="67">
        <f t="shared" si="56"/>
        <v>629.51710805152618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167.42995526007479</v>
      </c>
      <c r="T80" s="59">
        <f t="shared" si="88"/>
        <v>397.36718389105215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18.76029215679737</v>
      </c>
      <c r="AA80" s="21">
        <f>EXP(-LN(2)/25)*AA79+(1-EXP(-LN(2)/25))/(LN(2)/25)*Calculateur!V80*Calculateur!X80*VLOOKUP('Données projet'!$B$9,Paramètres!$A$1:$I$89,3,0)*0.475*44/12</f>
        <v>5.3155491237919863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24.075841280589355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127.55710992710948</v>
      </c>
      <c r="AO80" s="59">
        <f t="shared" si="90"/>
        <v>417.43085823929903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19.711518237987086</v>
      </c>
      <c r="AV80" s="21">
        <f>EXP(-LN(2)/25)*AV79+(1-EXP(-LN(2)/25))/(LN(2)/25)*Calculateur!AQ80*Calculateur!AS80*VLOOKUP('Données projet'!$B$10,Paramètres!$A$1:$I$89,3,0)*0.475*44/12</f>
        <v>5.585069924434956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25.29658816242204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123.48243581061803</v>
      </c>
      <c r="BJ80" s="59">
        <f t="shared" si="92"/>
        <v>405.05940798527138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19.124865909475577</v>
      </c>
      <c r="BQ80" s="21">
        <f>EXP(-LN(2)/25)*BQ79+(1-EXP(-LN(2)/25))/(LN(2)/25)*Calculateur!BL80*Calculateur!BN80*VLOOKUP('Données projet'!$B$11,Paramètres!$A$1:$I$89,3,0)*0.475*44/12</f>
        <v>5.4188476052553431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24.543713514730921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156.72204844493132</v>
      </c>
      <c r="CE80" s="59">
        <f t="shared" si="94"/>
        <v>377.72061016381247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17.829826962300263</v>
      </c>
      <c r="CL80" s="21">
        <f>EXP(-LN(2)/25)*CL79+(1-EXP(-LN(2)/25))/(LN(2)/25)*Calculateur!CG80*Calculateur!CI80*VLOOKUP('Données projet'!$B$12,Paramètres!$A$1:$I$89,3,0)*0.475*44/12</f>
        <v>5.0519107215757399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22.881737683876004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88.170414732964616</v>
      </c>
      <c r="CZ80" s="59">
        <f t="shared" si="96"/>
        <v>281.30515544919626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13.279732628831551</v>
      </c>
      <c r="DG80" s="21">
        <f>EXP(-LN(2)/25)*DG79+(1-EXP(-LN(2)/25))/(LN(2)/25)*Calculateur!DB80*Calculateur!DD80*VLOOKUP('Données projet'!$B$13,Paramètres!$A$1:$I$89,3,0)*0.475*44/12</f>
        <v>3.7626850663837406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17.042417695215292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88.170414732964616</v>
      </c>
      <c r="DU80" s="59">
        <f t="shared" si="98"/>
        <v>281.30515544919626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13.279732628831551</v>
      </c>
      <c r="EB80" s="21">
        <f>EXP(-LN(2)/25)*EB79+(1-EXP(-LN(2)/25))/(LN(2)/25)*Calculateur!DW80*Calculateur!DY80*VLOOKUP('Données projet'!$B$14,Paramètres!$A$1:$I$89,3,0)*0.475*44/12</f>
        <v>3.7626850663837406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17.042417695215292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133.5027706975288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704.35849587533198</v>
      </c>
      <c r="H81" s="67">
        <f t="shared" si="56"/>
        <v>631.45109396520513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167.42995526007479</v>
      </c>
      <c r="T81" s="59">
        <f t="shared" si="88"/>
        <v>397.36718389105215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18.392414270250921</v>
      </c>
      <c r="AA81" s="21">
        <f>EXP(-LN(2)/25)*AA80+(1-EXP(-LN(2)/25))/(LN(2)/25)*Calculateur!V81*Calculateur!X81*VLOOKUP('Données projet'!$B$9,Paramètres!$A$1:$I$89,3,0)*0.475*44/12</f>
        <v>5.1701951534693151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23.562609423720236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127.55710992710948</v>
      </c>
      <c r="AO81" s="59">
        <f t="shared" si="90"/>
        <v>417.43085823929903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19.324987388179128</v>
      </c>
      <c r="AV81" s="21">
        <f>EXP(-LN(2)/25)*AV80+(1-EXP(-LN(2)/25))/(LN(2)/25)*Calculateur!AQ81*Calculateur!AS81*VLOOKUP('Données projet'!$B$10,Paramètres!$A$1:$I$89,3,0)*0.475*44/12</f>
        <v>5.4323458936452198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24.757333281824348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123.48243581061803</v>
      </c>
      <c r="BJ81" s="59">
        <f t="shared" si="92"/>
        <v>405.05940798527138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18.749838954007142</v>
      </c>
      <c r="BQ81" s="21">
        <f>EXP(-LN(2)/25)*BQ80+(1-EXP(-LN(2)/25))/(LN(2)/25)*Calculateur!BL81*Calculateur!BN81*VLOOKUP('Données projet'!$B$11,Paramètres!$A$1:$I$89,3,0)*0.475*44/12</f>
        <v>5.270668932524825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24.020507886531966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156.72204844493132</v>
      </c>
      <c r="CE81" s="59">
        <f t="shared" si="94"/>
        <v>377.72061016381247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17.480194930690175</v>
      </c>
      <c r="CL81" s="21">
        <f>EXP(-LN(2)/25)*CL80+(1-EXP(-LN(2)/25))/(LN(2)/25)*Calculateur!CG81*Calculateur!CI81*VLOOKUP('Données projet'!$B$12,Paramètres!$A$1:$I$89,3,0)*0.475*44/12</f>
        <v>4.913765957225813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22.393960887915988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88.170414732964616</v>
      </c>
      <c r="CZ81" s="59">
        <f t="shared" si="96"/>
        <v>281.30515544919626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13.019325171817275</v>
      </c>
      <c r="DG81" s="21">
        <f>EXP(-LN(2)/25)*DG80+(1-EXP(-LN(2)/25))/(LN(2)/25)*Calculateur!DB81*Calculateur!DD81*VLOOKUP('Données projet'!$B$13,Paramètres!$A$1:$I$89,3,0)*0.475*44/12</f>
        <v>3.6597942453724692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16.679119417189746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88.170414732964616</v>
      </c>
      <c r="DU81" s="59">
        <f t="shared" si="98"/>
        <v>281.30515544919626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13.019325171817275</v>
      </c>
      <c r="EB81" s="21">
        <f>EXP(-LN(2)/25)*EB80+(1-EXP(-LN(2)/25))/(LN(2)/25)*Calculateur!DW81*Calculateur!DY81*VLOOKUP('Données projet'!$B$14,Paramètres!$A$1:$I$89,3,0)*0.475*44/12</f>
        <v>3.6597942453724692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16.679119417189746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133.61548310029806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712.92763203395441</v>
      </c>
      <c r="H82" s="67">
        <f t="shared" si="56"/>
        <v>633.38450531099431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167.42995526007479</v>
      </c>
      <c r="T82" s="59">
        <f t="shared" si="88"/>
        <v>397.36718389105215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18.031750244676292</v>
      </c>
      <c r="AA82" s="21">
        <f>EXP(-LN(2)/25)*AA81+(1-EXP(-LN(2)/25))/(LN(2)/25)*Calculateur!V82*Calculateur!X82*VLOOKUP('Données projet'!$B$9,Paramètres!$A$1:$I$89,3,0)*0.475*44/12</f>
        <v>5.0288158951089503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23.060566139785244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127.55710992710948</v>
      </c>
      <c r="AO82" s="59">
        <f t="shared" si="90"/>
        <v>417.43085823929903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18.946036172575365</v>
      </c>
      <c r="AV82" s="21">
        <f>EXP(-LN(2)/25)*AV81+(1-EXP(-LN(2)/25))/(LN(2)/25)*Calculateur!AQ82*Calculateur!AS82*VLOOKUP('Données projet'!$B$10,Paramètres!$A$1:$I$89,3,0)*0.475*44/12</f>
        <v>5.2837981095088367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24.229834282084202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123.48243581061803</v>
      </c>
      <c r="BJ82" s="59">
        <f t="shared" si="92"/>
        <v>405.05940798527138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18.382166048391586</v>
      </c>
      <c r="BQ82" s="21">
        <f>EXP(-LN(2)/25)*BQ81+(1-EXP(-LN(2)/25))/(LN(2)/25)*Calculateur!BL82*Calculateur!BN82*VLOOKUP('Données projet'!$B$11,Paramètres!$A$1:$I$89,3,0)*0.475*44/12</f>
        <v>5.1265422133925007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23.508708261784086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156.72204844493132</v>
      </c>
      <c r="CE82" s="59">
        <f t="shared" si="94"/>
        <v>377.72061016381247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17.137418969965477</v>
      </c>
      <c r="CL82" s="21">
        <f>EXP(-LN(2)/25)*CL81+(1-EXP(-LN(2)/25))/(LN(2)/25)*Calculateur!CG82*Calculateur!CI82*VLOOKUP('Données projet'!$B$12,Paramètres!$A$1:$I$89,3,0)*0.475*44/12</f>
        <v>4.7793987687217516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21.916817738687229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88.170414732964616</v>
      </c>
      <c r="CZ82" s="59">
        <f t="shared" si="96"/>
        <v>281.30515544919626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12.764024146202184</v>
      </c>
      <c r="DG82" s="21">
        <f>EXP(-LN(2)/25)*DG81+(1-EXP(-LN(2)/25))/(LN(2)/25)*Calculateur!DB82*Calculateur!DD82*VLOOKUP('Données projet'!$B$13,Paramètres!$A$1:$I$89,3,0)*0.475*44/12</f>
        <v>3.5597169792725443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16.323741125474729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88.170414732964616</v>
      </c>
      <c r="DU82" s="59">
        <f t="shared" si="98"/>
        <v>281.30515544919626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12.764024146202184</v>
      </c>
      <c r="EB82" s="21">
        <f>EXP(-LN(2)/25)*EB81+(1-EXP(-LN(2)/25))/(LN(2)/25)*Calculateur!DW82*Calculateur!DY82*VLOOKUP('Données projet'!$B$14,Paramètres!$A$1:$I$89,3,0)*0.475*44/12</f>
        <v>3.5597169792725443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16.323741125474729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133.72624019486645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721.49425759382711</v>
      </c>
      <c r="H83" s="67">
        <f t="shared" si="56"/>
        <v>635.31735020294059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167.42995526007479</v>
      </c>
      <c r="T83" s="59">
        <f t="shared" si="88"/>
        <v>397.36718389105215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17.67815862065985</v>
      </c>
      <c r="AA83" s="21">
        <f>EXP(-LN(2)/25)*AA82+(1-EXP(-LN(2)/25))/(LN(2)/25)*Calculateur!V83*Calculateur!X83*VLOOKUP('Données projet'!$B$9,Paramètres!$A$1:$I$89,3,0)*0.475*44/12</f>
        <v>4.8913026600032614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22.569461280663113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127.55710992710948</v>
      </c>
      <c r="AO83" s="59">
        <f t="shared" si="90"/>
        <v>417.43085823929903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18.574515959172174</v>
      </c>
      <c r="AV83" s="21">
        <f>EXP(-LN(2)/25)*AV82+(1-EXP(-LN(2)/25))/(LN(2)/25)*Calculateur!AQ83*Calculateur!AS83*VLOOKUP('Données projet'!$B$10,Paramètres!$A$1:$I$89,3,0)*0.475*44/12</f>
        <v>5.1393123723414513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23.713828331513625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123.48243581061803</v>
      </c>
      <c r="BJ83" s="59">
        <f t="shared" si="92"/>
        <v>405.05940798527138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18.021702984196821</v>
      </c>
      <c r="BQ83" s="21">
        <f>EXP(-LN(2)/25)*BQ82+(1-EXP(-LN(2)/25))/(LN(2)/25)*Calculateur!BL83*Calculateur!BN83*VLOOKUP('Données projet'!$B$11,Paramètres!$A$1:$I$89,3,0)*0.475*44/12</f>
        <v>4.9863566469741443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23.008059631170966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156.72204844493132</v>
      </c>
      <c r="CE83" s="59">
        <f t="shared" si="94"/>
        <v>377.72061016381247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16.801364636757899</v>
      </c>
      <c r="CL83" s="21">
        <f>EXP(-LN(2)/25)*CL82+(1-EXP(-LN(2)/25))/(LN(2)/25)*Calculateur!CG83*Calculateur!CI83*VLOOKUP('Données projet'!$B$12,Paramètres!$A$1:$I$89,3,0)*0.475*44/12</f>
        <v>4.6487058580533978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21.450070494811296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88.170414732964616</v>
      </c>
      <c r="CZ83" s="59">
        <f t="shared" si="96"/>
        <v>281.30515544919626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12.513729417981155</v>
      </c>
      <c r="DG83" s="21">
        <f>EXP(-LN(2)/25)*DG82+(1-EXP(-LN(2)/25))/(LN(2)/25)*Calculateur!DB83*Calculateur!DD83*VLOOKUP('Données projet'!$B$13,Paramètres!$A$1:$I$89,3,0)*0.475*44/12</f>
        <v>3.4623763312769564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15.976105749258112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88.170414732964616</v>
      </c>
      <c r="DU83" s="59">
        <f t="shared" si="98"/>
        <v>281.30515544919626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12.513729417981155</v>
      </c>
      <c r="EB83" s="21">
        <f>EXP(-LN(2)/25)*EB82+(1-EXP(-LN(2)/25))/(LN(2)/25)*Calculateur!DW83*Calculateur!DY83*VLOOKUP('Données projet'!$B$14,Paramètres!$A$1:$I$89,3,0)*0.475*44/12</f>
        <v>3.4623763312769564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15.976105749258112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133.83507590145985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730.0584075667133</v>
      </c>
      <c r="H84" s="67">
        <f t="shared" si="56"/>
        <v>637.24963654057308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167.42995526007479</v>
      </c>
      <c r="T84" s="59">
        <f t="shared" si="88"/>
        <v>397.36718389105215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17.331500712720775</v>
      </c>
      <c r="AA84" s="21">
        <f>EXP(-LN(2)/25)*AA83+(1-EXP(-LN(2)/25))/(LN(2)/25)*Calculateur!V84*Calculateur!X84*VLOOKUP('Données projet'!$B$9,Paramètres!$A$1:$I$89,3,0)*0.475*44/12</f>
        <v>4.7575497315430448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22.089050444263819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127.55710992710948</v>
      </c>
      <c r="AO84" s="59">
        <f t="shared" si="90"/>
        <v>417.43085823929903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18.210281030548863</v>
      </c>
      <c r="AV84" s="21">
        <f>EXP(-LN(2)/25)*AV83+(1-EXP(-LN(2)/25))/(LN(2)/25)*Calculateur!AQ84*Calculateur!AS84*VLOOKUP('Données projet'!$B$10,Paramètres!$A$1:$I$89,3,0)*0.475*44/12</f>
        <v>4.998777605255083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23.209058635803945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123.48243581061803</v>
      </c>
      <c r="BJ84" s="59">
        <f t="shared" si="92"/>
        <v>405.05940798527138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17.668308380830158</v>
      </c>
      <c r="BQ84" s="21">
        <f>EXP(-LN(2)/25)*BQ83+(1-EXP(-LN(2)/25))/(LN(2)/25)*Calculateur!BL84*Calculateur!BN84*VLOOKUP('Données projet'!$B$11,Paramètres!$A$1:$I$89,3,0)*0.475*44/12</f>
        <v>4.8500044622415368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22.518312843071694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156.72204844493132</v>
      </c>
      <c r="CE84" s="59">
        <f t="shared" si="94"/>
        <v>377.72061016381247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16.471900124051619</v>
      </c>
      <c r="CL84" s="21">
        <f>EXP(-LN(2)/25)*CL83+(1-EXP(-LN(2)/25))/(LN(2)/25)*Calculateur!CG84*Calculateur!CI84*VLOOKUP('Données projet'!$B$12,Paramètres!$A$1:$I$89,3,0)*0.475*44/12</f>
        <v>4.5215867519001112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20.993486875951731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88.170414732964616</v>
      </c>
      <c r="CZ84" s="59">
        <f t="shared" si="96"/>
        <v>281.30515544919626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12.268342816715831</v>
      </c>
      <c r="DG84" s="21">
        <f>EXP(-LN(2)/25)*DG83+(1-EXP(-LN(2)/25))/(LN(2)/25)*Calculateur!DB84*Calculateur!DD84*VLOOKUP('Données projet'!$B$13,Paramètres!$A$1:$I$89,3,0)*0.475*44/12</f>
        <v>3.3676974684197303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15.636040285135561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88.170414732964616</v>
      </c>
      <c r="DU84" s="59">
        <f t="shared" si="98"/>
        <v>281.30515544919626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12.268342816715831</v>
      </c>
      <c r="EB84" s="21">
        <f>EXP(-LN(2)/25)*EB83+(1-EXP(-LN(2)/25))/(LN(2)/25)*Calculateur!DW84*Calculateur!DY84*VLOOKUP('Données projet'!$B$14,Paramètres!$A$1:$I$89,3,0)*0.475*44/12</f>
        <v>3.3676974684197303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15.636040285135561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133.94202355186403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738.62011605016346</v>
      </c>
      <c r="H85" s="67">
        <f t="shared" si="56"/>
        <v>639.18137201715149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167.42995526007479</v>
      </c>
      <c r="T85" s="59">
        <f t="shared" si="88"/>
        <v>397.36718389105215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16.991640554915939</v>
      </c>
      <c r="AA85" s="21">
        <f>EXP(-LN(2)/25)*AA84+(1-EXP(-LN(2)/25))/(LN(2)/25)*Calculateur!V85*Calculateur!X85*VLOOKUP('Données projet'!$B$9,Paramètres!$A$1:$I$89,3,0)*0.475*44/12</f>
        <v>4.6274542839453332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21.619094838861272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127.55710992710948</v>
      </c>
      <c r="AO85" s="59">
        <f t="shared" si="90"/>
        <v>417.43085823929903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17.853188526714487</v>
      </c>
      <c r="AV85" s="21">
        <f>EXP(-LN(2)/25)*AV84+(1-EXP(-LN(2)/25))/(LN(2)/25)*Calculateur!AQ85*Calculateur!AS85*VLOOKUP('Données projet'!$B$10,Paramètres!$A$1:$I$89,3,0)*0.475*44/12</f>
        <v>4.8620857687650929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22.715274295479581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123.48243581061803</v>
      </c>
      <c r="BJ85" s="59">
        <f t="shared" si="92"/>
        <v>405.05940798527138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17.321843630086089</v>
      </c>
      <c r="BQ85" s="21">
        <f>EXP(-LN(2)/25)*BQ84+(1-EXP(-LN(2)/25))/(LN(2)/25)*Calculateur!BL85*Calculateur!BN85*VLOOKUP('Données projet'!$B$11,Paramètres!$A$1:$I$89,3,0)*0.475*44/12</f>
        <v>4.7173808351708919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22.039224465256982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156.72204844493132</v>
      </c>
      <c r="CE85" s="59">
        <f t="shared" si="94"/>
        <v>377.72061016381247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16.148896209485997</v>
      </c>
      <c r="CL85" s="21">
        <f>EXP(-LN(2)/25)*CL84+(1-EXP(-LN(2)/25))/(LN(2)/25)*Calculateur!CG85*Calculateur!CI85*VLOOKUP('Données projet'!$B$12,Paramètres!$A$1:$I$89,3,0)*0.475*44/12</f>
        <v>4.3979437243894894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20.546839933875486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88.170414732964616</v>
      </c>
      <c r="CZ85" s="59">
        <f t="shared" si="96"/>
        <v>281.30515544919626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12.027768097030272</v>
      </c>
      <c r="DG85" s="21">
        <f>EXP(-LN(2)/25)*DG84+(1-EXP(-LN(2)/25))/(LN(2)/25)*Calculateur!DB85*Calculateur!DD85*VLOOKUP('Données projet'!$B$13,Paramètres!$A$1:$I$89,3,0)*0.475*44/12</f>
        <v>3.27560760404628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15.303375701076552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88.170414732964616</v>
      </c>
      <c r="DU85" s="59">
        <f t="shared" si="98"/>
        <v>281.30515544919626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12.027768097030272</v>
      </c>
      <c r="EB85" s="21">
        <f>EXP(-LN(2)/25)*EB84+(1-EXP(-LN(2)/25))/(LN(2)/25)*Calculateur!DW85*Calculateur!DY85*VLOOKUP('Données projet'!$B$14,Paramètres!$A$1:$I$89,3,0)*0.475*44/12</f>
        <v>3.27560760404628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15.303375701076552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134.04711589963284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747.17941626223717</v>
      </c>
      <c r="H86" s="67">
        <f t="shared" si="56"/>
        <v>641.1125641275006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167.42995526007479</v>
      </c>
      <c r="T86" s="59">
        <f t="shared" si="88"/>
        <v>397.36718389105215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16.658444847511429</v>
      </c>
      <c r="AA86" s="21">
        <f>EXP(-LN(2)/25)*AA85+(1-EXP(-LN(2)/25))/(LN(2)/25)*Calculateur!V86*Calculateur!X86*VLOOKUP('Données projet'!$B$9,Paramètres!$A$1:$I$89,3,0)*0.475*44/12</f>
        <v>4.5009163032036037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21.159361150715032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127.55710992710948</v>
      </c>
      <c r="AO86" s="59">
        <f t="shared" si="90"/>
        <v>417.43085823929903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17.50309838907538</v>
      </c>
      <c r="AV86" s="21">
        <f>EXP(-LN(2)/25)*AV85+(1-EXP(-LN(2)/25))/(LN(2)/25)*Calculateur!AQ86*Calculateur!AS86*VLOOKUP('Données projet'!$B$10,Paramètres!$A$1:$I$89,3,0)*0.475*44/12</f>
        <v>4.729131777732233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22.232230166807611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123.48243581061803</v>
      </c>
      <c r="BJ86" s="59">
        <f t="shared" si="92"/>
        <v>405.05940798527138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16.98217284178148</v>
      </c>
      <c r="BQ86" s="21">
        <f>EXP(-LN(2)/25)*BQ85+(1-EXP(-LN(2)/25))/(LN(2)/25)*Calculateur!BL86*Calculateur!BN86*VLOOKUP('Données projet'!$B$11,Paramètres!$A$1:$I$89,3,0)*0.475*44/12</f>
        <v>4.5883838081568671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21.570556649938347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156.72204844493132</v>
      </c>
      <c r="CE86" s="59">
        <f t="shared" si="94"/>
        <v>377.72061016381247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15.832226204672072</v>
      </c>
      <c r="CL86" s="21">
        <f>EXP(-LN(2)/25)*CL85+(1-EXP(-LN(2)/25))/(LN(2)/25)*Calculateur!CG86*Calculateur!CI86*VLOOKUP('Données projet'!$B$12,Paramètres!$A$1:$I$89,3,0)*0.475*44/12</f>
        <v>4.2776817219682499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20.109907926640322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88.170414732964616</v>
      </c>
      <c r="CZ86" s="59">
        <f t="shared" si="96"/>
        <v>281.30515544919626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11.791910900861657</v>
      </c>
      <c r="DG86" s="21">
        <f>EXP(-LN(2)/25)*DG85+(1-EXP(-LN(2)/25))/(LN(2)/25)*Calculateur!DB86*Calculateur!DD86*VLOOKUP('Données projet'!$B$13,Paramètres!$A$1:$I$89,3,0)*0.475*44/12</f>
        <v>3.1860359418569173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14.977946842718573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88.170414732964616</v>
      </c>
      <c r="DU86" s="59">
        <f t="shared" si="98"/>
        <v>281.30515544919626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11.791910900861657</v>
      </c>
      <c r="EB86" s="21">
        <f>EXP(-LN(2)/25)*EB85+(1-EXP(-LN(2)/25))/(LN(2)/25)*Calculateur!DW86*Calculateur!DY86*VLOOKUP('Données projet'!$B$14,Paramètres!$A$1:$I$89,3,0)*0.475*44/12</f>
        <v>3.1860359418569173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14.977946842718573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134.15038513011913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755.73634057450715</v>
      </c>
      <c r="H87" s="67">
        <f t="shared" si="56"/>
        <v>643.04322017545655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167.42995526007479</v>
      </c>
      <c r="T87" s="59">
        <f t="shared" si="88"/>
        <v>397.36718389105215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16.331782904699807</v>
      </c>
      <c r="AA87" s="21">
        <f>EXP(-LN(2)/25)*AA86+(1-EXP(-LN(2)/25))/(LN(2)/25)*Calculateur!V87*Calculateur!X87*VLOOKUP('Données projet'!$B$9,Paramètres!$A$1:$I$89,3,0)*0.475*44/12</f>
        <v>4.3778385101995996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20.709621414899406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127.55710992710948</v>
      </c>
      <c r="AO87" s="59">
        <f t="shared" si="90"/>
        <v>417.43085823929903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17.159873305501478</v>
      </c>
      <c r="AV87" s="21">
        <f>EXP(-LN(2)/25)*AV86+(1-EXP(-LN(2)/25))/(LN(2)/25)*Calculateur!AQ87*Calculateur!AS87*VLOOKUP('Données projet'!$B$10,Paramètres!$A$1:$I$89,3,0)*0.475*44/12</f>
        <v>4.5998134205759138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21.759686726077391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123.48243581061803</v>
      </c>
      <c r="BJ87" s="59">
        <f t="shared" si="92"/>
        <v>405.05940798527138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16.649162790456803</v>
      </c>
      <c r="BQ87" s="21">
        <f>EXP(-LN(2)/25)*BQ86+(1-EXP(-LN(2)/25))/(LN(2)/25)*Calculateur!BL87*Calculateur!BN87*VLOOKUP('Données projet'!$B$11,Paramètres!$A$1:$I$89,3,0)*0.475*44/12</f>
        <v>4.4629142116302001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21.112077002087002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156.72204844493132</v>
      </c>
      <c r="CE87" s="59">
        <f t="shared" si="94"/>
        <v>377.72061016381247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15.521765905502917</v>
      </c>
      <c r="CL87" s="21">
        <f>EXP(-LN(2)/25)*CL86+(1-EXP(-LN(2)/25))/(LN(2)/25)*Calculateur!CG87*Calculateur!CI87*VLOOKUP('Données projet'!$B$12,Paramètres!$A$1:$I$89,3,0)*0.475*44/12</f>
        <v>4.1607082903275234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19.682474195830441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88.170414732964616</v>
      </c>
      <c r="CZ87" s="59">
        <f t="shared" si="96"/>
        <v>281.30515544919626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11.560678720451223</v>
      </c>
      <c r="DG87" s="21">
        <f>EXP(-LN(2)/25)*DG86+(1-EXP(-LN(2)/25))/(LN(2)/25)*Calculateur!DB87*Calculateur!DD87*VLOOKUP('Données projet'!$B$13,Paramètres!$A$1:$I$89,3,0)*0.475*44/12</f>
        <v>3.0989136214804915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14.659592341931715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88.170414732964616</v>
      </c>
      <c r="DU87" s="59">
        <f t="shared" si="98"/>
        <v>281.30515544919626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11.560678720451223</v>
      </c>
      <c r="EB87" s="21">
        <f>EXP(-LN(2)/25)*EB86+(1-EXP(-LN(2)/25))/(LN(2)/25)*Calculateur!DW87*Calculateur!DY87*VLOOKUP('Données projet'!$B$14,Paramètres!$A$1:$I$89,3,0)*0.475*44/12</f>
        <v>3.0989136214804915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14.659592341931715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134.25186287033191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764.29092054344346</v>
      </c>
      <c r="H88" s="67">
        <f t="shared" si="56"/>
        <v>644.97334728094779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167.42995526007479</v>
      </c>
      <c r="T88" s="59">
        <f t="shared" si="88"/>
        <v>397.36718389105215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16.01152660334261</v>
      </c>
      <c r="AA88" s="21">
        <f>EXP(-LN(2)/25)*AA87+(1-EXP(-LN(2)/25))/(LN(2)/25)*Calculateur!V88*Calculateur!X88*VLOOKUP('Données projet'!$B$9,Paramètres!$A$1:$I$89,3,0)*0.475*44/12</f>
        <v>4.2581262859176698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20.269652889260279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127.55710992710948</v>
      </c>
      <c r="AO88" s="59">
        <f t="shared" si="90"/>
        <v>417.43085823929903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16.823378656469831</v>
      </c>
      <c r="AV88" s="21">
        <f>EXP(-LN(2)/25)*AV87+(1-EXP(-LN(2)/25))/(LN(2)/25)*Calculateur!AQ88*Calculateur!AS88*VLOOKUP('Données projet'!$B$10,Paramètres!$A$1:$I$89,3,0)*0.475*44/12</f>
        <v>4.4740312806965905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21.297409937166421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123.48243581061803</v>
      </c>
      <c r="BJ88" s="59">
        <f t="shared" si="92"/>
        <v>405.05940798527138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16.322682863122527</v>
      </c>
      <c r="BQ88" s="21">
        <f>EXP(-LN(2)/25)*BQ87+(1-EXP(-LN(2)/25))/(LN(2)/25)*Calculateur!BL88*Calculateur!BN88*VLOOKUP('Données projet'!$B$11,Paramètres!$A$1:$I$89,3,0)*0.475*44/12</f>
        <v>4.3408755878187142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20.663558450941242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156.72204844493132</v>
      </c>
      <c r="CE88" s="59">
        <f t="shared" si="94"/>
        <v>377.72061016381247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15.217393543438385</v>
      </c>
      <c r="CL88" s="21">
        <f>EXP(-LN(2)/25)*CL87+(1-EXP(-LN(2)/25))/(LN(2)/25)*Calculateur!CG88*Calculateur!CI88*VLOOKUP('Données projet'!$B$12,Paramètres!$A$1:$I$89,3,0)*0.475*44/12</f>
        <v>4.046933503326378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19.264327046764762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88.170414732964616</v>
      </c>
      <c r="CZ88" s="59">
        <f t="shared" si="96"/>
        <v>281.30515544919626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11.333980862060935</v>
      </c>
      <c r="DG88" s="21">
        <f>EXP(-LN(2)/25)*DG87+(1-EXP(-LN(2)/25))/(LN(2)/25)*Calculateur!DB88*Calculateur!DD88*VLOOKUP('Données projet'!$B$13,Paramètres!$A$1:$I$89,3,0)*0.475*44/12</f>
        <v>3.0141736655363229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14.348154527597258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88.170414732964616</v>
      </c>
      <c r="DU88" s="59">
        <f t="shared" si="98"/>
        <v>281.30515544919626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11.333980862060935</v>
      </c>
      <c r="EB88" s="21">
        <f>EXP(-LN(2)/25)*EB87+(1-EXP(-LN(2)/25))/(LN(2)/25)*Calculateur!DW88*Calculateur!DY88*VLOOKUP('Données projet'!$B$14,Paramètres!$A$1:$I$89,3,0)*0.475*44/12</f>
        <v>3.0141736655363229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14.348154527597258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134.35158019862223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772.84318694028161</v>
      </c>
      <c r="H89" s="67">
        <f t="shared" si="56"/>
        <v>646.90295238673434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167.42995526007479</v>
      </c>
      <c r="T89" s="59">
        <f t="shared" si="88"/>
        <v>397.36718389105215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15.69755033271797</v>
      </c>
      <c r="AA89" s="21">
        <f>EXP(-LN(2)/25)*AA88+(1-EXP(-LN(2)/25))/(LN(2)/25)*Calculateur!V89*Calculateur!X89*VLOOKUP('Données projet'!$B$9,Paramètres!$A$1:$I$89,3,0)*0.475*44/12</f>
        <v>4.141687598704122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19.83923793142209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127.55710992710948</v>
      </c>
      <c r="AO89" s="59">
        <f t="shared" si="90"/>
        <v>417.43085823929903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16.493482462264225</v>
      </c>
      <c r="AV89" s="21">
        <f>EXP(-LN(2)/25)*AV88+(1-EXP(-LN(2)/25))/(LN(2)/25)*Calculateur!AQ89*Calculateur!AS89*VLOOKUP('Données projet'!$B$10,Paramètres!$A$1:$I$89,3,0)*0.475*44/12</f>
        <v>4.3516886600468627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20.845171122311086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123.48243581061803</v>
      </c>
      <c r="BJ89" s="59">
        <f t="shared" si="92"/>
        <v>405.05940798527138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16.00260500803018</v>
      </c>
      <c r="BQ89" s="21">
        <f>EXP(-LN(2)/25)*BQ88+(1-EXP(-LN(2)/25))/(LN(2)/25)*Calculateur!BL89*Calculateur!BN89*VLOOKUP('Données projet'!$B$11,Paramètres!$A$1:$I$89,3,0)*0.475*44/12</f>
        <v>4.2221741165930853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20.224779124623264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156.72204844493132</v>
      </c>
      <c r="CE89" s="59">
        <f t="shared" si="94"/>
        <v>377.72061016381247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14.918989737745129</v>
      </c>
      <c r="CL89" s="21">
        <f>EXP(-LN(2)/25)*CL88+(1-EXP(-LN(2)/25))/(LN(2)/25)*Calculateur!CG89*Calculateur!CI89*VLOOKUP('Données projet'!$B$12,Paramètres!$A$1:$I$89,3,0)*0.475*44/12</f>
        <v>3.9362698938589347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18.855259631604063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88.170414732964616</v>
      </c>
      <c r="CZ89" s="59">
        <f t="shared" si="96"/>
        <v>281.30515544919626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11.111728410401639</v>
      </c>
      <c r="DG89" s="21">
        <f>EXP(-LN(2)/25)*DG88+(1-EXP(-LN(2)/25))/(LN(2)/25)*Calculateur!DB89*Calculateur!DD89*VLOOKUP('Données projet'!$B$13,Paramètres!$A$1:$I$89,3,0)*0.475*44/12</f>
        <v>2.9317509281437282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14.043479338545367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88.170414732964616</v>
      </c>
      <c r="DU89" s="59">
        <f t="shared" si="98"/>
        <v>281.30515544919626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11.111728410401639</v>
      </c>
      <c r="EB89" s="21">
        <f>EXP(-LN(2)/25)*EB88+(1-EXP(-LN(2)/25))/(LN(2)/25)*Calculateur!DW89*Calculateur!DY89*VLOOKUP('Données projet'!$B$14,Paramètres!$A$1:$I$89,3,0)*0.475*44/12</f>
        <v>2.9317509281437282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14.043479338545367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134.44956765420127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781.39316977945964</v>
      </c>
      <c r="H90" s="67">
        <f t="shared" si="56"/>
        <v>648.83204226482394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167.42995526007479</v>
      </c>
      <c r="T90" s="59">
        <f t="shared" si="88"/>
        <v>397.36718389105215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15.389730945253664</v>
      </c>
      <c r="AA90" s="21">
        <f>EXP(-LN(2)/25)*AA89+(1-EXP(-LN(2)/25))/(LN(2)/25)*Calculateur!V90*Calculateur!X90*VLOOKUP('Données projet'!$B$9,Paramètres!$A$1:$I$89,3,0)*0.475*44/12</f>
        <v>4.0284329335156732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19.418163878769338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127.55710992710948</v>
      </c>
      <c r="AO90" s="59">
        <f t="shared" si="90"/>
        <v>417.43085823929903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16.170055331210179</v>
      </c>
      <c r="AV90" s="21">
        <f>EXP(-LN(2)/25)*AV89+(1-EXP(-LN(2)/25))/(LN(2)/25)*Calculateur!AQ90*Calculateur!AS90*VLOOKUP('Données projet'!$B$10,Paramètres!$A$1:$I$89,3,0)*0.475*44/12</f>
        <v>4.2326915047925207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20.402746836002699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123.48243581061803</v>
      </c>
      <c r="BJ90" s="59">
        <f t="shared" si="92"/>
        <v>405.05940798527138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15.688803684447981</v>
      </c>
      <c r="BQ90" s="21">
        <f>EXP(-LN(2)/25)*BQ89+(1-EXP(-LN(2)/25))/(LN(2)/25)*Calculateur!BL90*Calculateur!BN90*VLOOKUP('Données projet'!$B$11,Paramètres!$A$1:$I$89,3,0)*0.475*44/12</f>
        <v>4.1067185433403601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19.795522227788339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156.72204844493132</v>
      </c>
      <c r="CE90" s="59">
        <f t="shared" si="94"/>
        <v>377.72061016381247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14.626437448673167</v>
      </c>
      <c r="CL90" s="21">
        <f>EXP(-LN(2)/25)*CL89+(1-EXP(-LN(2)/25))/(LN(2)/25)*Calculateur!CG90*Calculateur!CI90*VLOOKUP('Données projet'!$B$12,Paramètres!$A$1:$I$89,3,0)*0.475*44/12</f>
        <v>3.828632386611925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18.455069835285091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88.170414732964616</v>
      </c>
      <c r="CZ90" s="59">
        <f t="shared" si="96"/>
        <v>281.30515544919626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10.893834193758773</v>
      </c>
      <c r="DG90" s="21">
        <f>EXP(-LN(2)/25)*DG89+(1-EXP(-LN(2)/25))/(LN(2)/25)*Calculateur!DB90*Calculateur!DD90*VLOOKUP('Données projet'!$B$13,Paramètres!$A$1:$I$89,3,0)*0.475*44/12</f>
        <v>2.851582044839557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13.745416238598329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88.170414732964616</v>
      </c>
      <c r="DU90" s="59">
        <f t="shared" si="98"/>
        <v>281.30515544919626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10.893834193758773</v>
      </c>
      <c r="EB90" s="21">
        <f>EXP(-LN(2)/25)*EB89+(1-EXP(-LN(2)/25))/(LN(2)/25)*Calculateur!DW90*Calculateur!DY90*VLOOKUP('Données projet'!$B$14,Paramètres!$A$1:$I$89,3,0)*0.475*44/12</f>
        <v>2.851582044839557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13.745416238598329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134.54585524649315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789.94089834571184</v>
      </c>
      <c r="H91" s="67">
        <f t="shared" si="56"/>
        <v>650.76062352258464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167.42995526007479</v>
      </c>
      <c r="T91" s="59">
        <f t="shared" si="88"/>
        <v>397.36718389105215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15.087947708226245</v>
      </c>
      <c r="AA91" s="21">
        <f>EXP(-LN(2)/25)*AA90+(1-EXP(-LN(2)/25))/(LN(2)/25)*Calculateur!V91*Calculateur!X91*VLOOKUP('Données projet'!$B$9,Paramètres!$A$1:$I$89,3,0)*0.475*44/12</f>
        <v>3.9182752231026061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19.00622293132885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127.55710992710948</v>
      </c>
      <c r="AO91" s="59">
        <f t="shared" si="90"/>
        <v>417.43085823929903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15.852970408925033</v>
      </c>
      <c r="AV91" s="21">
        <f>EXP(-LN(2)/25)*AV90+(1-EXP(-LN(2)/25))/(LN(2)/25)*Calculateur!AQ91*Calculateur!AS91*VLOOKUP('Données projet'!$B$10,Paramètres!$A$1:$I$89,3,0)*0.475*44/12</f>
        <v>4.1169483330063965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19.96991874193143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123.48243581061803</v>
      </c>
      <c r="BJ91" s="59">
        <f t="shared" si="92"/>
        <v>405.05940798527138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15.381155813421321</v>
      </c>
      <c r="BQ91" s="21">
        <f>EXP(-LN(2)/25)*BQ90+(1-EXP(-LN(2)/25))/(LN(2)/25)*Calculateur!BL91*Calculateur!BN91*VLOOKUP('Données projet'!$B$11,Paramètres!$A$1:$I$89,3,0)*0.475*44/12</f>
        <v>3.9944201088097757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19.375575922231096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156.72204844493132</v>
      </c>
      <c r="CE91" s="59">
        <f t="shared" si="94"/>
        <v>377.72061016381247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14.33962193155063</v>
      </c>
      <c r="CL91" s="21">
        <f>EXP(-LN(2)/25)*CL90+(1-EXP(-LN(2)/25))/(LN(2)/25)*Calculateur!CG91*Calculateur!CI91*VLOOKUP('Données projet'!$B$12,Paramètres!$A$1:$I$89,3,0)*0.475*44/12</f>
        <v>3.7239382326609953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18.063560164211626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88.170414732964616</v>
      </c>
      <c r="CZ91" s="59">
        <f t="shared" si="96"/>
        <v>281.30515544919626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10.680212749801923</v>
      </c>
      <c r="DG91" s="21">
        <f>EXP(-LN(2)/25)*DG90+(1-EXP(-LN(2)/25))/(LN(2)/25)*Calculateur!DB91*Calculateur!DD91*VLOOKUP('Données projet'!$B$13,Paramètres!$A$1:$I$89,3,0)*0.475*44/12</f>
        <v>2.7736053838652368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13.453818133667159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88.170414732964616</v>
      </c>
      <c r="DU91" s="59">
        <f t="shared" si="98"/>
        <v>281.30515544919626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10.680212749801923</v>
      </c>
      <c r="EB91" s="21">
        <f>EXP(-LN(2)/25)*EB90+(1-EXP(-LN(2)/25))/(LN(2)/25)*Calculateur!DW91*Calculateur!DY91*VLOOKUP('Données projet'!$B$14,Paramètres!$A$1:$I$89,3,0)*0.475*44/12</f>
        <v>2.7736053838652368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13.453818133667159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134.64047246432557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798.48640121989501</v>
      </c>
      <c r="H92" s="67">
        <f t="shared" si="56"/>
        <v>652.68870260857216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167.42995526007479</v>
      </c>
      <c r="T92" s="59">
        <f t="shared" si="88"/>
        <v>397.36718389105215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14.792082256407335</v>
      </c>
      <c r="AA92" s="21">
        <f>EXP(-LN(2)/25)*AA91+(1-EXP(-LN(2)/25))/(LN(2)/25)*Calculateur!V92*Calculateur!X92*VLOOKUP('Données projet'!$B$9,Paramètres!$A$1:$I$89,3,0)*0.475*44/12</f>
        <v>3.8111297810737268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18.603212037481061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127.55710992710948</v>
      </c>
      <c r="AO92" s="59">
        <f t="shared" si="90"/>
        <v>417.43085823929903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15.542103328563194</v>
      </c>
      <c r="AV92" s="21">
        <f>EXP(-LN(2)/25)*AV91+(1-EXP(-LN(2)/25))/(LN(2)/25)*Calculateur!AQ92*Calculateur!AS92*VLOOKUP('Données projet'!$B$10,Paramètres!$A$1:$I$89,3,0)*0.475*44/12</f>
        <v>4.0043701643394334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19.546473492902628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123.48243581061803</v>
      </c>
      <c r="BJ92" s="59">
        <f t="shared" si="92"/>
        <v>405.05940798527138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15.079540729498822</v>
      </c>
      <c r="BQ92" s="21">
        <f>EXP(-LN(2)/25)*BQ91+(1-EXP(-LN(2)/25))/(LN(2)/25)*Calculateur!BL92*Calculateur!BN92*VLOOKUP('Données projet'!$B$11,Paramètres!$A$1:$I$89,3,0)*0.475*44/12</f>
        <v>3.8851924808769485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18.964733210375769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156.72204844493132</v>
      </c>
      <c r="CE92" s="59">
        <f t="shared" si="94"/>
        <v>377.72061016381247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14.058430691778675</v>
      </c>
      <c r="CL92" s="21">
        <f>EXP(-LN(2)/25)*CL91+(1-EXP(-LN(2)/25))/(LN(2)/25)*Calculateur!CG92*Calculateur!CI92*VLOOKUP('Données projet'!$B$12,Paramètres!$A$1:$I$89,3,0)*0.475*44/12</f>
        <v>3.6221069458554798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17.680537637634153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88.170414732964616</v>
      </c>
      <c r="CZ92" s="59">
        <f t="shared" si="96"/>
        <v>281.30515544919626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10.470780292064852</v>
      </c>
      <c r="DG92" s="21">
        <f>EXP(-LN(2)/25)*DG91+(1-EXP(-LN(2)/25))/(LN(2)/25)*Calculateur!DB92*Calculateur!DD92*VLOOKUP('Données projet'!$B$13,Paramètres!$A$1:$I$89,3,0)*0.475*44/12</f>
        <v>2.6977609987858737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13.168541290850726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88.170414732964616</v>
      </c>
      <c r="DU92" s="59">
        <f t="shared" si="98"/>
        <v>281.30515544919626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10.470780292064852</v>
      </c>
      <c r="EB92" s="21">
        <f>EXP(-LN(2)/25)*EB91+(1-EXP(-LN(2)/25))/(LN(2)/25)*Calculateur!DW92*Calculateur!DY92*VLOOKUP('Données projet'!$B$14,Paramètres!$A$1:$I$89,3,0)*0.475*44/12</f>
        <v>2.6977609987858737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13.168541290850726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134.73344828496099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807.02970630362131</v>
      </c>
      <c r="H93" s="67">
        <f t="shared" si="56"/>
        <v>654.61628581808782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167.42995526007479</v>
      </c>
      <c r="T93" s="59">
        <f t="shared" si="88"/>
        <v>397.36718389105215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14.502018545638487</v>
      </c>
      <c r="AA93" s="21">
        <f>EXP(-LN(2)/25)*AA92+(1-EXP(-LN(2)/25))/(LN(2)/25)*Calculateur!V93*Calculateur!X93*VLOOKUP('Données projet'!$B$9,Paramètres!$A$1:$I$89,3,0)*0.475*44/12</f>
        <v>3.7069142367916612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18.208932782430146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127.55710992710948</v>
      </c>
      <c r="AO93" s="59">
        <f t="shared" si="90"/>
        <v>417.43085823929903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15.237332162037053</v>
      </c>
      <c r="AV93" s="21">
        <f>EXP(-LN(2)/25)*AV92+(1-EXP(-LN(2)/25))/(LN(2)/25)*Calculateur!AQ93*Calculateur!AS93*VLOOKUP('Données projet'!$B$10,Paramètres!$A$1:$I$89,3,0)*0.475*44/12</f>
        <v>3.8948704516148966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19.132202613651948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123.48243581061803</v>
      </c>
      <c r="BJ93" s="59">
        <f t="shared" si="92"/>
        <v>405.05940798527138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14.783840133405006</v>
      </c>
      <c r="BQ93" s="21">
        <f>EXP(-LN(2)/25)*BQ92+(1-EXP(-LN(2)/25))/(LN(2)/25)*Calculateur!BL93*Calculateur!BN93*VLOOKUP('Données projet'!$B$11,Paramètres!$A$1:$I$89,3,0)*0.475*44/12</f>
        <v>3.7789516881739753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18.56279182157898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156.72204844493132</v>
      </c>
      <c r="CE93" s="59">
        <f t="shared" si="94"/>
        <v>377.72061016381247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13.782753440708927</v>
      </c>
      <c r="CL93" s="21">
        <f>EXP(-LN(2)/25)*CL92+(1-EXP(-LN(2)/25))/(LN(2)/25)*Calculateur!CG93*Calculateur!CI93*VLOOKUP('Données projet'!$B$12,Paramètres!$A$1:$I$89,3,0)*0.475*44/12</f>
        <v>3.5230602409427356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17.305813681651664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88.170414732964616</v>
      </c>
      <c r="CZ93" s="59">
        <f t="shared" si="96"/>
        <v>281.30515544919626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10.26545467708282</v>
      </c>
      <c r="DG93" s="21">
        <f>EXP(-LN(2)/25)*DG92+(1-EXP(-LN(2)/25))/(LN(2)/25)*Calculateur!DB93*Calculateur!DD93*VLOOKUP('Données projet'!$B$13,Paramètres!$A$1:$I$89,3,0)*0.475*44/12</f>
        <v>2.6239905824049887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12.889445259487809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88.170414732964616</v>
      </c>
      <c r="DU93" s="59">
        <f t="shared" si="98"/>
        <v>281.30515544919626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10.26545467708282</v>
      </c>
      <c r="EB93" s="21">
        <f>EXP(-LN(2)/25)*EB92+(1-EXP(-LN(2)/25))/(LN(2)/25)*Calculateur!DW93*Calculateur!DY93*VLOOKUP('Données projet'!$B$14,Paramètres!$A$1:$I$89,3,0)*0.475*44/12</f>
        <v>2.6239905824049887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12.889445259487809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134.82481118297119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815.57084084276539</v>
      </c>
      <c r="H94" s="67">
        <f t="shared" si="56"/>
        <v>656.54337929848225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167.42995526007479</v>
      </c>
      <c r="T94" s="59">
        <f t="shared" si="88"/>
        <v>397.36718389105215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14.217642807316423</v>
      </c>
      <c r="AA94" s="21">
        <f>EXP(-LN(2)/25)*AA93+(1-EXP(-LN(2)/25))/(LN(2)/25)*Calculateur!V94*Calculateur!X94*VLOOKUP('Données projet'!$B$9,Paramètres!$A$1:$I$89,3,0)*0.475*44/12</f>
        <v>3.6055484720484459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17.82319127936487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127.55710992710948</v>
      </c>
      <c r="AO94" s="59">
        <f t="shared" si="90"/>
        <v>417.43085823929903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14.938537372194434</v>
      </c>
      <c r="AV94" s="21">
        <f>EXP(-LN(2)/25)*AV93+(1-EXP(-LN(2)/25))/(LN(2)/25)*Calculateur!AQ94*Calculateur!AS94*VLOOKUP('Données projet'!$B$10,Paramètres!$A$1:$I$89,3,0)*0.475*44/12</f>
        <v>3.7883650142931522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18.726902386487588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123.48243581061803</v>
      </c>
      <c r="BJ94" s="59">
        <f t="shared" si="92"/>
        <v>405.05940798527138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14.493938045641036</v>
      </c>
      <c r="BQ94" s="21">
        <f>EXP(-LN(2)/25)*BQ93+(1-EXP(-LN(2)/25))/(LN(2)/25)*Calculateur!BL94*Calculateur!BN94*VLOOKUP('Données projet'!$B$11,Paramètres!$A$1:$I$89,3,0)*0.475*44/12</f>
        <v>3.6756160555344257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18.169554101175461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156.72204844493132</v>
      </c>
      <c r="CE94" s="59">
        <f t="shared" si="94"/>
        <v>377.72061016381247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13.512482052386137</v>
      </c>
      <c r="CL94" s="21">
        <f>EXP(-LN(2)/25)*CL93+(1-EXP(-LN(2)/25))/(LN(2)/25)*Calculateur!CG94*Calculateur!CI94*VLOOKUP('Données projet'!$B$12,Paramètres!$A$1:$I$89,3,0)*0.475*44/12</f>
        <v>3.4267219733844705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16.939204025770607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88.170414732964616</v>
      </c>
      <c r="CZ94" s="59">
        <f t="shared" si="96"/>
        <v>281.30515544919626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10.064155372174326</v>
      </c>
      <c r="DG94" s="21">
        <f>EXP(-LN(2)/25)*DG93+(1-EXP(-LN(2)/25))/(LN(2)/25)*Calculateur!DB94*Calculateur!DD94*VLOOKUP('Données projet'!$B$13,Paramètres!$A$1:$I$89,3,0)*0.475*44/12</f>
        <v>2.5522374219394566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12.616392794113782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88.170414732964616</v>
      </c>
      <c r="DU94" s="59">
        <f t="shared" si="98"/>
        <v>281.30515544919626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10.064155372174326</v>
      </c>
      <c r="EB94" s="21">
        <f>EXP(-LN(2)/25)*EB93+(1-EXP(-LN(2)/25))/(LN(2)/25)*Calculateur!DW94*Calculateur!DY94*VLOOKUP('Données projet'!$B$14,Paramètres!$A$1:$I$89,3,0)*0.475*44/12</f>
        <v>2.5522374219394566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12.616392794113782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134.91458913895775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824.10983144990746</v>
      </c>
      <c r="H95" s="67">
        <f t="shared" si="56"/>
        <v>658.46998905421867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167.42995526007479</v>
      </c>
      <c r="T95" s="59">
        <f t="shared" si="88"/>
        <v>397.36718389105215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13.938843503770782</v>
      </c>
      <c r="AA95" s="21">
        <f>EXP(-LN(2)/25)*AA94+(1-EXP(-LN(2)/25))/(LN(2)/25)*Calculateur!V95*Calculateur!X95*VLOOKUP('Données projet'!$B$9,Paramètres!$A$1:$I$89,3,0)*0.475*44/12</f>
        <v>3.5069545594727276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17.445798063243508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127.55710992710948</v>
      </c>
      <c r="AO95" s="59">
        <f t="shared" si="90"/>
        <v>417.43085823929903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14.645601765933801</v>
      </c>
      <c r="AV95" s="21">
        <f>EXP(-LN(2)/25)*AV94+(1-EXP(-LN(2)/25))/(LN(2)/25)*Calculateur!AQ95*Calculateur!AS95*VLOOKUP('Données projet'!$B$10,Paramètres!$A$1:$I$89,3,0)*0.475*44/12</f>
        <v>3.6847719737558484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18.330373739689648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123.48243581061803</v>
      </c>
      <c r="BJ95" s="59">
        <f t="shared" si="92"/>
        <v>405.05940798527138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14.209720760995303</v>
      </c>
      <c r="BQ95" s="21">
        <f>EXP(-LN(2)/25)*BQ94+(1-EXP(-LN(2)/25))/(LN(2)/25)*Calculateur!BL95*Calculateur!BN95*VLOOKUP('Données projet'!$B$11,Paramètres!$A$1:$I$89,3,0)*0.475*44/12</f>
        <v>3.5751061412035892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17.784826902198894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156.72204844493132</v>
      </c>
      <c r="CE95" s="59">
        <f t="shared" si="94"/>
        <v>377.72061016381247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13.247510521139086</v>
      </c>
      <c r="CL95" s="21">
        <f>EXP(-LN(2)/25)*CL94+(1-EXP(-LN(2)/25))/(LN(2)/25)*Calculateur!CG95*Calculateur!CI95*VLOOKUP('Données projet'!$B$12,Paramètres!$A$1:$I$89,3,0)*0.475*44/12</f>
        <v>3.3330180808187952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16.58052860195788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88.170414732964616</v>
      </c>
      <c r="CZ95" s="59">
        <f t="shared" si="96"/>
        <v>281.30515544919626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9.8668034238546358</v>
      </c>
      <c r="DG95" s="21">
        <f>EXP(-LN(2)/25)*DG94+(1-EXP(-LN(2)/25))/(LN(2)/25)*Calculateur!DB95*Calculateur!DD95*VLOOKUP('Données projet'!$B$13,Paramètres!$A$1:$I$89,3,0)*0.475*44/12</f>
        <v>2.4824463554201892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12.349249779274825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88.170414732964616</v>
      </c>
      <c r="DU95" s="59">
        <f t="shared" si="98"/>
        <v>281.30515544919626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9.8668034238546358</v>
      </c>
      <c r="EB95" s="21">
        <f>EXP(-LN(2)/25)*EB94+(1-EXP(-LN(2)/25))/(LN(2)/25)*Calculateur!DW95*Calculateur!DY95*VLOOKUP('Données projet'!$B$14,Paramètres!$A$1:$I$89,3,0)*0.475*44/12</f>
        <v>2.4824463554201892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12.349249779274825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135.0028096481214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832.64670412577414</v>
      </c>
      <c r="H96" s="67">
        <f t="shared" si="56"/>
        <v>660.39612095171105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167.42995526007479</v>
      </c>
      <c r="T96" s="59">
        <f t="shared" si="88"/>
        <v>397.36718389105215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13.665511284516885</v>
      </c>
      <c r="AA96" s="21">
        <f>EXP(-LN(2)/25)*AA95+(1-EXP(-LN(2)/25))/(LN(2)/25)*Calculateur!V96*Calculateur!X96*VLOOKUP('Données projet'!$B$9,Paramètres!$A$1:$I$89,3,0)*0.475*44/12</f>
        <v>3.4110567026212206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17.076567987138105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127.55710992710948</v>
      </c>
      <c r="AO96" s="59">
        <f t="shared" si="90"/>
        <v>417.43085823929903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14.358410448238862</v>
      </c>
      <c r="AV96" s="21">
        <f>EXP(-LN(2)/25)*AV95+(1-EXP(-LN(2)/25))/(LN(2)/25)*Calculateur!AQ96*Calculateur!AS96*VLOOKUP('Données projet'!$B$10,Paramètres!$A$1:$I$89,3,0)*0.475*44/12</f>
        <v>3.5840116903597581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17.942422138598619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123.48243581061803</v>
      </c>
      <c r="BJ96" s="59">
        <f t="shared" si="92"/>
        <v>405.05940798527138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13.931076803946047</v>
      </c>
      <c r="BQ96" s="21">
        <f>EXP(-LN(2)/25)*BQ95+(1-EXP(-LN(2)/25))/(LN(2)/25)*Calculateur!BL96*Calculateur!BN96*VLOOKUP('Données projet'!$B$11,Paramètres!$A$1:$I$89,3,0)*0.475*44/12</f>
        <v>3.4773446757657163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17.408421479711762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156.72204844493132</v>
      </c>
      <c r="CE96" s="59">
        <f t="shared" si="94"/>
        <v>377.72061016381247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12.987734920003115</v>
      </c>
      <c r="CL96" s="21">
        <f>EXP(-LN(2)/25)*CL95+(1-EXP(-LN(2)/25))/(LN(2)/25)*Calculateur!CG96*Calculateur!CI96*VLOOKUP('Données projet'!$B$12,Paramètres!$A$1:$I$89,3,0)*0.475*44/12</f>
        <v>3.241876526123002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16.229611446126118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88.170414732964616</v>
      </c>
      <c r="CZ96" s="59">
        <f t="shared" si="96"/>
        <v>281.30515544919626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9.6733214268686911</v>
      </c>
      <c r="DG96" s="21">
        <f>EXP(-LN(2)/25)*DG95+(1-EXP(-LN(2)/25))/(LN(2)/25)*Calculateur!DB96*Calculateur!DD96*VLOOKUP('Données projet'!$B$13,Paramètres!$A$1:$I$89,3,0)*0.475*44/12</f>
        <v>2.4145637292850441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12.087885156153735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88.170414732964616</v>
      </c>
      <c r="DU96" s="59">
        <f t="shared" si="98"/>
        <v>281.30515544919626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9.6733214268686911</v>
      </c>
      <c r="EB96" s="21">
        <f>EXP(-LN(2)/25)*EB95+(1-EXP(-LN(2)/25))/(LN(2)/25)*Calculateur!DW96*Calculateur!DY96*VLOOKUP('Données projet'!$B$14,Paramètres!$A$1:$I$89,3,0)*0.475*44/12</f>
        <v>2.4145637292850441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12.087885156153735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135.08949972868254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841.18148427973028</v>
      </c>
      <c r="H97" s="67">
        <f t="shared" si="56"/>
        <v>662.32178072394754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167.42995526007479</v>
      </c>
      <c r="T97" s="59">
        <f t="shared" si="88"/>
        <v>397.36718389105215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13.397538943366365</v>
      </c>
      <c r="AA97" s="21">
        <f>EXP(-LN(2)/25)*AA96+(1-EXP(-LN(2)/25))/(LN(2)/25)*Calculateur!V97*Calculateur!X97*VLOOKUP('Données projet'!$B$9,Paramètres!$A$1:$I$89,3,0)*0.475*44/12</f>
        <v>3.3177811777083672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16.715320121074733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127.55710992710948</v>
      </c>
      <c r="AO97" s="59">
        <f t="shared" si="90"/>
        <v>417.43085823929903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14.076850777114513</v>
      </c>
      <c r="AV97" s="21">
        <f>EXP(-LN(2)/25)*AV96+(1-EXP(-LN(2)/25))/(LN(2)/25)*Calculateur!AQ97*Calculateur!AS97*VLOOKUP('Données projet'!$B$10,Paramètres!$A$1:$I$89,3,0)*0.475*44/12</f>
        <v>3.486006702211887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17.5628574793264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123.48243581061803</v>
      </c>
      <c r="BJ97" s="59">
        <f t="shared" si="92"/>
        <v>405.05940798527138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13.657896884938495</v>
      </c>
      <c r="BQ97" s="21">
        <f>EXP(-LN(2)/25)*BQ96+(1-EXP(-LN(2)/25))/(LN(2)/25)*Calculateur!BL97*Calculateur!BN97*VLOOKUP('Données projet'!$B$11,Paramètres!$A$1:$I$89,3,0)*0.475*44/12</f>
        <v>3.3822565027412939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17.040153387679787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156.72204844493132</v>
      </c>
      <c r="CE97" s="59">
        <f t="shared" si="94"/>
        <v>377.72061016381247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12.73305335995795</v>
      </c>
      <c r="CL97" s="21">
        <f>EXP(-LN(2)/25)*CL96+(1-EXP(-LN(2)/25))/(LN(2)/25)*Calculateur!CG97*Calculateur!CI97*VLOOKUP('Données projet'!$B$12,Paramètres!$A$1:$I$89,3,0)*0.475*44/12</f>
        <v>3.1532272420332914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15.886280601991242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88.170414732964616</v>
      </c>
      <c r="CZ97" s="59">
        <f t="shared" si="96"/>
        <v>281.30515544919626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9.4836334938312756</v>
      </c>
      <c r="DG97" s="21">
        <f>EXP(-LN(2)/25)*DG96+(1-EXP(-LN(2)/25))/(LN(2)/25)*Calculateur!DB97*Calculateur!DD97*VLOOKUP('Données projet'!$B$13,Paramètres!$A$1:$I$89,3,0)*0.475*44/12</f>
        <v>2.3485373571313568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11.832170850962633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88.170414732964616</v>
      </c>
      <c r="DU97" s="59">
        <f t="shared" si="98"/>
        <v>281.30515544919626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9.4836334938312756</v>
      </c>
      <c r="EB97" s="21">
        <f>EXP(-LN(2)/25)*EB96+(1-EXP(-LN(2)/25))/(LN(2)/25)*Calculateur!DW97*Calculateur!DY97*VLOOKUP('Données projet'!$B$14,Paramètres!$A$1:$I$89,3,0)*0.475*44/12</f>
        <v>2.3485373571313568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11.832170850962633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135.17468593015596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849.71419674937329</v>
      </c>
      <c r="H98" s="67">
        <f t="shared" si="56"/>
        <v>664.24697397491059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167.42995526007479</v>
      </c>
      <c r="T98" s="59">
        <f t="shared" si="88"/>
        <v>397.36718389105215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13.134821376378818</v>
      </c>
      <c r="AA98" s="21">
        <f>EXP(-LN(2)/25)*AA97+(1-EXP(-LN(2)/25))/(LN(2)/25)*Calculateur!V98*Calculateur!X98*VLOOKUP('Données projet'!$B$9,Paramètres!$A$1:$I$89,3,0)*0.475*44/12</f>
        <v>3.2270562769294027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16.36187765330822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127.55710992710948</v>
      </c>
      <c r="AO98" s="59">
        <f t="shared" si="90"/>
        <v>417.43085823929903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13.800812319406472</v>
      </c>
      <c r="AV98" s="21">
        <f>EXP(-LN(2)/25)*AV97+(1-EXP(-LN(2)/25))/(LN(2)/25)*Calculateur!AQ98*Calculateur!AS98*VLOOKUP('Données projet'!$B$10,Paramètres!$A$1:$I$89,3,0)*0.475*44/12</f>
        <v>3.3906816656187777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17.19149398502525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123.48243581061803</v>
      </c>
      <c r="BJ98" s="59">
        <f t="shared" si="92"/>
        <v>405.05940798527138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13.390073857519383</v>
      </c>
      <c r="BQ98" s="21">
        <f>EXP(-LN(2)/25)*BQ97+(1-EXP(-LN(2)/25))/(LN(2)/25)*Calculateur!BL98*Calculateur!BN98*VLOOKUP('Données projet'!$B$11,Paramètres!$A$1:$I$89,3,0)*0.475*44/12</f>
        <v>3.289768520808694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16.679842378328075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156.72204844493132</v>
      </c>
      <c r="CE98" s="59">
        <f t="shared" si="94"/>
        <v>377.72061016381247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12.483365949964856</v>
      </c>
      <c r="CL98" s="21">
        <f>EXP(-LN(2)/25)*CL97+(1-EXP(-LN(2)/25))/(LN(2)/25)*Calculateur!CG98*Calculateur!CI98*VLOOKUP('Données projet'!$B$12,Paramètres!$A$1:$I$89,3,0)*0.475*44/12</f>
        <v>3.0670020772788771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15.550368027243733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88.170414732964616</v>
      </c>
      <c r="CZ98" s="59">
        <f t="shared" si="96"/>
        <v>281.30515544919626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9.2976652254625094</v>
      </c>
      <c r="DG98" s="21">
        <f>EXP(-LN(2)/25)*DG97+(1-EXP(-LN(2)/25))/(LN(2)/25)*Calculateur!DB98*Calculateur!DD98*VLOOKUP('Données projet'!$B$13,Paramètres!$A$1:$I$89,3,0)*0.475*44/12</f>
        <v>2.2843164795963879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11.581981705058897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88.170414732964616</v>
      </c>
      <c r="DU98" s="59">
        <f t="shared" si="98"/>
        <v>281.30515544919626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9.2976652254625094</v>
      </c>
      <c r="EB98" s="21">
        <f>EXP(-LN(2)/25)*EB97+(1-EXP(-LN(2)/25))/(LN(2)/25)*Calculateur!DW98*Calculateur!DY98*VLOOKUP('Données projet'!$B$14,Paramètres!$A$1:$I$89,3,0)*0.475*44/12</f>
        <v>2.2843164795963879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11.581981705058897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135.25839434148162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858.24486581927954</v>
      </c>
      <c r="H99" s="67">
        <f t="shared" si="56"/>
        <v>666.17170618380828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167.42995526007479</v>
      </c>
      <c r="T99" s="59">
        <f t="shared" si="88"/>
        <v>397.36718389105215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12.877255540638004</v>
      </c>
      <c r="AA99" s="21">
        <f>EXP(-LN(2)/25)*AA98+(1-EXP(-LN(2)/25))/(LN(2)/25)*Calculateur!V99*Calculateur!X99*VLOOKUP('Données projet'!$B$9,Paramètres!$A$1:$I$89,3,0)*0.475*44/12</f>
        <v>3.1388122533332541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16.016067793971256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127.55710992710948</v>
      </c>
      <c r="AO99" s="59">
        <f t="shared" si="90"/>
        <v>417.43085823929903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13.530186807487251</v>
      </c>
      <c r="AV99" s="21">
        <f>EXP(-LN(2)/25)*AV98+(1-EXP(-LN(2)/25))/(LN(2)/25)*Calculateur!AQ99*Calculateur!AS99*VLOOKUP('Données projet'!$B$10,Paramètres!$A$1:$I$89,3,0)*0.475*44/12</f>
        <v>3.297963297164233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16.828150104651485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123.48243581061803</v>
      </c>
      <c r="BJ99" s="59">
        <f t="shared" si="92"/>
        <v>405.05940798527138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13.127502676312043</v>
      </c>
      <c r="BQ99" s="21">
        <f>EXP(-LN(2)/25)*BQ98+(1-EXP(-LN(2)/25))/(LN(2)/25)*Calculateur!BL99*Calculateur!BN99*VLOOKUP('Données projet'!$B$11,Paramètres!$A$1:$I$89,3,0)*0.475*44/12</f>
        <v>3.1998096276057728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16.327312303917815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156.72204844493132</v>
      </c>
      <c r="CE99" s="59">
        <f t="shared" si="94"/>
        <v>377.72061016381247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12.238574757787445</v>
      </c>
      <c r="CL99" s="21">
        <f>EXP(-LN(2)/25)*CL98+(1-EXP(-LN(2)/25))/(LN(2)/25)*Calculateur!CG99*Calculateur!CI99*VLOOKUP('Données projet'!$B$12,Paramètres!$A$1:$I$89,3,0)*0.475*44/12</f>
        <v>2.9831347441890568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15.221709501976502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88.170414732964616</v>
      </c>
      <c r="CZ99" s="59">
        <f t="shared" si="96"/>
        <v>281.30515544919626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9.1153436814070101</v>
      </c>
      <c r="DG99" s="21">
        <f>EXP(-LN(2)/25)*DG98+(1-EXP(-LN(2)/25))/(LN(2)/25)*Calculateur!DB99*Calculateur!DD99*VLOOKUP('Données projet'!$B$13,Paramètres!$A$1:$I$89,3,0)*0.475*44/12</f>
        <v>2.221851725334842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11.337195406741852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88.170414732964616</v>
      </c>
      <c r="DU99" s="59">
        <f t="shared" si="98"/>
        <v>281.30515544919626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9.1153436814070101</v>
      </c>
      <c r="EB99" s="21">
        <f>EXP(-LN(2)/25)*EB98+(1-EXP(-LN(2)/25))/(LN(2)/25)*Calculateur!DW99*Calculateur!DY99*VLOOKUP('Données projet'!$B$14,Paramètres!$A$1:$I$89,3,0)*0.475*44/12</f>
        <v>2.221851725334842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11.337195406741852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135.34065059901474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866.77351523894811</v>
      </c>
      <c r="H100" s="67">
        <f t="shared" si="56"/>
        <v>668.09598270912102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167.42995526007479</v>
      </c>
      <c r="T100" s="59">
        <f t="shared" si="88"/>
        <v>397.36718389105215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12.62474041383642</v>
      </c>
      <c r="AA100" s="21">
        <f>EXP(-LN(2)/25)*AA99+(1-EXP(-LN(2)/25))/(LN(2)/25)*Calculateur!V100*Calculateur!X100*VLOOKUP('Données projet'!$B$9,Paramètres!$A$1:$I$89,3,0)*0.475*44/12</f>
        <v>3.0529812672028935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15.677721681039314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127.55710992710948</v>
      </c>
      <c r="AO100" s="59">
        <f t="shared" si="90"/>
        <v>417.43085823929903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13.264868096791503</v>
      </c>
      <c r="AV100" s="21">
        <f>EXP(-LN(2)/25)*AV99+(1-EXP(-LN(2)/25))/(LN(2)/25)*Calculateur!AQ100*Calculateur!AS100*VLOOKUP('Données projet'!$B$10,Paramètres!$A$1:$I$89,3,0)*0.475*44/12</f>
        <v>3.2077803173709247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16.472648414162428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123.48243581061803</v>
      </c>
      <c r="BJ100" s="59">
        <f t="shared" si="92"/>
        <v>405.05940798527138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12.870080355815572</v>
      </c>
      <c r="BQ100" s="21">
        <f>EXP(-LN(2)/25)*BQ99+(1-EXP(-LN(2)/25))/(LN(2)/25)*Calculateur!BL100*Calculateur!BN100*VLOOKUP('Données projet'!$B$11,Paramètres!$A$1:$I$89,3,0)*0.475*44/12</f>
        <v>3.1123106650682177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15.98239102088379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156.72204844493132</v>
      </c>
      <c r="CE100" s="59">
        <f t="shared" si="94"/>
        <v>377.72061016381247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11.998583771580748</v>
      </c>
      <c r="CL100" s="21">
        <f>EXP(-LN(2)/25)*CL99+(1-EXP(-LN(2)/25))/(LN(2)/25)*Calculateur!CG100*Calculateur!CI100*VLOOKUP('Données projet'!$B$12,Paramètres!$A$1:$I$89,3,0)*0.475*44/12</f>
        <v>2.9015607677329687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14.900144539313716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88.170414732964616</v>
      </c>
      <c r="CZ100" s="59">
        <f t="shared" si="96"/>
        <v>281.30515544919626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8.936597351625279</v>
      </c>
      <c r="DG100" s="21">
        <f>EXP(-LN(2)/25)*DG99+(1-EXP(-LN(2)/25))/(LN(2)/25)*Calculateur!DB100*Calculateur!DD100*VLOOKUP('Données projet'!$B$13,Paramètres!$A$1:$I$89,3,0)*0.475*44/12</f>
        <v>2.1610950730634566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11.097692424688736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88.170414732964616</v>
      </c>
      <c r="DU100" s="59">
        <f t="shared" si="98"/>
        <v>281.30515544919626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8.936597351625279</v>
      </c>
      <c r="EB100" s="21">
        <f>EXP(-LN(2)/25)*EB99+(1-EXP(-LN(2)/25))/(LN(2)/25)*Calculateur!DW100*Calculateur!DY100*VLOOKUP('Données projet'!$B$14,Paramètres!$A$1:$I$89,3,0)*0.475*44/12</f>
        <v>2.1610950730634566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11.097692424688736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135.42147989437711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875.30016823998074</v>
      </c>
      <c r="H101" s="67">
        <f t="shared" si="56"/>
        <v>670.01980879247901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167.42995526007479</v>
      </c>
      <c r="T101" s="59">
        <f t="shared" si="88"/>
        <v>397.36718389105215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12.377176954652397</v>
      </c>
      <c r="AA101" s="21">
        <f>EXP(-LN(2)/25)*AA100+(1-EXP(-LN(2)/25))/(LN(2)/25)*Calculateur!V101*Calculateur!X101*VLOOKUP('Données projet'!$B$9,Paramètres!$A$1:$I$89,3,0)*0.475*44/12</f>
        <v>2.9694973339019231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15.34667428855432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127.55710992710948</v>
      </c>
      <c r="AO101" s="59">
        <f t="shared" si="90"/>
        <v>417.43085823929903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13.004752124184064</v>
      </c>
      <c r="AV101" s="21">
        <f>EXP(-LN(2)/25)*AV100+(1-EXP(-LN(2)/25))/(LN(2)/25)*Calculateur!AQ101*Calculateur!AS101*VLOOKUP('Données projet'!$B$10,Paramètres!$A$1:$I$89,3,0)*0.475*44/12</f>
        <v>3.1200633959025814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16.124815520086646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123.48243581061803</v>
      </c>
      <c r="BJ101" s="59">
        <f t="shared" si="92"/>
        <v>405.05940798527138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12.617705930011926</v>
      </c>
      <c r="BQ101" s="21">
        <f>EXP(-LN(2)/25)*BQ100+(1-EXP(-LN(2)/25))/(LN(2)/25)*Calculateur!BL101*Calculateur!BN101*VLOOKUP('Données projet'!$B$11,Paramètres!$A$1:$I$89,3,0)*0.475*44/12</f>
        <v>3.0272043662626227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15.644910296274549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156.72204844493132</v>
      </c>
      <c r="CE101" s="59">
        <f t="shared" si="94"/>
        <v>377.72061016381247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11.763298862233517</v>
      </c>
      <c r="CL101" s="21">
        <f>EXP(-LN(2)/25)*CL100+(1-EXP(-LN(2)/25))/(LN(2)/25)*Calculateur!CG101*Calculateur!CI101*VLOOKUP('Données projet'!$B$12,Paramètres!$A$1:$I$89,3,0)*0.475*44/12</f>
        <v>2.8222174359528616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14.585516298186379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88.170414732964616</v>
      </c>
      <c r="CZ101" s="59">
        <f t="shared" si="96"/>
        <v>281.30515544919626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8.7613561283460708</v>
      </c>
      <c r="DG101" s="21">
        <f>EXP(-LN(2)/25)*DG100+(1-EXP(-LN(2)/25))/(LN(2)/25)*Calculateur!DB101*Calculateur!DD101*VLOOKUP('Données projet'!$B$13,Paramètres!$A$1:$I$89,3,0)*0.475*44/12</f>
        <v>2.1019998146434857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10.863355942989557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88.170414732964616</v>
      </c>
      <c r="DU101" s="59">
        <f t="shared" si="98"/>
        <v>281.30515544919626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8.7613561283460708</v>
      </c>
      <c r="EB101" s="21">
        <f>EXP(-LN(2)/25)*EB100+(1-EXP(-LN(2)/25))/(LN(2)/25)*Calculateur!DW101*Calculateur!DY101*VLOOKUP('Données projet'!$B$14,Paramètres!$A$1:$I$89,3,0)*0.475*44/12</f>
        <v>2.1019998146434857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10.863355942989557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135.50090698217218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883.8248475525445</v>
      </c>
      <c r="H102" s="67">
        <f t="shared" si="56"/>
        <v>671.94318956237612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167.42995526007479</v>
      </c>
      <c r="T102" s="59">
        <f t="shared" si="88"/>
        <v>397.36718389105215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12.134468063904171</v>
      </c>
      <c r="AA102" s="21">
        <f>EXP(-LN(2)/25)*AA101+(1-EXP(-LN(2)/25))/(LN(2)/25)*Calculateur!V102*Calculateur!X102*VLOOKUP('Données projet'!$B$9,Paramètres!$A$1:$I$89,3,0)*0.475*44/12</f>
        <v>2.8882962731472972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15.022764337051468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127.55710992710948</v>
      </c>
      <c r="AO102" s="59">
        <f t="shared" si="90"/>
        <v>417.43085823929903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12.749736867144378</v>
      </c>
      <c r="AV102" s="21">
        <f>EXP(-LN(2)/25)*AV101+(1-EXP(-LN(2)/25))/(LN(2)/25)*Calculateur!AQ102*Calculateur!AS102*VLOOKUP('Données projet'!$B$10,Paramètres!$A$1:$I$89,3,0)*0.475*44/12</f>
        <v>3.0347450982646222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15.784481965409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123.48243581061803</v>
      </c>
      <c r="BJ102" s="59">
        <f t="shared" si="92"/>
        <v>405.05940798527138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12.370280412765089</v>
      </c>
      <c r="BQ102" s="21">
        <f>EXP(-LN(2)/25)*BQ101+(1-EXP(-LN(2)/25))/(LN(2)/25)*Calculateur!BL102*Calculateur!BN102*VLOOKUP('Données projet'!$B$11,Paramètres!$A$1:$I$89,3,0)*0.475*44/12</f>
        <v>2.9444253036734125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15.314705716438501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156.72204844493132</v>
      </c>
      <c r="CE102" s="59">
        <f t="shared" si="94"/>
        <v>377.72061016381247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11.532627746448961</v>
      </c>
      <c r="CL102" s="21">
        <f>EXP(-LN(2)/25)*CL101+(1-EXP(-LN(2)/25))/(LN(2)/25)*Calculateur!CG102*Calculateur!CI102*VLOOKUP('Données projet'!$B$12,Paramètres!$A$1:$I$89,3,0)*0.475*44/12</f>
        <v>2.7450437517527657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14.277671498201727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88.170414732964616</v>
      </c>
      <c r="CZ102" s="59">
        <f t="shared" si="96"/>
        <v>281.30515544919626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8.5895512785687771</v>
      </c>
      <c r="DG102" s="21">
        <f>EXP(-LN(2)/25)*DG101+(1-EXP(-LN(2)/25))/(LN(2)/25)*Calculateur!DB102*Calculateur!DD102*VLOOKUP('Données projet'!$B$13,Paramètres!$A$1:$I$89,3,0)*0.475*44/12</f>
        <v>2.0445205191726936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10.63407179774147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88.170414732964616</v>
      </c>
      <c r="DU102" s="59">
        <f t="shared" si="98"/>
        <v>281.30515544919626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8.5895512785687771</v>
      </c>
      <c r="EB102" s="21">
        <f>EXP(-LN(2)/25)*EB101+(1-EXP(-LN(2)/25))/(LN(2)/25)*Calculateur!DW102*Calculateur!DY102*VLOOKUP('Données projet'!$B$14,Paramètres!$A$1:$I$89,3,0)*0.475*44/12</f>
        <v>2.0445205191726936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10.63407179774147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135.5789561875664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892.34757542114619</v>
      </c>
      <c r="H103" s="67">
        <f t="shared" si="56"/>
        <v>673.86613003772936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167.42995526007479</v>
      </c>
      <c r="T103" s="59">
        <f t="shared" si="88"/>
        <v>397.36718389105215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11.896518546465712</v>
      </c>
      <c r="AA103" s="21">
        <f>EXP(-LN(2)/25)*AA102+(1-EXP(-LN(2)/25))/(LN(2)/25)*Calculateur!V103*Calculateur!X103*VLOOKUP('Données projet'!$B$9,Paramètres!$A$1:$I$89,3,0)*0.475*44/12</f>
        <v>2.8093156596691848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14.705834206134897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127.55710992710948</v>
      </c>
      <c r="AO103" s="59">
        <f t="shared" si="90"/>
        <v>417.43085823929903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12.499722303751293</v>
      </c>
      <c r="AV103" s="21">
        <f>EXP(-LN(2)/25)*AV102+(1-EXP(-LN(2)/25))/(LN(2)/25)*Calculateur!AQ103*Calculateur!AS103*VLOOKUP('Données projet'!$B$10,Paramètres!$A$1:$I$89,3,0)*0.475*44/12</f>
        <v>2.9517598339622673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15.45148213771356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123.48243581061803</v>
      </c>
      <c r="BJ103" s="59">
        <f t="shared" si="92"/>
        <v>405.05940798527138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12.127706758996798</v>
      </c>
      <c r="BQ103" s="21">
        <f>EXP(-LN(2)/25)*BQ102+(1-EXP(-LN(2)/25))/(LN(2)/25)*Calculateur!BL103*Calculateur!BN103*VLOOKUP('Données projet'!$B$11,Paramètres!$A$1:$I$89,3,0)*0.475*44/12</f>
        <v>2.863909838903866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14.991616597900663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156.72204844493132</v>
      </c>
      <c r="CE103" s="59">
        <f t="shared" si="94"/>
        <v>377.72061016381247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11.306479950549452</v>
      </c>
      <c r="CL103" s="21">
        <f>EXP(-LN(2)/25)*CL102+(1-EXP(-LN(2)/25))/(LN(2)/25)*Calculateur!CG103*Calculateur!CI103*VLOOKUP('Données projet'!$B$12,Paramètres!$A$1:$I$89,3,0)*0.475*44/12</f>
        <v>2.6699803860055091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13.976460336554961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88.170414732964616</v>
      </c>
      <c r="CZ103" s="59">
        <f t="shared" si="96"/>
        <v>281.30515544919626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8.4211154171050051</v>
      </c>
      <c r="DG103" s="21">
        <f>EXP(-LN(2)/25)*DG102+(1-EXP(-LN(2)/25))/(LN(2)/25)*Calculateur!DB103*Calculateur!DD103*VLOOKUP('Données projet'!$B$13,Paramètres!$A$1:$I$89,3,0)*0.475*44/12</f>
        <v>1.9886129980592551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10.40972841516426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88.170414732964616</v>
      </c>
      <c r="DU103" s="59">
        <f t="shared" si="98"/>
        <v>281.30515544919626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8.4211154171050051</v>
      </c>
      <c r="EB103" s="21">
        <f>EXP(-LN(2)/25)*EB102+(1-EXP(-LN(2)/25))/(LN(2)/25)*Calculateur!DW103*Calculateur!DY103*VLOOKUP('Données projet'!$B$14,Paramètres!$A$1:$I$89,3,0)*0.475*44/12</f>
        <v>1.9886129980592551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10.40972841516426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135.65565141373887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900.86837361976086</v>
      </c>
      <c r="H104" s="67">
        <f t="shared" si="56"/>
        <v>675.78863513129181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167.42995526007479</v>
      </c>
      <c r="T104" s="59">
        <f t="shared" si="88"/>
        <v>397.36718389105215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11.663235073929346</v>
      </c>
      <c r="AA104" s="21">
        <f>EXP(-LN(2)/25)*AA103+(1-EXP(-LN(2)/25))/(LN(2)/25)*Calculateur!V104*Calculateur!X104*VLOOKUP('Données projet'!$B$9,Paramètres!$A$1:$I$89,3,0)*0.475*44/12</f>
        <v>2.732494775220041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14.395729849149387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127.55710992710948</v>
      </c>
      <c r="AO104" s="59">
        <f t="shared" si="90"/>
        <v>417.43085823929903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12.25461037345252</v>
      </c>
      <c r="AV104" s="21">
        <f>EXP(-LN(2)/25)*AV103+(1-EXP(-LN(2)/25))/(LN(2)/25)*Calculateur!AQ104*Calculateur!AS104*VLOOKUP('Données projet'!$B$10,Paramètres!$A$1:$I$89,3,0)*0.475*44/12</f>
        <v>2.8710438060762655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15.125654179528786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123.48243581061803</v>
      </c>
      <c r="BJ104" s="59">
        <f t="shared" si="92"/>
        <v>405.05940798527138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11.889889826623584</v>
      </c>
      <c r="BQ104" s="21">
        <f>EXP(-LN(2)/25)*BQ103+(1-EXP(-LN(2)/25))/(LN(2)/25)*Calculateur!BL104*Calculateur!BN104*VLOOKUP('Données projet'!$B$11,Paramètres!$A$1:$I$89,3,0)*0.475*44/12</f>
        <v>2.7855960737525667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14.675485900376151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156.72204844493132</v>
      </c>
      <c r="CE104" s="59">
        <f t="shared" si="94"/>
        <v>377.72061016381247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11.084766774990996</v>
      </c>
      <c r="CL104" s="21">
        <f>EXP(-LN(2)/25)*CL103+(1-EXP(-LN(2)/25))/(LN(2)/25)*Calculateur!CG104*Calculateur!CI104*VLOOKUP('Données projet'!$B$12,Paramètres!$A$1:$I$89,3,0)*0.475*44/12</f>
        <v>2.5969696319420223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13.681736406933018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88.170414732964616</v>
      </c>
      <c r="CZ104" s="59">
        <f t="shared" si="96"/>
        <v>281.30515544919626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8.2559824801488055</v>
      </c>
      <c r="DG104" s="21">
        <f>EXP(-LN(2)/25)*DG103+(1-EXP(-LN(2)/25))/(LN(2)/25)*Calculateur!DB104*Calculateur!DD104*VLOOKUP('Données projet'!$B$13,Paramètres!$A$1:$I$89,3,0)*0.475*44/12</f>
        <v>1.9342342710507121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10.190216751199518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88.170414732964616</v>
      </c>
      <c r="DU104" s="59">
        <f t="shared" si="98"/>
        <v>281.30515544919626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8.2559824801488055</v>
      </c>
      <c r="EB104" s="21">
        <f>EXP(-LN(2)/25)*EB103+(1-EXP(-LN(2)/25))/(LN(2)/25)*Calculateur!DW104*Calculateur!DY104*VLOOKUP('Données projet'!$B$14,Paramètres!$A$1:$I$89,3,0)*0.475*44/12</f>
        <v>1.9342342710507121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10.190216751199518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135.73101614920211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909.38726346634246</v>
      </c>
      <c r="H105" s="67">
        <f t="shared" si="56"/>
        <v>677.71070965292688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167.42995526007479</v>
      </c>
      <c r="T105" s="59">
        <f t="shared" si="88"/>
        <v>397.36718389105215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11.43452614800055</v>
      </c>
      <c r="AA105" s="21">
        <f>EXP(-LN(2)/25)*AA104+(1-EXP(-LN(2)/25))/(LN(2)/25)*Calculateur!V105*Calculateur!X105*VLOOKUP('Données projet'!$B$9,Paramètres!$A$1:$I$89,3,0)*0.475*44/12</f>
        <v>2.657774561895994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14.092300709896545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127.55710992710948</v>
      </c>
      <c r="AO105" s="59">
        <f t="shared" si="90"/>
        <v>417.43085823929903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12.014304938603392</v>
      </c>
      <c r="AV105" s="21">
        <f>EXP(-LN(2)/25)*AV104+(1-EXP(-LN(2)/25))/(LN(2)/25)*Calculateur!AQ105*Calculateur!AS105*VLOOKUP('Données projet'!$B$10,Paramètres!$A$1:$I$89,3,0)*0.475*44/12</f>
        <v>2.792534962217478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14.806839900820869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123.48243581061803</v>
      </c>
      <c r="BJ105" s="59">
        <f t="shared" si="92"/>
        <v>405.05940798527138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11.656736339240203</v>
      </c>
      <c r="BQ105" s="21">
        <f>EXP(-LN(2)/25)*BQ104+(1-EXP(-LN(2)/25))/(LN(2)/25)*Calculateur!BL105*Calculateur!BN105*VLOOKUP('Données projet'!$B$11,Paramètres!$A$1:$I$89,3,0)*0.475*44/12</f>
        <v>2.7094238026276716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14.366160141867875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156.72204844493132</v>
      </c>
      <c r="CE105" s="59">
        <f t="shared" si="94"/>
        <v>377.72061016381247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10.867401259573558</v>
      </c>
      <c r="CL105" s="21">
        <f>EXP(-LN(2)/25)*CL104+(1-EXP(-LN(2)/25))/(LN(2)/25)*Calculateur!CG105*Calculateur!CI105*VLOOKUP('Données projet'!$B$12,Paramètres!$A$1:$I$89,3,0)*0.475*44/12</f>
        <v>2.5259553607878704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13.393356620361429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88.170414732964616</v>
      </c>
      <c r="CZ105" s="59">
        <f t="shared" si="96"/>
        <v>281.30515544919626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8.0940876993651703</v>
      </c>
      <c r="DG105" s="21">
        <f>EXP(-LN(2)/25)*DG104+(1-EXP(-LN(2)/25))/(LN(2)/25)*Calculateur!DB105*Calculateur!DD105*VLOOKUP('Données projet'!$B$13,Paramètres!$A$1:$I$89,3,0)*0.475*44/12</f>
        <v>1.8813425331918707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9.9754302325570414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88.170414732964616</v>
      </c>
      <c r="DU105" s="59">
        <f t="shared" si="98"/>
        <v>281.30515544919626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8.0940876993651703</v>
      </c>
      <c r="EB105" s="21">
        <f>EXP(-LN(2)/25)*EB104+(1-EXP(-LN(2)/25))/(LN(2)/25)*Calculateur!DW105*Calculateur!DY105*VLOOKUP('Données projet'!$B$14,Paramètres!$A$1:$I$89,3,0)*0.475*44/12</f>
        <v>1.8813425331918707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9.9754302325570414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135.80507347499537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917.90426583674957</v>
      </c>
      <c r="H106" s="67">
        <f t="shared" si="56"/>
        <v>679.63235831274994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167.42995526007479</v>
      </c>
      <c r="T106" s="59">
        <f t="shared" si="88"/>
        <v>397.36718389105215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11.210302064610548</v>
      </c>
      <c r="AA106" s="21">
        <f>EXP(-LN(2)/25)*AA105+(1-EXP(-LN(2)/25))/(LN(2)/25)*Calculateur!V106*Calculateur!X106*VLOOKUP('Données projet'!$B$9,Paramètres!$A$1:$I$89,3,0)*0.475*44/12</f>
        <v>2.5850975767346585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13.795399641345206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127.55710992710948</v>
      </c>
      <c r="AO106" s="59">
        <f t="shared" si="90"/>
        <v>417.43085823929903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11.778711746759811</v>
      </c>
      <c r="AV106" s="21">
        <f>EXP(-LN(2)/25)*AV105+(1-EXP(-LN(2)/25))/(LN(2)/25)*Calculateur!AQ106*Calculateur!AS106*VLOOKUP('Données projet'!$B$10,Paramètres!$A$1:$I$89,3,0)*0.475*44/12</f>
        <v>2.7161729468226099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14.494884693582421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123.48243581061803</v>
      </c>
      <c r="BJ106" s="59">
        <f t="shared" si="92"/>
        <v>405.05940798527138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11.428154849534824</v>
      </c>
      <c r="BQ106" s="21">
        <f>EXP(-LN(2)/25)*BQ105+(1-EXP(-LN(2)/25))/(LN(2)/25)*Calculateur!BL106*Calculateur!BN106*VLOOKUP('Données projet'!$B$11,Paramètres!$A$1:$I$89,3,0)*0.475*44/12</f>
        <v>2.6353344662624125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14.063489315797236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156.72204844493132</v>
      </c>
      <c r="CE106" s="59">
        <f t="shared" si="94"/>
        <v>377.72061016381247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10.654298149333583</v>
      </c>
      <c r="CL106" s="21">
        <f>EXP(-LN(2)/25)*CL105+(1-EXP(-LN(2)/25))/(LN(2)/25)*Calculateur!CG106*Calculateur!CI106*VLOOKUP('Données projet'!$B$12,Paramètres!$A$1:$I$89,3,0)*0.475*44/12</f>
        <v>2.4568829786129069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13.111181127946489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88.170414732964616</v>
      </c>
      <c r="CZ106" s="59">
        <f t="shared" si="96"/>
        <v>281.30515544919626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7.9353675764866365</v>
      </c>
      <c r="DG106" s="21">
        <f>EXP(-LN(2)/25)*DG105+(1-EXP(-LN(2)/25))/(LN(2)/25)*Calculateur!DB106*Calculateur!DD106*VLOOKUP('Données projet'!$B$13,Paramètres!$A$1:$I$89,3,0)*0.475*44/12</f>
        <v>1.8298971226862351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9.7652646991728709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88.170414732964616</v>
      </c>
      <c r="DU106" s="59">
        <f t="shared" si="98"/>
        <v>281.30515544919626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7.9353675764866365</v>
      </c>
      <c r="EB106" s="21">
        <f>EXP(-LN(2)/25)*EB105+(1-EXP(-LN(2)/25))/(LN(2)/25)*Calculateur!DW106*Calculateur!DY106*VLOOKUP('Données projet'!$B$14,Paramètres!$A$1:$I$89,3,0)*0.475*44/12</f>
        <v>1.8298971226862351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9.7652646991728709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135.87784607175348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926.41940117811441</v>
      </c>
      <c r="H107" s="67">
        <f t="shared" si="56"/>
        <v>681.55358572414536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167.42995526007479</v>
      </c>
      <c r="T107" s="59">
        <f t="shared" si="88"/>
        <v>397.36718389105215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10.990474878732638</v>
      </c>
      <c r="AA107" s="21">
        <f>EXP(-LN(2)/25)*AA106+(1-EXP(-LN(2)/25))/(LN(2)/25)*Calculateur!V107*Calculateur!X107*VLOOKUP('Données projet'!$B$9,Paramètres!$A$1:$I$89,3,0)*0.475*44/12</f>
        <v>2.5144079475544761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13.504882826287114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127.55710992710948</v>
      </c>
      <c r="AO107" s="59">
        <f t="shared" si="90"/>
        <v>417.43085823929903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11.547738393710626</v>
      </c>
      <c r="AV107" s="21">
        <f>EXP(-LN(2)/25)*AV106+(1-EXP(-LN(2)/25))/(LN(2)/25)*Calculateur!AQ107*Calculateur!AS107*VLOOKUP('Données projet'!$B$10,Paramètres!$A$1:$I$89,3,0)*0.475*44/12</f>
        <v>2.6418990547544183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14.189637448465044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123.48243581061803</v>
      </c>
      <c r="BJ107" s="59">
        <f t="shared" si="92"/>
        <v>405.05940798527138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11.204055703421625</v>
      </c>
      <c r="BQ107" s="21">
        <f>EXP(-LN(2)/25)*BQ106+(1-EXP(-LN(2)/25))/(LN(2)/25)*Calculateur!BL107*Calculateur!BN107*VLOOKUP('Données projet'!$B$11,Paramètres!$A$1:$I$89,3,0)*0.475*44/12</f>
        <v>2.5632711066962504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13.767326810117876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156.72204844493132</v>
      </c>
      <c r="CE107" s="59">
        <f t="shared" si="94"/>
        <v>377.72061016381247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10.445373861105351</v>
      </c>
      <c r="CL107" s="21">
        <f>EXP(-LN(2)/25)*CL106+(1-EXP(-LN(2)/25))/(LN(2)/25)*Calculateur!CG107*Calculateur!CI107*VLOOKUP('Données projet'!$B$12,Paramètres!$A$1:$I$89,3,0)*0.475*44/12</f>
        <v>2.3896993843608763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12.835073245466226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88.170414732964616</v>
      </c>
      <c r="CZ107" s="59">
        <f t="shared" si="96"/>
        <v>281.30515544919626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7.7797598584080356</v>
      </c>
      <c r="DG107" s="21">
        <f>EXP(-LN(2)/25)*DG106+(1-EXP(-LN(2)/25))/(LN(2)/25)*Calculateur!DB107*Calculateur!DD107*VLOOKUP('Données projet'!$B$13,Paramètres!$A$1:$I$89,3,0)*0.475*44/12</f>
        <v>1.7798584896362726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9.5596183480443084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88.170414732964616</v>
      </c>
      <c r="DU107" s="59">
        <f t="shared" si="98"/>
        <v>281.30515544919626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7.7797598584080356</v>
      </c>
      <c r="EB107" s="21">
        <f>EXP(-LN(2)/25)*EB106+(1-EXP(-LN(2)/25))/(LN(2)/25)*Calculateur!DW107*Calculateur!DY107*VLOOKUP('Données projet'!$B$14,Paramètres!$A$1:$I$89,3,0)*0.475*44/12</f>
        <v>1.7798584896362726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9.5596183480443084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135.94935622665298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934.9326895216841</v>
      </c>
      <c r="H108" s="67">
        <f t="shared" si="56"/>
        <v>683.47439640666335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167.42995526007479</v>
      </c>
      <c r="T108" s="59">
        <f t="shared" si="88"/>
        <v>397.36718389105215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10.774958369888449</v>
      </c>
      <c r="AA108" s="21">
        <f>EXP(-LN(2)/25)*AA107+(1-EXP(-LN(2)/25))/(LN(2)/25)*Calculateur!V108*Calculateur!X108*VLOOKUP('Données projet'!$B$9,Paramètres!$A$1:$I$89,3,0)*0.475*44/12</f>
        <v>2.4456513300016316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13.22060969989008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127.55710992710948</v>
      </c>
      <c r="AO108" s="59">
        <f t="shared" si="90"/>
        <v>417.43085823929903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11.321294287234901</v>
      </c>
      <c r="AV108" s="21">
        <f>EXP(-LN(2)/25)*AV107+(1-EXP(-LN(2)/25))/(LN(2)/25)*Calculateur!AQ108*Calculateur!AS108*VLOOKUP('Données projet'!$B$10,Paramètres!$A$1:$I$89,3,0)*0.475*44/12</f>
        <v>2.5696561861707257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13.890950473405626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123.48243581061803</v>
      </c>
      <c r="BJ108" s="59">
        <f t="shared" si="92"/>
        <v>405.05940798527138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10.984351004876725</v>
      </c>
      <c r="BQ108" s="21">
        <f>EXP(-LN(2)/25)*BQ107+(1-EXP(-LN(2)/25))/(LN(2)/25)*Calculateur!BL108*Calculateur!BN108*VLOOKUP('Données projet'!$B$11,Paramètres!$A$1:$I$89,3,0)*0.475*44/12</f>
        <v>2.4931783234870721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13.477529328363797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156.72204844493132</v>
      </c>
      <c r="CE108" s="59">
        <f t="shared" si="94"/>
        <v>377.72061016381247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10.240546450738041</v>
      </c>
      <c r="CL108" s="21">
        <f>EXP(-LN(2)/25)*CL107+(1-EXP(-LN(2)/25))/(LN(2)/25)*Calculateur!CG108*Calculateur!CI108*VLOOKUP('Données projet'!$B$12,Paramètres!$A$1:$I$89,3,0)*0.475*44/12</f>
        <v>2.3243529290266993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12.564899379764739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88.170414732964616</v>
      </c>
      <c r="CZ108" s="59">
        <f t="shared" si="96"/>
        <v>281.30515544919626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7.6272035127696194</v>
      </c>
      <c r="DG108" s="21">
        <f>EXP(-LN(2)/25)*DG107+(1-EXP(-LN(2)/25))/(LN(2)/25)*Calculateur!DB108*Calculateur!DD108*VLOOKUP('Données projet'!$B$13,Paramètres!$A$1:$I$89,3,0)*0.475*44/12</f>
        <v>1.7311881656384787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9.3583916784080987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88.170414732964616</v>
      </c>
      <c r="DU108" s="59">
        <f t="shared" si="98"/>
        <v>281.30515544919626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7.6272035127696194</v>
      </c>
      <c r="EB108" s="21">
        <f>EXP(-LN(2)/25)*EB107+(1-EXP(-LN(2)/25))/(LN(2)/25)*Calculateur!DW108*Calculateur!DY108*VLOOKUP('Données projet'!$B$14,Paramètres!$A$1:$I$89,3,0)*0.475*44/12</f>
        <v>1.7311881656384787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9.3583916784080987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136.01962584023775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943.44415049515771</v>
      </c>
      <c r="H109" s="67">
        <f t="shared" si="56"/>
        <v>685.39479478880332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167.42995526007479</v>
      </c>
      <c r="T109" s="59">
        <f t="shared" si="88"/>
        <v>397.36718389105215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10.563668008330604</v>
      </c>
      <c r="AA109" s="21">
        <f>EXP(-LN(2)/25)*AA108+(1-EXP(-LN(2)/25))/(LN(2)/25)*Calculateur!V109*Calculateur!X109*VLOOKUP('Données projet'!$B$9,Paramètres!$A$1:$I$89,3,0)*0.475*44/12</f>
        <v>2.3787748657715233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12.942442874102127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127.55710992710948</v>
      </c>
      <c r="AO109" s="59">
        <f t="shared" si="90"/>
        <v>417.43085823929903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11.099290611569897</v>
      </c>
      <c r="AV109" s="21">
        <f>EXP(-LN(2)/25)*AV108+(1-EXP(-LN(2)/25))/(LN(2)/25)*Calculateur!AQ109*Calculateur!AS109*VLOOKUP('Données projet'!$B$10,Paramètres!$A$1:$I$89,3,0)*0.475*44/12</f>
        <v>2.4993888026275415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13.598679414197438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123.48243581061803</v>
      </c>
      <c r="BJ109" s="59">
        <f t="shared" si="92"/>
        <v>405.05940798527138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10.768954581463657</v>
      </c>
      <c r="BQ109" s="21">
        <f>EXP(-LN(2)/25)*BQ108+(1-EXP(-LN(2)/25))/(LN(2)/25)*Calculateur!BL109*Calculateur!BN109*VLOOKUP('Données projet'!$B$11,Paramètres!$A$1:$I$89,3,0)*0.475*44/12</f>
        <v>2.4250022311207684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13.193956812584425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156.72204844493132</v>
      </c>
      <c r="CE109" s="59">
        <f t="shared" si="94"/>
        <v>377.72061016381247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10.03973558095565</v>
      </c>
      <c r="CL109" s="21">
        <f>EXP(-LN(2)/25)*CL108+(1-EXP(-LN(2)/25))/(LN(2)/25)*Calculateur!CG109*Calculateur!CI109*VLOOKUP('Données projet'!$B$12,Paramètres!$A$1:$I$89,3,0)*0.475*44/12</f>
        <v>2.260793375950056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12.300528956905707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88.170414732964616</v>
      </c>
      <c r="CZ109" s="59">
        <f t="shared" si="96"/>
        <v>281.30515544919626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7.4776387040189896</v>
      </c>
      <c r="DG109" s="21">
        <f>EXP(-LN(2)/25)*DG108+(1-EXP(-LN(2)/25))/(LN(2)/25)*Calculateur!DB109*Calculateur!DD109*VLOOKUP('Données projet'!$B$13,Paramètres!$A$1:$I$89,3,0)*0.475*44/12</f>
        <v>1.6838487342098656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9.1614874382288551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88.170414732964616</v>
      </c>
      <c r="DU109" s="59">
        <f t="shared" si="98"/>
        <v>281.30515544919626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7.4776387040189896</v>
      </c>
      <c r="EB109" s="21">
        <f>EXP(-LN(2)/25)*EB108+(1-EXP(-LN(2)/25))/(LN(2)/25)*Calculateur!DW109*Calculateur!DY109*VLOOKUP('Données projet'!$B$14,Paramètres!$A$1:$I$89,3,0)*0.475*44/12</f>
        <v>1.6838487342098656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9.1614874382288551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136.08867643312612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951.95380333454546</v>
      </c>
      <c r="H110" s="67">
        <f t="shared" si="56"/>
        <v>687.31478521069016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167.42995526007479</v>
      </c>
      <c r="T110" s="59">
        <f t="shared" si="88"/>
        <v>397.36718389105215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10.356520921888512</v>
      </c>
      <c r="AA110" s="21">
        <f>EXP(-LN(2)/25)*AA109+(1-EXP(-LN(2)/25))/(LN(2)/25)*Calculateur!V110*Calculateur!X110*VLOOKUP('Données projet'!$B$9,Paramètres!$A$1:$I$89,3,0)*0.475*44/12</f>
        <v>2.3137271419726675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12.67024806386118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127.55710992710948</v>
      </c>
      <c r="AO110" s="59">
        <f t="shared" si="90"/>
        <v>417.43085823929903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10.881640292575812</v>
      </c>
      <c r="AV110" s="21">
        <f>EXP(-LN(2)/25)*AV109+(1-EXP(-LN(2)/25))/(LN(2)/25)*Calculateur!AQ110*Calculateur!AS110*VLOOKUP('Données projet'!$B$10,Paramètres!$A$1:$I$89,3,0)*0.475*44/12</f>
        <v>2.4310428843825465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13.312683176958359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123.48243581061803</v>
      </c>
      <c r="BJ110" s="59">
        <f t="shared" si="92"/>
        <v>405.05940798527138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10.557781950534872</v>
      </c>
      <c r="BQ110" s="21">
        <f>EXP(-LN(2)/25)*BQ109+(1-EXP(-LN(2)/25))/(LN(2)/25)*Calculateur!BL110*Calculateur!BN110*VLOOKUP('Données projet'!$B$11,Paramètres!$A$1:$I$89,3,0)*0.475*44/12</f>
        <v>2.358690417585446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12.916472368120319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156.72204844493132</v>
      </c>
      <c r="CE110" s="59">
        <f t="shared" si="94"/>
        <v>377.72061016381247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9.8428624898471551</v>
      </c>
      <c r="CL110" s="21">
        <f>EXP(-LN(2)/25)*CL109+(1-EXP(-LN(2)/25))/(LN(2)/25)*Calculateur!CG110*Calculateur!CI110*VLOOKUP('Données projet'!$B$12,Paramètres!$A$1:$I$89,3,0)*0.475*44/12</f>
        <v>2.1989718621947452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12.041834352041899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88.170414732964616</v>
      </c>
      <c r="CZ110" s="59">
        <f t="shared" si="96"/>
        <v>281.30515544919626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7.3310067699424346</v>
      </c>
      <c r="DG110" s="21">
        <f>EXP(-LN(2)/25)*DG109+(1-EXP(-LN(2)/25))/(LN(2)/25)*Calculateur!DB110*Calculateur!DD110*VLOOKUP('Données projet'!$B$13,Paramètres!$A$1:$I$89,3,0)*0.475*44/12</f>
        <v>1.6378038020231405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8.9688105719655749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88.170414732964616</v>
      </c>
      <c r="DU110" s="59">
        <f t="shared" si="98"/>
        <v>281.30515544919626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7.3310067699424346</v>
      </c>
      <c r="EB110" s="21">
        <f>EXP(-LN(2)/25)*EB109+(1-EXP(-LN(2)/25))/(LN(2)/25)*Calculateur!DW110*Calculateur!DY110*VLOOKUP('Données projet'!$B$14,Paramètres!$A$1:$I$89,3,0)*0.475*44/12</f>
        <v>1.6378038020231405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8.9688105719655749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136.15652915260191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960.46166689556901</v>
      </c>
      <c r="H111" s="67">
        <f t="shared" si="56"/>
        <v>689.23437192664596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167.42995526007479</v>
      </c>
      <c r="T111" s="59">
        <f t="shared" si="88"/>
        <v>397.36718389105215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10.153435863464303</v>
      </c>
      <c r="AA111" s="21">
        <f>EXP(-LN(2)/25)*AA110+(1-EXP(-LN(2)/25))/(LN(2)/25)*Calculateur!V111*Calculateur!X111*VLOOKUP('Données projet'!$B$9,Paramètres!$A$1:$I$89,3,0)*0.475*44/12</f>
        <v>2.2504581516018027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12.403894015066106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127.55710992710948</v>
      </c>
      <c r="AO111" s="59">
        <f t="shared" si="90"/>
        <v>417.43085823929903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10.668257963583615</v>
      </c>
      <c r="AV111" s="21">
        <f>EXP(-LN(2)/25)*AV110+(1-EXP(-LN(2)/25))/(LN(2)/25)*Calculateur!AQ111*Calculateur!AS111*VLOOKUP('Données projet'!$B$10,Paramètres!$A$1:$I$89,3,0)*0.475*44/12</f>
        <v>2.3645658888661165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13.032823852449731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123.48243581061803</v>
      </c>
      <c r="BJ111" s="59">
        <f t="shared" si="92"/>
        <v>405.05940798527138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10.350750286096014</v>
      </c>
      <c r="BQ111" s="21">
        <f>EXP(-LN(2)/25)*BQ110+(1-EXP(-LN(2)/25))/(LN(2)/25)*Calculateur!BL111*Calculateur!BN111*VLOOKUP('Données projet'!$B$11,Paramètres!$A$1:$I$89,3,0)*0.475*44/12</f>
        <v>2.2941919040784335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12.644942190174447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156.72204844493132</v>
      </c>
      <c r="CE111" s="59">
        <f t="shared" si="94"/>
        <v>377.72061016381247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9.6498499599745688</v>
      </c>
      <c r="CL111" s="21">
        <f>EXP(-LN(2)/25)*CL110+(1-EXP(-LN(2)/25))/(LN(2)/25)*Calculateur!CG111*Calculateur!CI111*VLOOKUP('Données projet'!$B$12,Paramètres!$A$1:$I$89,3,0)*0.475*44/12</f>
        <v>2.1388408609841254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11.788690820958694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88.170414732964616</v>
      </c>
      <c r="CZ111" s="59">
        <f t="shared" si="96"/>
        <v>281.30515544919626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7.1872501986564723</v>
      </c>
      <c r="DG111" s="21">
        <f>EXP(-LN(2)/25)*DG110+(1-EXP(-LN(2)/25))/(LN(2)/25)*Calculateur!DB111*Calculateur!DD111*VLOOKUP('Données projet'!$B$13,Paramètres!$A$1:$I$89,3,0)*0.475*44/12</f>
        <v>1.5930179709284591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8.7802681695849323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88.170414732964616</v>
      </c>
      <c r="DU111" s="59">
        <f t="shared" si="98"/>
        <v>281.30515544919626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7.1872501986564723</v>
      </c>
      <c r="EB111" s="21">
        <f>EXP(-LN(2)/25)*EB110+(1-EXP(-LN(2)/25))/(LN(2)/25)*Calculateur!DW111*Calculateur!DY111*VLOOKUP('Données projet'!$B$14,Paramètres!$A$1:$I$89,3,0)*0.475*44/12</f>
        <v>1.5930179709284591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8.7802681695849323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136.22320477909074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968.96775966463247</v>
      </c>
      <c r="H112" s="67">
        <f t="shared" si="56"/>
        <v>691.15355910766607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167.42995526007479</v>
      </c>
      <c r="T112" s="59">
        <f t="shared" si="88"/>
        <v>397.36718389105215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9.954333179166138</v>
      </c>
      <c r="AA112" s="21">
        <f>EXP(-LN(2)/25)*AA111+(1-EXP(-LN(2)/25))/(LN(2)/25)*Calculateur!V112*Calculateur!X112*VLOOKUP('Données projet'!$B$9,Paramètres!$A$1:$I$89,3,0)*0.475*44/12</f>
        <v>2.1889192550998007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12.143252434265939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127.55710992710948</v>
      </c>
      <c r="AO112" s="59">
        <f t="shared" si="90"/>
        <v>417.43085823929903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10.459059931912586</v>
      </c>
      <c r="AV112" s="21">
        <f>EXP(-LN(2)/25)*AV111+(1-EXP(-LN(2)/25))/(LN(2)/25)*Calculateur!AQ112*Calculateur!AS112*VLOOKUP('Données projet'!$B$10,Paramètres!$A$1:$I$89,3,0)*0.475*44/12</f>
        <v>2.2999067102879569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12.758966642200543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123.48243581061803</v>
      </c>
      <c r="BJ112" s="59">
        <f t="shared" si="92"/>
        <v>405.05940798527138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10.147778386319956</v>
      </c>
      <c r="BQ112" s="21">
        <f>EXP(-LN(2)/25)*BQ111+(1-EXP(-LN(2)/25))/(LN(2)/25)*Calculateur!BL112*Calculateur!BN112*VLOOKUP('Données projet'!$B$11,Paramètres!$A$1:$I$89,3,0)*0.475*44/12</f>
        <v>2.2314571058151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12.379235492135056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156.72204844493132</v>
      </c>
      <c r="CE112" s="59">
        <f t="shared" si="94"/>
        <v>377.72061016381247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9.4606222880867659</v>
      </c>
      <c r="CL112" s="21">
        <f>EXP(-LN(2)/25)*CL111+(1-EXP(-LN(2)/25))/(LN(2)/25)*Calculateur!CG112*Calculateur!CI112*VLOOKUP('Données projet'!$B$12,Paramètres!$A$1:$I$89,3,0)*0.475*44/12</f>
        <v>2.0803541451637622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11.540976433250528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88.170414732964616</v>
      </c>
      <c r="CZ112" s="59">
        <f t="shared" si="96"/>
        <v>281.30515544919626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7.0463126060505772</v>
      </c>
      <c r="DG112" s="21">
        <f>EXP(-LN(2)/25)*DG111+(1-EXP(-LN(2)/25))/(LN(2)/25)*Calculateur!DB112*Calculateur!DD112*VLOOKUP('Données projet'!$B$13,Paramètres!$A$1:$I$89,3,0)*0.475*44/12</f>
        <v>1.5494568107402462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8.595769416790823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88.170414732964616</v>
      </c>
      <c r="DU112" s="59">
        <f t="shared" si="98"/>
        <v>281.30515544919626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7.0463126060505772</v>
      </c>
      <c r="EB112" s="21">
        <f>EXP(-LN(2)/25)*EB111+(1-EXP(-LN(2)/25))/(LN(2)/25)*Calculateur!DW112*Calculateur!DY112*VLOOKUP('Données projet'!$B$14,Paramètres!$A$1:$I$89,3,0)*0.475*44/12</f>
        <v>1.5494568107402462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8.595769416790823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136.28872373252435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977.47209976937427</v>
      </c>
      <c r="H113" s="67">
        <f t="shared" si="56"/>
        <v>693.0723508437984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167.42995526007479</v>
      </c>
      <c r="T113" s="59">
        <f t="shared" si="88"/>
        <v>397.36718389105215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9.7591347770664143</v>
      </c>
      <c r="AA113" s="21">
        <f>EXP(-LN(2)/25)*AA112+(1-EXP(-LN(2)/25))/(LN(2)/25)*Calculateur!V113*Calculateur!X113*VLOOKUP('Données projet'!$B$9,Paramètres!$A$1:$I$89,3,0)*0.475*44/12</f>
        <v>2.1290631429588358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11.888197920025251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127.55710992710948</v>
      </c>
      <c r="AO113" s="59">
        <f t="shared" si="90"/>
        <v>417.43085823929903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10.253964146044426</v>
      </c>
      <c r="AV113" s="21">
        <f>EXP(-LN(2)/25)*AV112+(1-EXP(-LN(2)/25))/(LN(2)/25)*Calculateur!AQ113*Calculateur!AS113*VLOOKUP('Données projet'!$B$10,Paramètres!$A$1:$I$89,3,0)*0.475*44/12</f>
        <v>2.2370156403482953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12.490979786392721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123.48243581061803</v>
      </c>
      <c r="BJ113" s="59">
        <f t="shared" si="92"/>
        <v>405.05940798527138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9.9487866416978719</v>
      </c>
      <c r="BQ113" s="21">
        <f>EXP(-LN(2)/25)*BQ112+(1-EXP(-LN(2)/25))/(LN(2)/25)*Calculateur!BL113*Calculateur!BN113*VLOOKUP('Données projet'!$B$11,Paramètres!$A$1:$I$89,3,0)*0.475*44/12</f>
        <v>2.1704377939093571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12.119224435607229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156.72204844493132</v>
      </c>
      <c r="CE113" s="59">
        <f t="shared" si="94"/>
        <v>377.72061016381247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9.2751052554271993</v>
      </c>
      <c r="CL113" s="21">
        <f>EXP(-LN(2)/25)*CL112+(1-EXP(-LN(2)/25))/(LN(2)/25)*Calculateur!CG113*Calculateur!CI113*VLOOKUP('Données projet'!$B$12,Paramètres!$A$1:$I$89,3,0)*0.475*44/12</f>
        <v>2.0234667516631895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11.298572007090389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88.170414732964616</v>
      </c>
      <c r="CZ113" s="59">
        <f t="shared" si="96"/>
        <v>281.30515544919626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6.9081387136722396</v>
      </c>
      <c r="DG113" s="21">
        <f>EXP(-LN(2)/25)*DG112+(1-EXP(-LN(2)/25))/(LN(2)/25)*Calculateur!DB113*Calculateur!DD113*VLOOKUP('Données projet'!$B$13,Paramètres!$A$1:$I$89,3,0)*0.475*44/12</f>
        <v>1.5070868327681619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8.4152255464404018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88.170414732964616</v>
      </c>
      <c r="DU113" s="59">
        <f t="shared" si="98"/>
        <v>281.30515544919626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6.9081387136722396</v>
      </c>
      <c r="EB113" s="21">
        <f>EXP(-LN(2)/25)*EB112+(1-EXP(-LN(2)/25))/(LN(2)/25)*Calculateur!DW113*Calculateur!DY113*VLOOKUP('Données projet'!$B$14,Paramètres!$A$1:$I$89,3,0)*0.475*44/12</f>
        <v>1.5070868327681619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8.4152255464404018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136.35310607859432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985.97470498882808</v>
      </c>
      <c r="H114" s="67">
        <f t="shared" si="56"/>
        <v>694.99075114643767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167.42995526007479</v>
      </c>
      <c r="T114" s="59">
        <f t="shared" si="88"/>
        <v>397.36718389105215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9.5677640965725974</v>
      </c>
      <c r="AA114" s="21">
        <f>EXP(-LN(2)/25)*AA113+(1-EXP(-LN(2)/25))/(LN(2)/25)*Calculateur!V114*Calculateur!X114*VLOOKUP('Données projet'!$B$9,Paramètres!$A$1:$I$89,3,0)*0.475*44/12</f>
        <v>2.0708437993520619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11.638607895924659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127.55710992710948</v>
      </c>
      <c r="AO114" s="59">
        <f t="shared" si="90"/>
        <v>417.43085823929903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10.052890163441063</v>
      </c>
      <c r="AV114" s="21">
        <f>EXP(-LN(2)/25)*AV113+(1-EXP(-LN(2)/25))/(LN(2)/25)*Calculateur!AQ114*Calculateur!AS114*VLOOKUP('Données projet'!$B$10,Paramètres!$A$1:$I$89,3,0)*0.475*44/12</f>
        <v>2.1758443300234314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12.228734493464493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123.48243581061803</v>
      </c>
      <c r="BJ114" s="59">
        <f t="shared" si="92"/>
        <v>405.05940798527138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9.7536970038148461</v>
      </c>
      <c r="BQ114" s="21">
        <f>EXP(-LN(2)/25)*BQ113+(1-EXP(-LN(2)/25))/(LN(2)/25)*Calculateur!BL114*Calculateur!BN114*VLOOKUP('Données projet'!$B$11,Paramètres!$A$1:$I$89,3,0)*0.475*44/12</f>
        <v>2.1110870582965426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11.864784062111388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156.72204844493132</v>
      </c>
      <c r="CE114" s="59">
        <f t="shared" si="94"/>
        <v>377.72061016381247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9.0932260986238695</v>
      </c>
      <c r="CL114" s="21">
        <f>EXP(-LN(2)/25)*CL113+(1-EXP(-LN(2)/25))/(LN(2)/25)*Calculateur!CG114*Calculateur!CI114*VLOOKUP('Données projet'!$B$12,Paramètres!$A$1:$I$89,3,0)*0.475*44/12</f>
        <v>1.9681349469294678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11.061361045553337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88.170414732964616</v>
      </c>
      <c r="CZ114" s="59">
        <f t="shared" si="96"/>
        <v>281.30515544919626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6.7726743270456886</v>
      </c>
      <c r="DG114" s="21">
        <f>EXP(-LN(2)/25)*DG113+(1-EXP(-LN(2)/25))/(LN(2)/25)*Calculateur!DB114*Calculateur!DD114*VLOOKUP('Données projet'!$B$13,Paramètres!$A$1:$I$89,3,0)*0.475*44/12</f>
        <v>1.4658754640718645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8.2385497911175527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88.170414732964616</v>
      </c>
      <c r="DU114" s="59">
        <f t="shared" si="98"/>
        <v>281.30515544919626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6.7726743270456886</v>
      </c>
      <c r="EB114" s="21">
        <f>EXP(-LN(2)/25)*EB113+(1-EXP(-LN(2)/25))/(LN(2)/25)*Calculateur!DW114*Calculateur!DY114*VLOOKUP('Données projet'!$B$14,Paramètres!$A$1:$I$89,3,0)*0.475*44/12</f>
        <v>1.4658754640718645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8.2385497911175527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136.41637153489734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994.47559276320351</v>
      </c>
      <c r="H115" s="67">
        <f t="shared" si="56"/>
        <v>696.90876395053112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167.42995526007479</v>
      </c>
      <c r="T115" s="59">
        <f t="shared" si="88"/>
        <v>397.36718389105215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9.3801460783986741</v>
      </c>
      <c r="AA115" s="21">
        <f>EXP(-LN(2)/25)*AA114+(1-EXP(-LN(2)/25))/(LN(2)/25)*Calculateur!V115*Calculateur!X115*VLOOKUP('Données projet'!$B$9,Paramètres!$A$1:$I$89,3,0)*0.475*44/12</f>
        <v>2.0142164667578375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11.394362545156511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127.55710992710948</v>
      </c>
      <c r="AO115" s="59">
        <f t="shared" si="90"/>
        <v>417.43085823929903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9.8557591189935323</v>
      </c>
      <c r="AV115" s="21">
        <f>EXP(-LN(2)/25)*AV114+(1-EXP(-LN(2)/25))/(LN(2)/25)*Calculateur!AQ115*Calculateur!AS115*VLOOKUP('Données projet'!$B$10,Paramètres!$A$1:$I$89,3,0)*0.475*44/12</f>
        <v>2.1163457523962603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11.972104871389792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123.48243581061803</v>
      </c>
      <c r="BJ115" s="59">
        <f t="shared" si="92"/>
        <v>405.05940798527138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9.562432954737778</v>
      </c>
      <c r="BQ115" s="21">
        <f>EXP(-LN(2)/25)*BQ114+(1-EXP(-LN(2)/25))/(LN(2)/25)*Calculateur!BL115*Calculateur!BN115*VLOOKUP('Données projet'!$B$11,Paramètres!$A$1:$I$89,3,0)*0.475*44/12</f>
        <v>2.0533592716701801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11.615792226407958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156.72204844493132</v>
      </c>
      <c r="CE115" s="59">
        <f t="shared" si="94"/>
        <v>377.72061016381247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8.9149134811501227</v>
      </c>
      <c r="CL115" s="21">
        <f>EXP(-LN(2)/25)*CL114+(1-EXP(-LN(2)/25))/(LN(2)/25)*Calculateur!CG115*Calculateur!CI115*VLOOKUP('Données projet'!$B$12,Paramètres!$A$1:$I$89,3,0)*0.475*44/12</f>
        <v>1.9143161933059629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10.829229674456085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88.170414732964616</v>
      </c>
      <c r="CZ115" s="59">
        <f t="shared" si="96"/>
        <v>281.30515544919626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6.6398663144157677</v>
      </c>
      <c r="DG115" s="21">
        <f>EXP(-LN(2)/25)*DG114+(1-EXP(-LN(2)/25))/(LN(2)/25)*Calculateur!DB115*Calculateur!DD115*VLOOKUP('Données projet'!$B$13,Paramètres!$A$1:$I$89,3,0)*0.475*44/12</f>
        <v>1.425791022419779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8.065657336835546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88.170414732964616</v>
      </c>
      <c r="DU115" s="59">
        <f t="shared" si="98"/>
        <v>281.30515544919626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6.6398663144157677</v>
      </c>
      <c r="EB115" s="21">
        <f>EXP(-LN(2)/25)*EB114+(1-EXP(-LN(2)/25))/(LN(2)/25)*Calculateur!DW115*Calculateur!DY115*VLOOKUP('Données projet'!$B$14,Paramètres!$A$1:$I$89,3,0)*0.475*44/12</f>
        <v>1.425791022419779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8.065657336835546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136.47853947697388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1002.9747802033121</v>
      </c>
      <c r="H116" s="67">
        <f t="shared" si="56"/>
        <v>698.82639311670562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167.42995526007479</v>
      </c>
      <c r="T116" s="59">
        <f t="shared" si="88"/>
        <v>397.36718389105215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9.1962071351254497</v>
      </c>
      <c r="AA116" s="21">
        <f>EXP(-LN(2)/25)*AA115+(1-EXP(-LN(2)/25))/(LN(2)/25)*Calculateur!V116*Calculateur!X116*VLOOKUP('Données projet'!$B$9,Paramètres!$A$1:$I$89,3,0)*0.475*44/12</f>
        <v>1.9591376115513039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11.155344746676754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127.55710992710948</v>
      </c>
      <c r="AO116" s="59">
        <f t="shared" si="90"/>
        <v>417.43085823929903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9.6624936940895534</v>
      </c>
      <c r="AV116" s="21">
        <f>EXP(-LN(2)/25)*AV115+(1-EXP(-LN(2)/25))/(LN(2)/25)*Calculateur!AQ116*Calculateur!AS116*VLOOKUP('Données projet'!$B$10,Paramètres!$A$1:$I$89,3,0)*0.475*44/12</f>
        <v>2.0584741665031983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11.720967860592751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123.48243581061803</v>
      </c>
      <c r="BJ116" s="59">
        <f t="shared" si="92"/>
        <v>405.05940798527138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9.3749194770035604</v>
      </c>
      <c r="BQ116" s="21">
        <f>EXP(-LN(2)/25)*BQ115+(1-EXP(-LN(2)/25))/(LN(2)/25)*Calculateur!BL116*Calculateur!BN116*VLOOKUP('Données projet'!$B$11,Paramètres!$A$1:$I$89,3,0)*0.475*44/12</f>
        <v>1.9972100544048879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11.372129531408449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156.72204844493132</v>
      </c>
      <c r="CE116" s="59">
        <f t="shared" si="94"/>
        <v>377.72061016381247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8.7400974653450785</v>
      </c>
      <c r="CL116" s="21">
        <f>EXP(-LN(2)/25)*CL115+(1-EXP(-LN(2)/25))/(LN(2)/25)*Calculateur!CG116*Calculateur!CI116*VLOOKUP('Données projet'!$B$12,Paramètres!$A$1:$I$89,3,0)*0.475*44/12</f>
        <v>1.8619691163304979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10.602066581675576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88.170414732964616</v>
      </c>
      <c r="CZ116" s="59">
        <f t="shared" si="96"/>
        <v>281.30515544919626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6.5096625859086297</v>
      </c>
      <c r="DG116" s="21">
        <f>EXP(-LN(2)/25)*DG115+(1-EXP(-LN(2)/25))/(LN(2)/25)*Calculateur!DB116*Calculateur!DD116*VLOOKUP('Données projet'!$B$13,Paramètres!$A$1:$I$89,3,0)*0.475*44/12</f>
        <v>1.3868026919326188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7.8964652778412487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88.170414732964616</v>
      </c>
      <c r="DU116" s="59">
        <f t="shared" si="98"/>
        <v>281.30515544919626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6.5096625859086297</v>
      </c>
      <c r="EB116" s="21">
        <f>EXP(-LN(2)/25)*EB115+(1-EXP(-LN(2)/25))/(LN(2)/25)*Calculateur!DW116*Calculateur!DY116*VLOOKUP('Données projet'!$B$14,Paramètres!$A$1:$I$89,3,0)*0.475*44/12</f>
        <v>1.3868026919326188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7.8964652778412487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136.53962894424208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1011.4722840996451</v>
      </c>
      <c r="H117" s="67">
        <f t="shared" si="56"/>
        <v>700.74364243331581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167.42995526007479</v>
      </c>
      <c r="T117" s="59">
        <f t="shared" si="88"/>
        <v>397.36718389105215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9.0158751223381355</v>
      </c>
      <c r="AA117" s="21">
        <f>EXP(-LN(2)/25)*AA116+(1-EXP(-LN(2)/25))/(LN(2)/25)*Calculateur!V117*Calculateur!X117*VLOOKUP('Données projet'!$B$9,Paramètres!$A$1:$I$89,3,0)*0.475*44/12</f>
        <v>1.9055648905368643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10.921440012874999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127.55710992710948</v>
      </c>
      <c r="AO117" s="59">
        <f t="shared" si="90"/>
        <v>417.43085823929903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9.4730180862876718</v>
      </c>
      <c r="AV117" s="21">
        <f>EXP(-LN(2)/25)*AV116+(1-EXP(-LN(2)/25))/(LN(2)/25)*Calculateur!AQ117*Calculateur!AS117*VLOOKUP('Données projet'!$B$10,Paramètres!$A$1:$I$89,3,0)*0.475*44/12</f>
        <v>2.0021850821697167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11.475203168457389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123.48243581061803</v>
      </c>
      <c r="BJ117" s="59">
        <f t="shared" si="92"/>
        <v>405.05940798527138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9.1910830241957822</v>
      </c>
      <c r="BQ117" s="21">
        <f>EXP(-LN(2)/25)*BQ116+(1-EXP(-LN(2)/25))/(LN(2)/25)*Calculateur!BL117*Calculateur!BN117*VLOOKUP('Données projet'!$B$11,Paramètres!$A$1:$I$89,3,0)*0.475*44/12</f>
        <v>1.9425962404384742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11.133679264634257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156.72204844493132</v>
      </c>
      <c r="CE117" s="59">
        <f t="shared" si="94"/>
        <v>377.72061016381247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8.5687094849827297</v>
      </c>
      <c r="CL117" s="21">
        <f>EXP(-LN(2)/25)*CL116+(1-EXP(-LN(2)/25))/(LN(2)/25)*Calculateur!CG117*Calculateur!CI117*VLOOKUP('Données projet'!$B$12,Paramètres!$A$1:$I$89,3,0)*0.475*44/12</f>
        <v>1.8110534729277401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10.37976295791047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88.170414732964616</v>
      </c>
      <c r="CZ117" s="59">
        <f t="shared" si="96"/>
        <v>281.30515544919626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6.3820120731010848</v>
      </c>
      <c r="DG117" s="21">
        <f>EXP(-LN(2)/25)*DG116+(1-EXP(-LN(2)/25))/(LN(2)/25)*Calculateur!DB117*Calculateur!DD117*VLOOKUP('Données projet'!$B$13,Paramètres!$A$1:$I$89,3,0)*0.475*44/12</f>
        <v>1.3488804993929373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7.7308925724940218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88.170414732964616</v>
      </c>
      <c r="DU117" s="59">
        <f t="shared" si="98"/>
        <v>281.30515544919626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6.3820120731010848</v>
      </c>
      <c r="EB117" s="21">
        <f>EXP(-LN(2)/25)*EB116+(1-EXP(-LN(2)/25))/(LN(2)/25)*Calculateur!DW117*Calculateur!DY117*VLOOKUP('Données projet'!$B$14,Paramètres!$A$1:$I$89,3,0)*0.475*44/12</f>
        <v>1.3488804993929373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7.7308925724940218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136.59965864582875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1019.9681209311278</v>
      </c>
      <c r="H118" s="67">
        <f t="shared" si="56"/>
        <v>702.66051561841903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167.42995526007479</v>
      </c>
      <c r="T118" s="59">
        <f t="shared" si="88"/>
        <v>397.36718389105215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8.8390793103299146</v>
      </c>
      <c r="AA118" s="21">
        <f>EXP(-LN(2)/25)*AA117+(1-EXP(-LN(2)/25))/(LN(2)/25)*Calculateur!V118*Calculateur!X118*VLOOKUP('Données projet'!$B$9,Paramètres!$A$1:$I$89,3,0)*0.475*44/12</f>
        <v>1.8534571183958313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10.692536428725745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127.55710992710948</v>
      </c>
      <c r="AO118" s="59">
        <f t="shared" si="90"/>
        <v>417.43085823929903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9.2872579795860766</v>
      </c>
      <c r="AV118" s="21">
        <f>EXP(-LN(2)/25)*AV117+(1-EXP(-LN(2)/25))/(LN(2)/25)*Calculateur!AQ118*Calculateur!AS118*VLOOKUP('Données projet'!$B$10,Paramètres!$A$1:$I$89,3,0)*0.475*44/12</f>
        <v>1.9474352258074483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11.234693205393524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123.48243581061803</v>
      </c>
      <c r="BJ118" s="59">
        <f t="shared" si="92"/>
        <v>405.05940798527138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9.0108514920984</v>
      </c>
      <c r="BQ118" s="21">
        <f>EXP(-LN(2)/25)*BQ117+(1-EXP(-LN(2)/25))/(LN(2)/25)*Calculateur!BL118*Calculateur!BN118*VLOOKUP('Données projet'!$B$11,Paramètres!$A$1:$I$89,3,0)*0.475*44/12</f>
        <v>1.8894758440869877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10.900327336185388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156.72204844493132</v>
      </c>
      <c r="CE118" s="59">
        <f t="shared" si="94"/>
        <v>377.72061016381247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8.4006823183789407</v>
      </c>
      <c r="CL118" s="21">
        <f>EXP(-LN(2)/25)*CL117+(1-EXP(-LN(2)/25))/(LN(2)/25)*Calculateur!CG118*Calculateur!CI118*VLOOKUP('Données projet'!$B$12,Paramètres!$A$1:$I$89,3,0)*0.475*44/12</f>
        <v>1.761530120471368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10.162212438850309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88.170414732964616</v>
      </c>
      <c r="CZ118" s="59">
        <f t="shared" si="96"/>
        <v>281.30515544919626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6.2568647089905705</v>
      </c>
      <c r="DG118" s="21">
        <f>EXP(-LN(2)/25)*DG117+(1-EXP(-LN(2)/25))/(LN(2)/25)*Calculateur!DB118*Calculateur!DD118*VLOOKUP('Données projet'!$B$13,Paramètres!$A$1:$I$89,3,0)*0.475*44/12</f>
        <v>1.3119952912024948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7.568860000193065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88.170414732964616</v>
      </c>
      <c r="DU118" s="59">
        <f t="shared" si="98"/>
        <v>281.30515544919626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6.2568647089905705</v>
      </c>
      <c r="EB118" s="21">
        <f>EXP(-LN(2)/25)*EB117+(1-EXP(-LN(2)/25))/(LN(2)/25)*Calculateur!DW118*Calculateur!DY118*VLOOKUP('Données projet'!$B$14,Paramètres!$A$1:$I$89,3,0)*0.475*44/12</f>
        <v>1.3119952912024948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7.568860000193065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136.65864696629924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1028.4623068735568</v>
      </c>
      <c r="H119" s="67">
        <f t="shared" si="56"/>
        <v>704.57701632167959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167.42995526007479</v>
      </c>
      <c r="T119" s="59">
        <f t="shared" si="88"/>
        <v>397.36718389105215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8.6657503563603768</v>
      </c>
      <c r="AA119" s="21">
        <f>EXP(-LN(2)/25)*AA118+(1-EXP(-LN(2)/25))/(LN(2)/25)*Calculateur!V119*Calculateur!X119*VLOOKUP('Données projet'!$B$9,Paramètres!$A$1:$I$89,3,0)*0.475*44/12</f>
        <v>1.8027742360242236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10.4685245923846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127.55710992710948</v>
      </c>
      <c r="AO119" s="59">
        <f t="shared" si="90"/>
        <v>417.43085823929903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9.1051405152744209</v>
      </c>
      <c r="AV119" s="21">
        <f>EXP(-LN(2)/25)*AV118+(1-EXP(-LN(2)/25))/(LN(2)/25)*Calculateur!AQ119*Calculateur!AS119*VLOOKUP('Données projet'!$B$10,Paramètres!$A$1:$I$89,3,0)*0.475*44/12</f>
        <v>1.8941825071465761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10.999323022420997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123.48243581061803</v>
      </c>
      <c r="BJ119" s="59">
        <f t="shared" si="92"/>
        <v>405.05940798527138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8.8341541904150684</v>
      </c>
      <c r="BQ119" s="21">
        <f>EXP(-LN(2)/25)*BQ118+(1-EXP(-LN(2)/25))/(LN(2)/25)*Calculateur!BL119*Calculateur!BN119*VLOOKUP('Données projet'!$B$11,Paramètres!$A$1:$I$89,3,0)*0.475*44/12</f>
        <v>1.8378080277672129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10.671962218182282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156.72204844493132</v>
      </c>
      <c r="CE119" s="59">
        <f t="shared" si="94"/>
        <v>377.72061016381247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8.2359500620258004</v>
      </c>
      <c r="CL119" s="21">
        <f>EXP(-LN(2)/25)*CL118+(1-EXP(-LN(2)/25))/(LN(2)/25)*Calculateur!CG119*Calculateur!CI119*VLOOKUP('Données projet'!$B$12,Paramètres!$A$1:$I$89,3,0)*0.475*44/12</f>
        <v>1.7133609866922355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9.9493110487180356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88.170414732964616</v>
      </c>
      <c r="CZ119" s="59">
        <f t="shared" si="96"/>
        <v>281.30515544919626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6.1341714083579086</v>
      </c>
      <c r="DG119" s="21">
        <f>EXP(-LN(2)/25)*DG118+(1-EXP(-LN(2)/25))/(LN(2)/25)*Calculateur!DB119*Calculateur!DD119*VLOOKUP('Données projet'!$B$13,Paramètres!$A$1:$I$89,3,0)*0.475*44/12</f>
        <v>1.2761187109697287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7.4102901193276374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88.170414732964616</v>
      </c>
      <c r="DU119" s="59">
        <f t="shared" si="98"/>
        <v>281.30515544919626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6.1341714083579086</v>
      </c>
      <c r="EB119" s="21">
        <f>EXP(-LN(2)/25)*EB118+(1-EXP(-LN(2)/25))/(LN(2)/25)*Calculateur!DW119*Calculateur!DY119*VLOOKUP('Données projet'!$B$14,Paramètres!$A$1:$I$89,3,0)*0.475*44/12</f>
        <v>1.2761187109697287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7.4102901193276374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136.71661197128768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1036.9548578077427</v>
      </c>
      <c r="H120" s="67">
        <f t="shared" si="56"/>
        <v>706.49314812620537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167.42995526007479</v>
      </c>
      <c r="T120" s="59">
        <f t="shared" si="88"/>
        <v>397.36718389105215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8.495820277457959</v>
      </c>
      <c r="AA120" s="21">
        <f>EXP(-LN(2)/25)*AA119+(1-EXP(-LN(2)/25))/(LN(2)/25)*Calculateur!V120*Calculateur!X120*VLOOKUP('Données projet'!$B$9,Paramètres!$A$1:$I$89,3,0)*0.475*44/12</f>
        <v>1.7534772797363645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10.249297557194323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127.55710992710948</v>
      </c>
      <c r="AO120" s="59">
        <f t="shared" si="90"/>
        <v>417.43085823929903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8.9265942633572326</v>
      </c>
      <c r="AV120" s="21">
        <f>EXP(-LN(2)/25)*AV119+(1-EXP(-LN(2)/25))/(LN(2)/25)*Calculateur!AQ120*Calculateur!AS120*VLOOKUP('Données projet'!$B$10,Paramètres!$A$1:$I$89,3,0)*0.475*44/12</f>
        <v>1.8423859868779242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10.768980250235156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123.48243581061803</v>
      </c>
      <c r="BJ120" s="59">
        <f t="shared" si="92"/>
        <v>405.05940798527138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8.660921815043034</v>
      </c>
      <c r="BQ120" s="21">
        <f>EXP(-LN(2)/25)*BQ119+(1-EXP(-LN(2)/25))/(LN(2)/25)*Calculateur!BL120*Calculateur!BN120*VLOOKUP('Données projet'!$B$11,Paramètres!$A$1:$I$89,3,0)*0.475*44/12</f>
        <v>1.7875530706017946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10.448474885644828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156.72204844493132</v>
      </c>
      <c r="CE120" s="59">
        <f t="shared" si="94"/>
        <v>377.72061016381247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8.0744481047429897</v>
      </c>
      <c r="CL120" s="21">
        <f>EXP(-LN(2)/25)*CL119+(1-EXP(-LN(2)/25))/(LN(2)/25)*Calculateur!CG120*Calculateur!CI120*VLOOKUP('Données projet'!$B$12,Paramètres!$A$1:$I$89,3,0)*0.475*44/12</f>
        <v>1.6665090404093978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9.7409571451523878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88.170414732964616</v>
      </c>
      <c r="CZ120" s="59">
        <f t="shared" si="96"/>
        <v>281.30515544919626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6.0138840485151288</v>
      </c>
      <c r="DG120" s="21">
        <f>EXP(-LN(2)/25)*DG119+(1-EXP(-LN(2)/25))/(LN(2)/25)*Calculateur!DB120*Calculateur!DD120*VLOOKUP('Données projet'!$B$13,Paramètres!$A$1:$I$89,3,0)*0.475*44/12</f>
        <v>1.241223177710095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7.2551072262252241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88.170414732964616</v>
      </c>
      <c r="DU120" s="59">
        <f t="shared" si="98"/>
        <v>281.30515544919626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6.0138840485151288</v>
      </c>
      <c r="EB120" s="21">
        <f>EXP(-LN(2)/25)*EB119+(1-EXP(-LN(2)/25))/(LN(2)/25)*Calculateur!DW120*Calculateur!DY120*VLOOKUP('Données projet'!$B$14,Paramètres!$A$1:$I$89,3,0)*0.475*44/12</f>
        <v>1.241223177710095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7.2551072262252241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136.77357141302991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1045.4457893273618</v>
      </c>
      <c r="H121" s="67">
        <f t="shared" si="56"/>
        <v>708.40891455031931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167.42995526007479</v>
      </c>
      <c r="T121" s="59">
        <f t="shared" si="88"/>
        <v>397.36718389105215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8.329222423755704</v>
      </c>
      <c r="AA121" s="21">
        <f>EXP(-LN(2)/25)*AA120+(1-EXP(-LN(2)/25))/(LN(2)/25)*Calculateur!V121*Calculateur!X121*VLOOKUP('Données projet'!$B$9,Paramètres!$A$1:$I$89,3,0)*0.475*44/12</f>
        <v>1.705528351310611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10.034750775066314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127.55710992710948</v>
      </c>
      <c r="AO121" s="59">
        <f t="shared" si="90"/>
        <v>417.43085823929903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8.7515491945376791</v>
      </c>
      <c r="AV121" s="21">
        <f>EXP(-LN(2)/25)*AV120+(1-EXP(-LN(2)/25))/(LN(2)/25)*Calculateur!AQ121*Calculateur!AS121*VLOOKUP('Données projet'!$B$10,Paramètres!$A$1:$I$89,3,0)*0.475*44/12</f>
        <v>1.792005845179879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10.543555039717559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123.48243581061803</v>
      </c>
      <c r="BJ121" s="59">
        <f t="shared" si="92"/>
        <v>405.05940798527138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8.4910864208907295</v>
      </c>
      <c r="BQ121" s="21">
        <f>EXP(-LN(2)/25)*BQ120+(1-EXP(-LN(2)/25))/(LN(2)/25)*Calculateur!BL121*Calculateur!BN121*VLOOKUP('Données projet'!$B$11,Paramètres!$A$1:$I$89,3,0)*0.475*44/12</f>
        <v>1.7386723378828581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10.229758758773588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156.72204844493132</v>
      </c>
      <c r="CE121" s="59">
        <f t="shared" si="94"/>
        <v>377.72061016381247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7.9161131023360278</v>
      </c>
      <c r="CL121" s="21">
        <f>EXP(-LN(2)/25)*CL120+(1-EXP(-LN(2)/25))/(LN(2)/25)*Calculateur!CG121*Calculateur!CI121*VLOOKUP('Données projet'!$B$12,Paramètres!$A$1:$I$89,3,0)*0.475*44/12</f>
        <v>1.6209382630615012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9.5370513653975291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88.170414732964616</v>
      </c>
      <c r="CZ121" s="59">
        <f t="shared" si="96"/>
        <v>281.30515544919626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5.8959554504308214</v>
      </c>
      <c r="DG121" s="21">
        <f>EXP(-LN(2)/25)*DG120+(1-EXP(-LN(2)/25))/(LN(2)/25)*Calculateur!DB121*Calculateur!DD121*VLOOKUP('Données projet'!$B$13,Paramètres!$A$1:$I$89,3,0)*0.475*44/12</f>
        <v>1.2072818646425225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7.1032373150733434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88.170414732964616</v>
      </c>
      <c r="DU121" s="59">
        <f t="shared" si="98"/>
        <v>281.30515544919626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5.8959554504308214</v>
      </c>
      <c r="EB121" s="21">
        <f>EXP(-LN(2)/25)*EB120+(1-EXP(-LN(2)/25))/(LN(2)/25)*Calculateur!DW121*Calculateur!DY121*VLOOKUP('Données projet'!$B$14,Paramètres!$A$1:$I$89,3,0)*0.475*44/12</f>
        <v>1.2072818646425225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7.1032373150733434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136.82954273580012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1053.9351167465361</v>
      </c>
      <c r="H122" s="67">
        <f t="shared" si="56"/>
        <v>710.32431904927057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167.42995526007479</v>
      </c>
      <c r="T122" s="59">
        <f t="shared" si="88"/>
        <v>397.36718389105215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8.1658914523498929</v>
      </c>
      <c r="AA122" s="21">
        <f>EXP(-LN(2)/25)*AA121+(1-EXP(-LN(2)/25))/(LN(2)/25)*Calculateur!V122*Calculateur!X122*VLOOKUP('Données projet'!$B$9,Paramètres!$A$1:$I$89,3,0)*0.475*44/12</f>
        <v>1.6588905888541843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9.8247820412040774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127.55710992710948</v>
      </c>
      <c r="AO122" s="59">
        <f t="shared" si="90"/>
        <v>417.43085823929903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8.5799366527507281</v>
      </c>
      <c r="AV122" s="21">
        <f>EXP(-LN(2)/25)*AV121+(1-EXP(-LN(2)/25))/(LN(2)/25)*Calculateur!AQ122*Calculateur!AS122*VLOOKUP('Données projet'!$B$10,Paramètres!$A$1:$I$89,3,0)*0.475*44/12</f>
        <v>1.7430033511059435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10.322940003856672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123.48243581061803</v>
      </c>
      <c r="BJ122" s="59">
        <f t="shared" si="92"/>
        <v>405.05940798527138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8.3245813952283907</v>
      </c>
      <c r="BQ122" s="21">
        <f>EXP(-LN(2)/25)*BQ121+(1-EXP(-LN(2)/25))/(LN(2)/25)*Calculateur!BL122*Calculateur!BN122*VLOOKUP('Données projet'!$B$11,Paramètres!$A$1:$I$89,3,0)*0.475*44/12</f>
        <v>1.6911282513706469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10.015709646599039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156.72204844493132</v>
      </c>
      <c r="CE122" s="59">
        <f t="shared" si="94"/>
        <v>377.72061016381247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7.7608829527514507</v>
      </c>
      <c r="CL122" s="21">
        <f>EXP(-LN(2)/25)*CL121+(1-EXP(-LN(2)/25))/(LN(2)/25)*Calculateur!CG122*Calculateur!CI122*VLOOKUP('Données projet'!$B$12,Paramètres!$A$1:$I$89,3,0)*0.475*44/12</f>
        <v>1.5766136210166459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9.3374965737680959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88.170414732964616</v>
      </c>
      <c r="CZ122" s="59">
        <f t="shared" si="96"/>
        <v>281.30515544919626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5.7803393602256046</v>
      </c>
      <c r="DG122" s="21">
        <f>EXP(-LN(2)/25)*DG121+(1-EXP(-LN(2)/25))/(LN(2)/25)*Calculateur!DB122*Calculateur!DD122*VLOOKUP('Données projet'!$B$13,Paramètres!$A$1:$I$89,3,0)*0.475*44/12</f>
        <v>1.1742686785656788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6.9546080387912834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88.170414732964616</v>
      </c>
      <c r="DU122" s="59">
        <f t="shared" si="98"/>
        <v>281.30515544919626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5.7803393602256046</v>
      </c>
      <c r="EB122" s="21">
        <f>EXP(-LN(2)/25)*EB121+(1-EXP(-LN(2)/25))/(LN(2)/25)*Calculateur!DW122*Calculateur!DY122*VLOOKUP('Données projet'!$B$14,Paramètres!$A$1:$I$89,3,0)*0.475*44/12</f>
        <v>1.1742686785656788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6.9546080387912834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136.88454308125341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1062.4228551071519</v>
      </c>
      <c r="H123" s="67">
        <f t="shared" si="56"/>
        <v>712.23936501688445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167.42995526007479</v>
      </c>
      <c r="T123" s="59">
        <f t="shared" si="88"/>
        <v>397.36718389105215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8.0057633016712941</v>
      </c>
      <c r="AA123" s="21">
        <f>EXP(-LN(2)/25)*AA122+(1-EXP(-LN(2)/25))/(LN(2)/25)*Calculateur!V123*Calculateur!X123*VLOOKUP('Données projet'!$B$9,Paramètres!$A$1:$I$89,3,0)*0.475*44/12</f>
        <v>1.613528138464702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9.6192914401359957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127.55710992710948</v>
      </c>
      <c r="AO123" s="59">
        <f t="shared" si="90"/>
        <v>417.43085823929903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8.411689328234905</v>
      </c>
      <c r="AV123" s="21">
        <f>EXP(-LN(2)/25)*AV122+(1-EXP(-LN(2)/25))/(LN(2)/25)*Calculateur!AQ123*Calculateur!AS123*VLOOKUP('Données projet'!$B$10,Paramètres!$A$1:$I$89,3,0)*0.475*44/12</f>
        <v>1.6953408328093889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10.107030161044294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123.48243581061803</v>
      </c>
      <c r="BJ123" s="59">
        <f t="shared" si="92"/>
        <v>405.05940798527138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8.1613414315612527</v>
      </c>
      <c r="BQ123" s="21">
        <f>EXP(-LN(2)/25)*BQ122+(1-EXP(-LN(2)/25))/(LN(2)/25)*Calculateur!BL123*Calculateur!BN123*VLOOKUP('Données projet'!$B$11,Paramètres!$A$1:$I$89,3,0)*0.475*44/12</f>
        <v>1.644884260404347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9.806225691965599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156.72204844493132</v>
      </c>
      <c r="CE123" s="59">
        <f t="shared" si="94"/>
        <v>377.72061016381247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7.6086967717191847</v>
      </c>
      <c r="CL123" s="21">
        <f>EXP(-LN(2)/25)*CL122+(1-EXP(-LN(2)/25))/(LN(2)/25)*Calculateur!CG123*Calculateur!CI123*VLOOKUP('Données projet'!$B$12,Paramètres!$A$1:$I$89,3,0)*0.475*44/12</f>
        <v>1.5335010386394388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9.1421978103586241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88.170414732964616</v>
      </c>
      <c r="CZ123" s="59">
        <f t="shared" si="96"/>
        <v>281.30515544919626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5.6669904310304604</v>
      </c>
      <c r="DG123" s="21">
        <f>EXP(-LN(2)/25)*DG122+(1-EXP(-LN(2)/25))/(LN(2)/25)*Calculateur!DB123*Calculateur!DD123*VLOOKUP('Données projet'!$B$13,Paramètres!$A$1:$I$89,3,0)*0.475*44/12</f>
        <v>1.1421582397981944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6.8091486708286553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88.170414732964616</v>
      </c>
      <c r="DU123" s="59">
        <f t="shared" si="98"/>
        <v>281.30515544919626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5.6669904310304604</v>
      </c>
      <c r="EB123" s="21">
        <f>EXP(-LN(2)/25)*EB122+(1-EXP(-LN(2)/25))/(LN(2)/25)*Calculateur!DW123*Calculateur!DY123*VLOOKUP('Données projet'!$B$14,Paramètres!$A$1:$I$89,3,0)*0.475*44/12</f>
        <v>1.1421582397981944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6.8091486708286553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136.93858929367545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1070.9090191859264</v>
      </c>
      <c r="H124" s="67">
        <f t="shared" si="56"/>
        <v>714.15405578715797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167.42995526007479</v>
      </c>
      <c r="T124" s="59">
        <f t="shared" si="88"/>
        <v>397.36718389105215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7.8487751663589744</v>
      </c>
      <c r="AA124" s="21">
        <f>EXP(-LN(2)/25)*AA123+(1-EXP(-LN(2)/25))/(LN(2)/25)*Calculateur!V124*Calculateur!X124*VLOOKUP('Données projet'!$B$9,Paramètres!$A$1:$I$89,3,0)*0.475*44/12</f>
        <v>1.5694061266666277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9.4181812930256026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127.55710992710948</v>
      </c>
      <c r="AO124" s="59">
        <f t="shared" si="90"/>
        <v>417.43085823929903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8.246741231132102</v>
      </c>
      <c r="AV124" s="21">
        <f>EXP(-LN(2)/25)*AV123+(1-EXP(-LN(2)/25))/(LN(2)/25)*Calculateur!AQ124*Calculateur!AS124*VLOOKUP('Données projet'!$B$10,Paramètres!$A$1:$I$89,3,0)*0.475*44/12</f>
        <v>1.6489816485821165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9.8957228797142189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123.48243581061803</v>
      </c>
      <c r="BJ124" s="59">
        <f t="shared" si="92"/>
        <v>405.05940798527138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8.0013025040150811</v>
      </c>
      <c r="BQ124" s="21">
        <f>EXP(-LN(2)/25)*BQ123+(1-EXP(-LN(2)/25))/(LN(2)/25)*Calculateur!BL124*Calculateur!BN124*VLOOKUP('Données projet'!$B$11,Paramètres!$A$1:$I$89,3,0)*0.475*44/12</f>
        <v>1.5999048138028864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9.601207317817968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156.72204844493132</v>
      </c>
      <c r="CE124" s="59">
        <f t="shared" si="94"/>
        <v>377.72061016381247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7.4594948688725564</v>
      </c>
      <c r="CL124" s="21">
        <f>EXP(-LN(2)/25)*CL123+(1-EXP(-LN(2)/25))/(LN(2)/25)*Calculateur!CG124*Calculateur!CI124*VLOOKUP('Données projet'!$B$12,Paramètres!$A$1:$I$89,3,0)*0.475*44/12</f>
        <v>1.4915673720945286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8.9510622409670848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88.170414732964616</v>
      </c>
      <c r="CZ124" s="59">
        <f t="shared" si="96"/>
        <v>281.30515544919626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5.5558642052008125</v>
      </c>
      <c r="DG124" s="21">
        <f>EXP(-LN(2)/25)*DG123+(1-EXP(-LN(2)/25))/(LN(2)/25)*Calculateur!DB124*Calculateur!DD124*VLOOKUP('Données projet'!$B$13,Paramètres!$A$1:$I$89,3,0)*0.475*44/12</f>
        <v>1.1109258626674214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6.6667900678682344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88.170414732964616</v>
      </c>
      <c r="DU124" s="59">
        <f t="shared" si="98"/>
        <v>281.30515544919626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5.5558642052008125</v>
      </c>
      <c r="EB124" s="21">
        <f>EXP(-LN(2)/25)*EB123+(1-EXP(-LN(2)/25))/(LN(2)/25)*Calculateur!DW124*Calculateur!DY124*VLOOKUP('Données projet'!$B$14,Paramètres!$A$1:$I$89,3,0)*0.475*44/12</f>
        <v>1.1109258626674214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6.6667900678682344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136.99169792514118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1079.3936235012343</v>
      </c>
      <c r="H125" s="67">
        <f t="shared" si="56"/>
        <v>716.06839463579934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167.42995526007479</v>
      </c>
      <c r="T125" s="59">
        <f t="shared" si="88"/>
        <v>397.36718389105215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7.6948654726268222</v>
      </c>
      <c r="AA125" s="21">
        <f>EXP(-LN(2)/25)*AA124+(1-EXP(-LN(2)/25))/(LN(2)/25)*Calculateur!V125*Calculateur!X125*VLOOKUP('Données projet'!$B$9,Paramètres!$A$1:$I$89,3,0)*0.475*44/12</f>
        <v>1.5264906336014474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9.221356106228269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127.55710992710948</v>
      </c>
      <c r="AO125" s="59">
        <f t="shared" si="90"/>
        <v>417.43085823929903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8.0850276656050806</v>
      </c>
      <c r="AV125" s="21">
        <f>EXP(-LN(2)/25)*AV124+(1-EXP(-LN(2)/25))/(LN(2)/25)*Calculateur!AQ125*Calculateur!AS125*VLOOKUP('Données projet'!$B$10,Paramètres!$A$1:$I$89,3,0)*0.475*44/12</f>
        <v>1.6038901586854624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9.6889178242905434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123.48243581061803</v>
      </c>
      <c r="BJ125" s="59">
        <f t="shared" si="92"/>
        <v>405.05940798527138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7.8444018422239816</v>
      </c>
      <c r="BQ125" s="21">
        <f>EXP(-LN(2)/25)*BQ124+(1-EXP(-LN(2)/25))/(LN(2)/25)*Calculateur!BL125*Calculateur!BN125*VLOOKUP('Données projet'!$B$11,Paramètres!$A$1:$I$89,3,0)*0.475*44/12</f>
        <v>1.5561553325341089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9.4005571747580898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156.72204844493132</v>
      </c>
      <c r="CE125" s="59">
        <f t="shared" si="94"/>
        <v>377.72061016381247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7.3132187243365756</v>
      </c>
      <c r="CL125" s="21">
        <f>EXP(-LN(2)/25)*CL124+(1-EXP(-LN(2)/25))/(LN(2)/25)*Calculateur!CG125*Calculateur!CI125*VLOOKUP('Données projet'!$B$12,Paramètres!$A$1:$I$89,3,0)*0.475*44/12</f>
        <v>1.4507803838664846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8.7639991082030608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88.170414732964616</v>
      </c>
      <c r="CZ125" s="59">
        <f t="shared" si="96"/>
        <v>281.30515544919626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5.4469170968793792</v>
      </c>
      <c r="DG125" s="21">
        <f>EXP(-LN(2)/25)*DG124+(1-EXP(-LN(2)/25))/(LN(2)/25)*Calculateur!DB125*Calculateur!DD125*VLOOKUP('Données projet'!$B$13,Paramètres!$A$1:$I$89,3,0)*0.475*44/12</f>
        <v>1.0805475365317287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6.5274646334111077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88.170414732964616</v>
      </c>
      <c r="DU125" s="59">
        <f t="shared" si="98"/>
        <v>281.30515544919626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5.4469170968793792</v>
      </c>
      <c r="EB125" s="21">
        <f>EXP(-LN(2)/25)*EB124+(1-EXP(-LN(2)/25))/(LN(2)/25)*Calculateur!DW125*Calculateur!DY125*VLOOKUP('Données projet'!$B$14,Paramètres!$A$1:$I$89,3,0)*0.475*44/12</f>
        <v>1.0805475365317287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6.5274646334111077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137.04388524058413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1087.8766823197029</v>
      </c>
      <c r="H126" s="67">
        <f t="shared" si="56"/>
        <v>717.98238478171629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167.42995526007479</v>
      </c>
      <c r="T126" s="59">
        <f t="shared" si="88"/>
        <v>397.36718389105215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7.5439738541131129</v>
      </c>
      <c r="AA126" s="21">
        <f>EXP(-LN(2)/25)*AA125+(1-EXP(-LN(2)/25))/(LN(2)/25)*Calculateur!V126*Calculateur!X126*VLOOKUP('Données projet'!$B$9,Paramètres!$A$1:$I$89,3,0)*0.475*44/12</f>
        <v>1.4847486669509622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9.0287225210640756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127.55710992710948</v>
      </c>
      <c r="AO126" s="59">
        <f t="shared" si="90"/>
        <v>417.43085823929903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7.9264852044625078</v>
      </c>
      <c r="AV126" s="21">
        <f>EXP(-LN(2)/25)*AV125+(1-EXP(-LN(2)/25))/(LN(2)/25)*Calculateur!AQ126*Calculateur!AS126*VLOOKUP('Données projet'!$B$10,Paramètres!$A$1:$I$89,3,0)*0.475*44/12</f>
        <v>1.5600316979512907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9.4865169024137987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123.48243581061803</v>
      </c>
      <c r="BJ126" s="59">
        <f t="shared" si="92"/>
        <v>405.05940798527138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7.6905779067106517</v>
      </c>
      <c r="BQ126" s="21">
        <f>EXP(-LN(2)/25)*BQ125+(1-EXP(-LN(2)/25))/(LN(2)/25)*Calculateur!BL126*Calculateur!BN126*VLOOKUP('Données projet'!$B$11,Paramètres!$A$1:$I$89,3,0)*0.475*44/12</f>
        <v>1.5136021831313113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9.2041800898419623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156.72204844493132</v>
      </c>
      <c r="CE126" s="59">
        <f t="shared" si="94"/>
        <v>377.72061016381247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7.1698109657753069</v>
      </c>
      <c r="CL126" s="21">
        <f>EXP(-LN(2)/25)*CL125+(1-EXP(-LN(2)/25))/(LN(2)/25)*Calculateur!CG126*Calculateur!CI126*VLOOKUP('Données projet'!$B$12,Paramètres!$A$1:$I$89,3,0)*0.475*44/12</f>
        <v>1.411108717976431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8.5809196837517376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88.170414732964616</v>
      </c>
      <c r="CZ126" s="59">
        <f t="shared" si="96"/>
        <v>281.30515544919626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5.3401063749009543</v>
      </c>
      <c r="DG126" s="21">
        <f>EXP(-LN(2)/25)*DG125+(1-EXP(-LN(2)/25))/(LN(2)/25)*Calculateur!DB126*Calculateur!DD126*VLOOKUP('Données projet'!$B$13,Paramètres!$A$1:$I$89,3,0)*0.475*44/12</f>
        <v>1.0509999073217433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6.3911062822226974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88.170414732964616</v>
      </c>
      <c r="DU126" s="59">
        <f t="shared" si="98"/>
        <v>281.30515544919626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5.3401063749009543</v>
      </c>
      <c r="EB126" s="21">
        <f>EXP(-LN(2)/25)*EB125+(1-EXP(-LN(2)/25))/(LN(2)/25)*Calculateur!DW126*Calculateur!DY126*VLOOKUP('Données projet'!$B$14,Paramètres!$A$1:$I$89,3,0)*0.475*44/12</f>
        <v>1.0509999073217433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6.3911062822226974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137.09516722277746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1096.3582096625905</v>
      </c>
      <c r="H127" s="67">
        <f t="shared" si="56"/>
        <v>719.89602938845542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167.42995526007479</v>
      </c>
      <c r="T127" s="59">
        <f t="shared" si="88"/>
        <v>397.36718389105215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7.3960411282036587</v>
      </c>
      <c r="AA127" s="21">
        <f>EXP(-LN(2)/25)*AA126+(1-EXP(-LN(2)/25))/(LN(2)/25)*Calculateur!V127*Calculateur!X127*VLOOKUP('Données projet'!$B$9,Paramètres!$A$1:$I$89,3,0)*0.475*44/12</f>
        <v>1.4441481365736493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8.8401892647773082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127.55710992710948</v>
      </c>
      <c r="AO127" s="59">
        <f t="shared" si="90"/>
        <v>417.43085823929903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7.7710516642815879</v>
      </c>
      <c r="AV127" s="21">
        <f>EXP(-LN(2)/25)*AV126+(1-EXP(-LN(2)/25))/(LN(2)/25)*Calculateur!AQ127*Calculateur!AS127*VLOOKUP('Données projet'!$B$10,Paramètres!$A$1:$I$89,3,0)*0.475*44/12</f>
        <v>1.5173725491323111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9.288424213413899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123.48243581061803</v>
      </c>
      <c r="BJ127" s="59">
        <f t="shared" si="92"/>
        <v>405.05940798527138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7.5397703647494021</v>
      </c>
      <c r="BQ127" s="21">
        <f>EXP(-LN(2)/25)*BQ126+(1-EXP(-LN(2)/25))/(LN(2)/25)*Calculateur!BL127*Calculateur!BN127*VLOOKUP('Données projet'!$B$11,Paramètres!$A$1:$I$89,3,0)*0.475*44/12</f>
        <v>1.4722126518367062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9.0119830165861075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156.72204844493132</v>
      </c>
      <c r="CE127" s="59">
        <f t="shared" si="94"/>
        <v>377.72061016381247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7.0292153458893294</v>
      </c>
      <c r="CL127" s="21">
        <f>EXP(-LN(2)/25)*CL126+(1-EXP(-LN(2)/25))/(LN(2)/25)*Calculateur!CG127*Calculateur!CI127*VLOOKUP('Données projet'!$B$12,Paramètres!$A$1:$I$89,3,0)*0.475*44/12</f>
        <v>1.3725218758763831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8.4017372217657122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88.170414732964616</v>
      </c>
      <c r="CZ127" s="59">
        <f t="shared" si="96"/>
        <v>281.30515544919626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5.2353901460324188</v>
      </c>
      <c r="DG127" s="21">
        <f>EXP(-LN(2)/25)*DG126+(1-EXP(-LN(2)/25))/(LN(2)/25)*Calculateur!DB127*Calculateur!DD127*VLOOKUP('Données projet'!$B$13,Paramètres!$A$1:$I$89,3,0)*0.475*44/12</f>
        <v>1.0222602595863473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6.2576504056187661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88.170414732964616</v>
      </c>
      <c r="DU127" s="59">
        <f t="shared" si="98"/>
        <v>281.30515544919626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5.2353901460324188</v>
      </c>
      <c r="EB127" s="21">
        <f>EXP(-LN(2)/25)*EB126+(1-EXP(-LN(2)/25))/(LN(2)/25)*Calculateur!DW127*Calculateur!DY127*VLOOKUP('Données projet'!$B$14,Paramètres!$A$1:$I$89,3,0)*0.475*44/12</f>
        <v>1.0222602595863473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6.2576504056187661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137.14555957722911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1104.8382193119471</v>
      </c>
      <c r="H128" s="67">
        <f t="shared" si="56"/>
        <v>721.80933156559138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167.42995526007479</v>
      </c>
      <c r="T128" s="59">
        <f t="shared" si="88"/>
        <v>397.36718389105215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7.2510092728192355</v>
      </c>
      <c r="AA128" s="21">
        <f>EXP(-LN(2)/25)*AA127+(1-EXP(-LN(2)/25))/(LN(2)/25)*Calculateur!V128*Calculateur!X128*VLOOKUP('Données projet'!$B$9,Paramètres!$A$1:$I$89,3,0)*0.475*44/12</f>
        <v>1.4046578298345929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8.6556671026538279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127.55710992710948</v>
      </c>
      <c r="AO128" s="59">
        <f t="shared" si="90"/>
        <v>417.43085823929903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7.6186660810185174</v>
      </c>
      <c r="AV128" s="21">
        <f>EXP(-LN(2)/25)*AV127+(1-EXP(-LN(2)/25))/(LN(2)/25)*Calculateur!AQ128*Calculateur!AS128*VLOOKUP('Données projet'!$B$10,Paramètres!$A$1:$I$89,3,0)*0.475*44/12</f>
        <v>1.4758799169811336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9.094545997999651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123.48243581061803</v>
      </c>
      <c r="BJ128" s="59">
        <f t="shared" si="92"/>
        <v>405.05940798527138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7.391920066702494</v>
      </c>
      <c r="BQ128" s="21">
        <f>EXP(-LN(2)/25)*BQ127+(1-EXP(-LN(2)/25))/(LN(2)/25)*Calculateur!BL128*Calculateur!BN128*VLOOKUP('Données projet'!$B$11,Paramètres!$A$1:$I$89,3,0)*0.475*44/12</f>
        <v>1.431954919451933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8.8238749861544274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156.72204844493132</v>
      </c>
      <c r="CE128" s="59">
        <f t="shared" si="94"/>
        <v>377.72061016381247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6.8913767203544554</v>
      </c>
      <c r="CL128" s="21">
        <f>EXP(-LN(2)/25)*CL127+(1-EXP(-LN(2)/25))/(LN(2)/25)*Calculateur!CG128*Calculateur!CI128*VLOOKUP('Données projet'!$B$12,Paramètres!$A$1:$I$89,3,0)*0.475*44/12</f>
        <v>1.3349901930027548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8.2263669133572108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88.170414732964616</v>
      </c>
      <c r="CZ128" s="59">
        <f t="shared" si="96"/>
        <v>281.30515544919626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5.132727338541403</v>
      </c>
      <c r="DG128" s="21">
        <f>EXP(-LN(2)/25)*DG127+(1-EXP(-LN(2)/25))/(LN(2)/25)*Calculateur!DB128*Calculateur!DD128*VLOOKUP('Données projet'!$B$13,Paramètres!$A$1:$I$89,3,0)*0.475*44/12</f>
        <v>0.99430649902962798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6.1270338375710311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88.170414732964616</v>
      </c>
      <c r="DU128" s="59">
        <f t="shared" si="98"/>
        <v>281.30515544919626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5.132727338541403</v>
      </c>
      <c r="EB128" s="21">
        <f>EXP(-LN(2)/25)*EB127+(1-EXP(-LN(2)/25))/(LN(2)/25)*Calculateur!DW128*Calculateur!DY128*VLOOKUP('Données projet'!$B$14,Paramètres!$A$1:$I$89,3,0)*0.475*44/12</f>
        <v>0.99430649902962798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6.1270338375710311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137.19507773699141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1113.3167248165789</v>
      </c>
      <c r="H129" s="67">
        <f t="shared" si="56"/>
        <v>723.722294370074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167.42995526007479</v>
      </c>
      <c r="T129" s="59">
        <f t="shared" si="88"/>
        <v>397.36718389105215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7.1088214036582036</v>
      </c>
      <c r="AA129" s="21">
        <f>EXP(-LN(2)/25)*AA128+(1-EXP(-LN(2)/25))/(LN(2)/25)*Calculateur!V129*Calculateur!X129*VLOOKUP('Données projet'!$B$9,Paramètres!$A$1:$I$89,3,0)*0.475*44/12</f>
        <v>1.366247387610021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8.4750687912682245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127.55710992710948</v>
      </c>
      <c r="AO129" s="59">
        <f t="shared" si="90"/>
        <v>417.43085823929903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7.469268686097208</v>
      </c>
      <c r="AV129" s="21">
        <f>EXP(-LN(2)/25)*AV128+(1-EXP(-LN(2)/25))/(LN(2)/25)*Calculateur!AQ129*Calculateur!AS129*VLOOKUP('Données projet'!$B$10,Paramètres!$A$1:$I$89,3,0)*0.475*44/12</f>
        <v>1.4355219030381328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8.9047905891353416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123.48243581061803</v>
      </c>
      <c r="BJ129" s="59">
        <f t="shared" si="92"/>
        <v>405.05940798527138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7.246969022820509</v>
      </c>
      <c r="BQ129" s="21">
        <f>EXP(-LN(2)/25)*BQ128+(1-EXP(-LN(2)/25))/(LN(2)/25)*Calculateur!BL129*Calculateur!BN129*VLOOKUP('Données projet'!$B$11,Paramètres!$A$1:$I$89,3,0)*0.475*44/12</f>
        <v>1.3927980368762833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8.6397670596967924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156.72204844493132</v>
      </c>
      <c r="CE129" s="59">
        <f t="shared" si="94"/>
        <v>377.72061016381247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6.7562410261930603</v>
      </c>
      <c r="CL129" s="21">
        <f>EXP(-LN(2)/25)*CL128+(1-EXP(-LN(2)/25))/(LN(2)/25)*Calculateur!CG129*Calculateur!CI129*VLOOKUP('Données projet'!$B$12,Paramètres!$A$1:$I$89,3,0)*0.475*44/12</f>
        <v>1.2984848159710114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8.0547258421640713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88.170414732964616</v>
      </c>
      <c r="CZ129" s="59">
        <f t="shared" si="96"/>
        <v>281.30515544919626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5.0320776860871561</v>
      </c>
      <c r="DG129" s="21">
        <f>EXP(-LN(2)/25)*DG128+(1-EXP(-LN(2)/25))/(LN(2)/25)*Calculateur!DB129*Calculateur!DD129*VLOOKUP('Données projet'!$B$13,Paramètres!$A$1:$I$89,3,0)*0.475*44/12</f>
        <v>0.9671171355253565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5.9991948216125124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88.170414732964616</v>
      </c>
      <c r="DU129" s="59">
        <f t="shared" si="98"/>
        <v>281.30515544919626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5.0320776860871561</v>
      </c>
      <c r="EB129" s="21">
        <f>EXP(-LN(2)/25)*EB128+(1-EXP(-LN(2)/25))/(LN(2)/25)*Calculateur!DW129*Calculateur!DY129*VLOOKUP('Données projet'!$B$14,Paramètres!$A$1:$I$89,3,0)*0.475*44/12</f>
        <v>0.9671171355253565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5.9991948216125124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137.24373686738787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1121.7937394978117</v>
      </c>
      <c r="H130" s="67">
        <f t="shared" si="56"/>
        <v>725.63492080752712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167.42995526007479</v>
      </c>
      <c r="T130" s="59">
        <f t="shared" si="88"/>
        <v>397.36718389105215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6.9694217518853829</v>
      </c>
      <c r="AA130" s="21">
        <f>EXP(-LN(2)/25)*AA129+(1-EXP(-LN(2)/25))/(LN(2)/25)*Calculateur!V130*Calculateur!X130*VLOOKUP('Données projet'!$B$9,Paramètres!$A$1:$I$89,3,0)*0.475*44/12</f>
        <v>1.3288872809479975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8.2983090328333802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127.55710992710948</v>
      </c>
      <c r="AO130" s="59">
        <f t="shared" si="90"/>
        <v>417.43085823929903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7.3228008829668916</v>
      </c>
      <c r="AV130" s="21">
        <f>EXP(-LN(2)/25)*AV129+(1-EXP(-LN(2)/25))/(LN(2)/25)*Calculateur!AQ130*Calculateur!AS130*VLOOKUP('Données projet'!$B$10,Paramètres!$A$1:$I$89,3,0)*0.475*44/12</f>
        <v>1.396267481108739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8.7190683640756301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123.48243581061803</v>
      </c>
      <c r="BJ130" s="59">
        <f t="shared" si="92"/>
        <v>405.05940798527138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7.1048603804976427</v>
      </c>
      <c r="BQ130" s="21">
        <f>EXP(-LN(2)/25)*BQ129+(1-EXP(-LN(2)/25))/(LN(2)/25)*Calculateur!BL130*Calculateur!BN130*VLOOKUP('Données projet'!$B$11,Paramètres!$A$1:$I$89,3,0)*0.475*44/12</f>
        <v>1.3547119013138358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8.4595722818114787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156.72204844493132</v>
      </c>
      <c r="CE130" s="59">
        <f t="shared" si="94"/>
        <v>377.72061016381247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6.6237552605695349</v>
      </c>
      <c r="CL130" s="21">
        <f>EXP(-LN(2)/25)*CL129+(1-EXP(-LN(2)/25))/(LN(2)/25)*Calculateur!CG130*Calculateur!CI130*VLOOKUP('Données projet'!$B$12,Paramètres!$A$1:$I$89,3,0)*0.475*44/12</f>
        <v>1.2629776803939354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7.8867329409634701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88.170414732964616</v>
      </c>
      <c r="CZ130" s="59">
        <f t="shared" si="96"/>
        <v>281.30515544919626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4.9334017119273108</v>
      </c>
      <c r="DG130" s="21">
        <f>EXP(-LN(2)/25)*DG129+(1-EXP(-LN(2)/25))/(LN(2)/25)*Calculateur!DB130*Calculateur!DD130*VLOOKUP('Données projet'!$B$13,Paramètres!$A$1:$I$89,3,0)*0.475*44/12</f>
        <v>0.94067126659593581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5.8740729785232464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88.170414732964616</v>
      </c>
      <c r="DU130" s="59">
        <f t="shared" si="98"/>
        <v>281.30515544919626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4.9334017119273108</v>
      </c>
      <c r="EB130" s="21">
        <f>EXP(-LN(2)/25)*EB129+(1-EXP(-LN(2)/25))/(LN(2)/25)*Calculateur!DW130*Calculateur!DY130*VLOOKUP('Données projet'!$B$14,Paramètres!$A$1:$I$89,3,0)*0.475*44/12</f>
        <v>0.94067126659593581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5.8740729785232464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137.29155187065749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1130.2692764550729</v>
      </c>
      <c r="H131" s="67">
        <f t="shared" si="56"/>
        <v>727.5472138335092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167.42995526007479</v>
      </c>
      <c r="T131" s="59">
        <f t="shared" si="88"/>
        <v>397.36718389105215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6.8327556422584346</v>
      </c>
      <c r="AA131" s="21">
        <f>EXP(-LN(2)/25)*AA130+(1-EXP(-LN(2)/25))/(LN(2)/25)*Calculateur!V131*Calculateur!X131*VLOOKUP('Données projet'!$B$9,Paramètres!$A$1:$I$89,3,0)*0.475*44/12</f>
        <v>1.2925487883673297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8.1253044306257642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127.55710992710948</v>
      </c>
      <c r="AO131" s="59">
        <f t="shared" si="90"/>
        <v>417.43085823929903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7.1792052241194222</v>
      </c>
      <c r="AV131" s="21">
        <f>EXP(-LN(2)/25)*AV130+(1-EXP(-LN(2)/25))/(LN(2)/25)*Calculateur!AQ131*Calculateur!AS131*VLOOKUP('Données projet'!$B$10,Paramètres!$A$1:$I$89,3,0)*0.475*44/12</f>
        <v>1.358086473411305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8.5372916975307263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123.48243581061803</v>
      </c>
      <c r="BJ131" s="59">
        <f t="shared" si="92"/>
        <v>405.05940798527138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6.9655384019730144</v>
      </c>
      <c r="BQ131" s="21">
        <f>EXP(-LN(2)/25)*BQ130+(1-EXP(-LN(2)/25))/(LN(2)/25)*Calculateur!BL131*Calculateur!BN131*VLOOKUP('Données projet'!$B$11,Paramètres!$A$1:$I$89,3,0)*0.475*44/12</f>
        <v>1.3176672331312063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8.2832056351042205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156.72204844493132</v>
      </c>
      <c r="CE131" s="59">
        <f t="shared" si="94"/>
        <v>377.72061016381247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6.4938674600015496</v>
      </c>
      <c r="CL131" s="21">
        <f>EXP(-LN(2)/25)*CL130+(1-EXP(-LN(2)/25))/(LN(2)/25)*Calculateur!CG131*Calculateur!CI131*VLOOKUP('Données projet'!$B$12,Paramètres!$A$1:$I$89,3,0)*0.475*44/12</f>
        <v>1.2284414893064537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7.7223089493080028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88.170414732964616</v>
      </c>
      <c r="CZ131" s="59">
        <f t="shared" si="96"/>
        <v>281.30515544919626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4.8366607134343385</v>
      </c>
      <c r="DG131" s="21">
        <f>EXP(-LN(2)/25)*DG130+(1-EXP(-LN(2)/25))/(LN(2)/25)*Calculateur!DB131*Calculateur!DD131*VLOOKUP('Données projet'!$B$13,Paramètres!$A$1:$I$89,3,0)*0.475*44/12</f>
        <v>0.91494856134311797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5.7516092747774561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88.170414732964616</v>
      </c>
      <c r="DU131" s="59">
        <f t="shared" si="98"/>
        <v>281.30515544919626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4.8366607134343385</v>
      </c>
      <c r="EB131" s="21">
        <f>EXP(-LN(2)/25)*EB130+(1-EXP(-LN(2)/25))/(LN(2)/25)*Calculateur!DW131*Calculateur!DY131*VLOOKUP('Données projet'!$B$14,Paramètres!$A$1:$I$89,3,0)*0.475*44/12</f>
        <v>0.91494856134311797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5.7516092747774561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137.3385373905187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1138.7433485712913</v>
      </c>
      <c r="H132" s="67">
        <f t="shared" ref="H132:H195" si="110">(B132+E132+F132)*44/12+(C132+D132)*0.475*44/12</f>
        <v>729.45917635473086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167.42995526007479</v>
      </c>
      <c r="T132" s="59">
        <f t="shared" si="88"/>
        <v>397.36718389105215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6.6987694716831747</v>
      </c>
      <c r="AA132" s="21">
        <f>EXP(-LN(2)/25)*AA131+(1-EXP(-LN(2)/25))/(LN(2)/25)*Calculateur!V132*Calculateur!X132*VLOOKUP('Données projet'!$B$9,Paramètres!$A$1:$I$89,3,0)*0.475*44/12</f>
        <v>1.2572039737772385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7.9559734454604136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127.55710992710948</v>
      </c>
      <c r="AO132" s="59">
        <f t="shared" si="90"/>
        <v>417.43085823929903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7.0384253885572479</v>
      </c>
      <c r="AV132" s="21">
        <f>EXP(-LN(2)/25)*AV131+(1-EXP(-LN(2)/25))/(LN(2)/25)*Calculateur!AQ132*Calculateur!AS132*VLOOKUP('Données projet'!$B$10,Paramètres!$A$1:$I$89,3,0)*0.475*44/12</f>
        <v>1.3209495273772092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8.3593749159344561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123.48243581061803</v>
      </c>
      <c r="BJ132" s="59">
        <f t="shared" si="92"/>
        <v>405.05940798527138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6.8289484424692386</v>
      </c>
      <c r="BQ132" s="21">
        <f>EXP(-LN(2)/25)*BQ131+(1-EXP(-LN(2)/25))/(LN(2)/25)*Calculateur!BL132*Calculateur!BN132*VLOOKUP('Données projet'!$B$11,Paramètres!$A$1:$I$89,3,0)*0.475*44/12</f>
        <v>1.2816355533481252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8.1105839958173647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156.72204844493132</v>
      </c>
      <c r="CE132" s="59">
        <f t="shared" si="94"/>
        <v>377.72061016381247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6.3665266799789668</v>
      </c>
      <c r="CL132" s="21">
        <f>EXP(-LN(2)/25)*CL131+(1-EXP(-LN(2)/25))/(LN(2)/25)*Calculateur!CG132*Calculateur!CI132*VLOOKUP('Données projet'!$B$12,Paramètres!$A$1:$I$89,3,0)*0.475*44/12</f>
        <v>1.1948496921804383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7.5613763721594047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88.170414732964616</v>
      </c>
      <c r="CZ132" s="59">
        <f t="shared" si="96"/>
        <v>281.30515544919626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4.7418167469156307</v>
      </c>
      <c r="DG132" s="21">
        <f>EXP(-LN(2)/25)*DG131+(1-EXP(-LN(2)/25))/(LN(2)/25)*Calculateur!DB132*Calculateur!DD132*VLOOKUP('Données projet'!$B$13,Paramètres!$A$1:$I$89,3,0)*0.475*44/12</f>
        <v>0.88992924481813673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5.6317459917337676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88.170414732964616</v>
      </c>
      <c r="DU132" s="59">
        <f t="shared" si="98"/>
        <v>281.30515544919626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4.7418167469156307</v>
      </c>
      <c r="EB132" s="21">
        <f>EXP(-LN(2)/25)*EB131+(1-EXP(-LN(2)/25))/(LN(2)/25)*Calculateur!DW132*Calculateur!DY132*VLOOKUP('Données projet'!$B$14,Paramètres!$A$1:$I$89,3,0)*0.475*44/12</f>
        <v>0.88992924481813673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5.6317459917337676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137.38470781665418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1147.2159685181232</v>
      </c>
      <c r="H133" s="67">
        <f t="shared" si="110"/>
        <v>731.37081123023484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167.42995526007479</v>
      </c>
      <c r="T133" s="59">
        <f t="shared" ref="T133:T196" si="142">$T$3</f>
        <v>397.36718389105215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6.5674106881894012</v>
      </c>
      <c r="AA133" s="21">
        <f>EXP(-LN(2)/25)*AA132+(1-EXP(-LN(2)/25))/(LN(2)/25)*Calculateur!V133*Calculateur!X133*VLOOKUP('Données projet'!$B$9,Paramètres!$A$1:$I$89,3,0)*0.475*44/12</f>
        <v>1.2228256650008162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7.7902363531902177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127.55710992710948</v>
      </c>
      <c r="AO133" s="59">
        <f t="shared" ref="AO133:AO196" si="144">$AO$3</f>
        <v>417.43085823929903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6.9004061597032269</v>
      </c>
      <c r="AV133" s="21">
        <f>EXP(-LN(2)/25)*AV132+(1-EXP(-LN(2)/25))/(LN(2)/25)*Calculateur!AQ133*Calculateur!AS133*VLOOKUP('Données projet'!$B$10,Paramètres!$A$1:$I$89,3,0)*0.475*44/12</f>
        <v>1.2848280930853628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8.1852342527885895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123.48243581061803</v>
      </c>
      <c r="BJ133" s="59">
        <f t="shared" ref="BJ133:BJ196" si="146">$BJ$3</f>
        <v>405.05940798527138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6.6950369287596825</v>
      </c>
      <c r="BQ133" s="21">
        <f>EXP(-LN(2)/25)*BQ132+(1-EXP(-LN(2)/25))/(LN(2)/25)*Calculateur!BL133*Calculateur!BN133*VLOOKUP('Données projet'!$B$11,Paramètres!$A$1:$I$89,3,0)*0.475*44/12</f>
        <v>1.2465891617435361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7.9416260905032185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156.72204844493132</v>
      </c>
      <c r="CE133" s="59">
        <f t="shared" ref="CE133:CE196" si="148">$CE$3</f>
        <v>377.72061016381247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6.2416829749824201</v>
      </c>
      <c r="CL133" s="21">
        <f>EXP(-LN(2)/25)*CL132+(1-EXP(-LN(2)/25))/(LN(2)/25)*Calculateur!CG133*Calculateur!CI133*VLOOKUP('Données projet'!$B$12,Paramètres!$A$1:$I$89,3,0)*0.475*44/12</f>
        <v>1.1621764645133499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7.4038594394957702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88.170414732964616</v>
      </c>
      <c r="CZ133" s="59">
        <f t="shared" ref="CZ133:CZ196" si="150">$CZ$3</f>
        <v>281.30515544919626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4.6488326127312476</v>
      </c>
      <c r="DG133" s="21">
        <f>EXP(-LN(2)/25)*DG132+(1-EXP(-LN(2)/25))/(LN(2)/25)*Calculateur!DB133*Calculateur!DD133*VLOOKUP('Données projet'!$B$13,Paramètres!$A$1:$I$89,3,0)*0.475*44/12</f>
        <v>0.86559408281923977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5.5144266955504877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88.170414732964616</v>
      </c>
      <c r="DU133" s="59">
        <f t="shared" ref="DU133:DU196" si="152">$DU$3</f>
        <v>281.30515544919626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4.6488326127312476</v>
      </c>
      <c r="EB133" s="21">
        <f>EXP(-LN(2)/25)*EB132+(1-EXP(-LN(2)/25))/(LN(2)/25)*Calculateur!DW133*Calculateur!DY133*VLOOKUP('Données projet'!$B$14,Paramètres!$A$1:$I$89,3,0)*0.475*44/12</f>
        <v>0.86559408281923977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5.5144266955504877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137.43007728911783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1155.6871487610188</v>
      </c>
      <c r="H134" s="67">
        <f t="shared" si="110"/>
        <v>733.28212127253823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167.42995526007479</v>
      </c>
      <c r="T134" s="59">
        <f t="shared" si="142"/>
        <v>397.36718389105215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6.4386277703189947</v>
      </c>
      <c r="AA134" s="21">
        <f>EXP(-LN(2)/25)*AA133+(1-EXP(-LN(2)/25))/(LN(2)/25)*Calculateur!V134*Calculateur!X134*VLOOKUP('Données projet'!$B$9,Paramètres!$A$1:$I$89,3,0)*0.475*44/12</f>
        <v>1.1893874328857621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7.6280152032047566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127.55710992710948</v>
      </c>
      <c r="AO134" s="59">
        <f t="shared" si="144"/>
        <v>417.43085823929903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6.7650934037436166</v>
      </c>
      <c r="AV134" s="21">
        <f>EXP(-LN(2)/25)*AV133+(1-EXP(-LN(2)/25))/(LN(2)/25)*Calculateur!AQ134*Calculateur!AS134*VLOOKUP('Données projet'!$B$10,Paramètres!$A$1:$I$89,3,0)*0.475*44/12</f>
        <v>1.2496944013137707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8.014787805057388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123.48243581061803</v>
      </c>
      <c r="BJ134" s="59">
        <f t="shared" si="146"/>
        <v>405.05940798527138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6.5637513381560124</v>
      </c>
      <c r="BQ134" s="21">
        <f>EXP(-LN(2)/25)*BQ133+(1-EXP(-LN(2)/25))/(LN(2)/25)*Calculateur!BL134*Calculateur!BN134*VLOOKUP('Données projet'!$B$11,Paramètres!$A$1:$I$89,3,0)*0.475*44/12</f>
        <v>1.2125011155603842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7.7762524537163964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156.72204844493132</v>
      </c>
      <c r="CE134" s="59">
        <f t="shared" si="148"/>
        <v>377.72061016381247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6.1192873788937145</v>
      </c>
      <c r="CL134" s="21">
        <f>EXP(-LN(2)/25)*CL133+(1-EXP(-LN(2)/25))/(LN(2)/25)*Calculateur!CG134*Calculateur!CI134*VLOOKUP('Données projet'!$B$12,Paramètres!$A$1:$I$89,3,0)*0.475*44/12</f>
        <v>1.1303966879750282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7.2496840668687428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88.170414732964616</v>
      </c>
      <c r="CZ134" s="59">
        <f t="shared" si="150"/>
        <v>281.30515544919626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4.5576718407034988</v>
      </c>
      <c r="DG134" s="21">
        <f>EXP(-LN(2)/25)*DG133+(1-EXP(-LN(2)/25))/(LN(2)/25)*Calculateur!DB134*Calculateur!DD134*VLOOKUP('Données projet'!$B$13,Paramètres!$A$1:$I$89,3,0)*0.475*44/12</f>
        <v>0.84192436710493324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5.3995962078084325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88.170414732964616</v>
      </c>
      <c r="DU134" s="59">
        <f t="shared" si="152"/>
        <v>281.30515544919626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4.5576718407034988</v>
      </c>
      <c r="EB134" s="21">
        <f>EXP(-LN(2)/25)*EB133+(1-EXP(-LN(2)/25))/(LN(2)/25)*Calculateur!DW134*Calculateur!DY134*VLOOKUP('Données projet'!$B$14,Paramètres!$A$1:$I$89,3,0)*0.475*44/12</f>
        <v>0.84192436710493324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5.3995962078084325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137.47465970266521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1164.1569015641221</v>
      </c>
      <c r="H135" s="67">
        <f t="shared" si="110"/>
        <v>735.19310924873832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167.42995526007479</v>
      </c>
      <c r="T135" s="59">
        <f t="shared" si="142"/>
        <v>397.36718389105215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6.3123702069182031</v>
      </c>
      <c r="AA135" s="21">
        <f>EXP(-LN(2)/25)*AA134+(1-EXP(-LN(2)/25))/(LN(2)/25)*Calculateur!V135*Calculateur!X135*VLOOKUP('Données projet'!$B$9,Paramètres!$A$1:$I$89,3,0)*0.475*44/12</f>
        <v>1.1568635709863342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7.4692337779045372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127.55710992710948</v>
      </c>
      <c r="AO135" s="59">
        <f t="shared" si="144"/>
        <v>417.43085823929903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6.6324340483957425</v>
      </c>
      <c r="AV135" s="21">
        <f>EXP(-LN(2)/25)*AV134+(1-EXP(-LN(2)/25))/(LN(2)/25)*Calculateur!AQ135*Calculateur!AS135*VLOOKUP('Données projet'!$B$10,Paramètres!$A$1:$I$89,3,0)*0.475*44/12</f>
        <v>1.2155214421912732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7.8479554905870152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123.48243581061803</v>
      </c>
      <c r="BJ135" s="59">
        <f t="shared" si="146"/>
        <v>405.05940798527138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6.4350401779077773</v>
      </c>
      <c r="BQ135" s="21">
        <f>EXP(-LN(2)/25)*BQ134+(1-EXP(-LN(2)/25))/(LN(2)/25)*Calculateur!BL135*Calculateur!BN135*VLOOKUP('Données projet'!$B$11,Paramètres!$A$1:$I$89,3,0)*0.475*44/12</f>
        <v>1.179345208792723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7.6143853867005005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156.72204844493132</v>
      </c>
      <c r="CE135" s="59">
        <f t="shared" si="148"/>
        <v>377.72061016381247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5.9992918857903668</v>
      </c>
      <c r="CL135" s="21">
        <f>EXP(-LN(2)/25)*CL134+(1-EXP(-LN(2)/25))/(LN(2)/25)*Calculateur!CG135*Calculateur!CI135*VLOOKUP('Données projet'!$B$12,Paramètres!$A$1:$I$89,3,0)*0.475*44/12</f>
        <v>1.0994859310973728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7.0987778168877398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88.170414732964616</v>
      </c>
      <c r="CZ135" s="59">
        <f t="shared" si="150"/>
        <v>281.30515544919626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4.4682986758126333</v>
      </c>
      <c r="DG135" s="21">
        <f>EXP(-LN(2)/25)*DG134+(1-EXP(-LN(2)/25))/(LN(2)/25)*Calculateur!DB135*Calculateur!DD135*VLOOKUP('Données projet'!$B$13,Paramètres!$A$1:$I$89,3,0)*0.475*44/12</f>
        <v>0.81890190101157057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5.2872005768242039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88.170414732964616</v>
      </c>
      <c r="DU135" s="59">
        <f t="shared" si="152"/>
        <v>281.30515544919626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4.4682986758126333</v>
      </c>
      <c r="EB135" s="21">
        <f>EXP(-LN(2)/25)*EB134+(1-EXP(-LN(2)/25))/(LN(2)/25)*Calculateur!DW135*Calculateur!DY135*VLOOKUP('Données projet'!$B$14,Paramètres!$A$1:$I$89,3,0)*0.475*44/12</f>
        <v>0.81890190101157057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5.2872005768242039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137.51846871100886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1172.6252389950237</v>
      </c>
      <c r="H136" s="67">
        <f t="shared" si="110"/>
        <v>737.10377788158553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167.42995526007479</v>
      </c>
      <c r="T136" s="59">
        <f t="shared" si="142"/>
        <v>397.36718389105215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6.1885884773261912</v>
      </c>
      <c r="AA136" s="21">
        <f>EXP(-LN(2)/25)*AA135+(1-EXP(-LN(2)/25))/(LN(2)/25)*Calculateur!V136*Calculateur!X136*VLOOKUP('Données projet'!$B$9,Paramètres!$A$1:$I$89,3,0)*0.475*44/12</f>
        <v>1.1252290758009018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7.3138175531270928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127.55710992710948</v>
      </c>
      <c r="AO136" s="59">
        <f t="shared" si="144"/>
        <v>417.43085823929903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6.502376062092023</v>
      </c>
      <c r="AV136" s="21">
        <f>EXP(-LN(2)/25)*AV135+(1-EXP(-LN(2)/25))/(LN(2)/25)*Calculateur!AQ136*Calculateur!AS136*VLOOKUP('Données projet'!$B$10,Paramètres!$A$1:$I$89,3,0)*0.475*44/12</f>
        <v>1.1822829444330583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7.6846590065250808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123.48243581061803</v>
      </c>
      <c r="BJ136" s="59">
        <f t="shared" si="146"/>
        <v>405.05940798527138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6.3088529650059542</v>
      </c>
      <c r="BQ136" s="21">
        <f>EXP(-LN(2)/25)*BQ135+(1-EXP(-LN(2)/25))/(LN(2)/25)*Calculateur!BL136*Calculateur!BN136*VLOOKUP('Données projet'!$B$11,Paramètres!$A$1:$I$89,3,0)*0.475*44/12</f>
        <v>1.1470959520392168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7.4559489170451707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156.72204844493132</v>
      </c>
      <c r="CE136" s="59">
        <f t="shared" si="148"/>
        <v>377.72061016381247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5.8816494311167515</v>
      </c>
      <c r="CL136" s="21">
        <f>EXP(-LN(2)/25)*CL135+(1-EXP(-LN(2)/25))/(LN(2)/25)*Calculateur!CG136*Calculateur!CI136*VLOOKUP('Données projet'!$B$12,Paramètres!$A$1:$I$89,3,0)*0.475*44/12</f>
        <v>1.0694204304920629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6.9510698616088149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88.170414732964616</v>
      </c>
      <c r="CZ136" s="59">
        <f t="shared" si="150"/>
        <v>281.30515544919626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4.3806780641730292</v>
      </c>
      <c r="DG136" s="21">
        <f>EXP(-LN(2)/25)*DG135+(1-EXP(-LN(2)/25))/(LN(2)/25)*Calculateur!DB136*Calculateur!DD136*VLOOKUP('Données projet'!$B$13,Paramètres!$A$1:$I$89,3,0)*0.475*44/12</f>
        <v>0.79650898546422977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5.1771870496372587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88.170414732964616</v>
      </c>
      <c r="DU136" s="59">
        <f t="shared" si="152"/>
        <v>281.30515544919626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4.3806780641730292</v>
      </c>
      <c r="EB136" s="21">
        <f>EXP(-LN(2)/25)*EB135+(1-EXP(-LN(2)/25))/(LN(2)/25)*Calculateur!DW136*Calculateur!DY136*VLOOKUP('Données projet'!$B$14,Paramètres!$A$1:$I$89,3,0)*0.475*44/12</f>
        <v>0.79650898546422977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5.1771870496372587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137.56151773100004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1181.0921729293634</v>
      </c>
      <c r="H137" s="67">
        <f t="shared" si="110"/>
        <v>739.01412985052093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167.42995526007479</v>
      </c>
      <c r="T137" s="59">
        <f t="shared" si="142"/>
        <v>397.36718389105215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6.0672340319520783</v>
      </c>
      <c r="AA137" s="21">
        <f>EXP(-LN(2)/25)*AA136+(1-EXP(-LN(2)/25))/(LN(2)/25)*Calculateur!V137*Calculateur!X137*VLOOKUP('Données projet'!$B$9,Paramètres!$A$1:$I$89,3,0)*0.475*44/12</f>
        <v>1.0944596275499008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7.1616936595019789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127.55710992710948</v>
      </c>
      <c r="AO137" s="59">
        <f t="shared" si="144"/>
        <v>417.43085823929903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6.374868433572181</v>
      </c>
      <c r="AV137" s="21">
        <f>EXP(-LN(2)/25)*AV136+(1-EXP(-LN(2)/25))/(LN(2)/25)*Calculateur!AQ137*Calculateur!AS137*VLOOKUP('Données projet'!$B$10,Paramètres!$A$1:$I$89,3,0)*0.475*44/12</f>
        <v>1.1499533551439785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7.5248217887161593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123.48243581061803</v>
      </c>
      <c r="BJ137" s="59">
        <f t="shared" si="146"/>
        <v>405.05940798527138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6.1851402063825356</v>
      </c>
      <c r="BQ137" s="21">
        <f>EXP(-LN(2)/25)*BQ136+(1-EXP(-LN(2)/25))/(LN(2)/25)*Calculateur!BL137*Calculateur!BN137*VLOOKUP('Données projet'!$B$11,Paramètres!$A$1:$I$89,3,0)*0.475*44/12</f>
        <v>1.11572855290755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7.3008687592900854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156.72204844493132</v>
      </c>
      <c r="CE137" s="59">
        <f t="shared" si="148"/>
        <v>377.72061016381247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5.7663138732244734</v>
      </c>
      <c r="CL137" s="21">
        <f>EXP(-LN(2)/25)*CL136+(1-EXP(-LN(2)/25))/(LN(2)/25)*Calculateur!CG137*Calculateur!CI137*VLOOKUP('Données projet'!$B$12,Paramètres!$A$1:$I$89,3,0)*0.475*44/12</f>
        <v>1.0401770725818813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6.8064909458063543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88.170414732964616</v>
      </c>
      <c r="CZ137" s="59">
        <f t="shared" si="150"/>
        <v>281.30515544919626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4.2947756392843823</v>
      </c>
      <c r="DG137" s="21">
        <f>EXP(-LN(2)/25)*DG136+(1-EXP(-LN(2)/25))/(LN(2)/25)*Calculateur!DB137*Calculateur!DD137*VLOOKUP('Données projet'!$B$13,Paramètres!$A$1:$I$89,3,0)*0.475*44/12</f>
        <v>0.77472840537012333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5.0695040446545061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88.170414732964616</v>
      </c>
      <c r="DU137" s="59">
        <f t="shared" si="152"/>
        <v>281.30515544919626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4.2947756392843823</v>
      </c>
      <c r="EB137" s="21">
        <f>EXP(-LN(2)/25)*EB136+(1-EXP(-LN(2)/25))/(LN(2)/25)*Calculateur!DW137*Calculateur!DY137*VLOOKUP('Données projet'!$B$14,Paramètres!$A$1:$I$89,3,0)*0.475*44/12</f>
        <v>0.77472840537012333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5.0695040446545061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137.60381994673753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1189.557715055294</v>
      </c>
      <c r="H138" s="67">
        <f t="shared" si="110"/>
        <v>740.9241677926841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167.42995526007479</v>
      </c>
      <c r="T138" s="59">
        <f t="shared" si="142"/>
        <v>397.36718389105215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5.948259273232849</v>
      </c>
      <c r="AA138" s="21">
        <f>EXP(-LN(2)/25)*AA137+(1-EXP(-LN(2)/25))/(LN(2)/25)*Calculateur!V138*Calculateur!X138*VLOOKUP('Données projet'!$B$9,Paramètres!$A$1:$I$89,3,0)*0.475*44/12</f>
        <v>1.0645315714794183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7.0127908447122671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127.55710992710948</v>
      </c>
      <c r="AO138" s="59">
        <f t="shared" si="144"/>
        <v>417.43085823929903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6.2498611518756384</v>
      </c>
      <c r="AV138" s="21">
        <f>EXP(-LN(2)/25)*AV137+(1-EXP(-LN(2)/25))/(LN(2)/25)*Calculateur!AQ138*Calculateur!AS138*VLOOKUP('Données projet'!$B$10,Paramètres!$A$1:$I$89,3,0)*0.475*44/12</f>
        <v>1.1185078201741476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7.3683689720497858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123.48243581061803</v>
      </c>
      <c r="BJ138" s="59">
        <f t="shared" si="146"/>
        <v>405.05940798527138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6.06385337949839</v>
      </c>
      <c r="BQ138" s="21">
        <f>EXP(-LN(2)/25)*BQ137+(1-EXP(-LN(2)/25))/(LN(2)/25)*Calculateur!BL138*Calculateur!BN138*VLOOKUP('Données projet'!$B$11,Paramètres!$A$1:$I$89,3,0)*0.475*44/12</f>
        <v>1.0852188969546785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7.1490722764530688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156.72204844493132</v>
      </c>
      <c r="CE138" s="59">
        <f t="shared" si="148"/>
        <v>377.72061016381247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5.6532399752747189</v>
      </c>
      <c r="CL138" s="21">
        <f>EXP(-LN(2)/25)*CL137+(1-EXP(-LN(2)/25))/(LN(2)/25)*Calculateur!CG138*Calculateur!CI138*VLOOKUP('Données projet'!$B$12,Paramètres!$A$1:$I$89,3,0)*0.475*44/12</f>
        <v>1.0117333758315949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6.6649733511063136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88.170414732964616</v>
      </c>
      <c r="CZ138" s="59">
        <f t="shared" si="150"/>
        <v>281.30515544919626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4.2105577085524963</v>
      </c>
      <c r="DG138" s="21">
        <f>EXP(-LN(2)/25)*DG137+(1-EXP(-LN(2)/25))/(LN(2)/25)*Calculateur!DB138*Calculateur!DD138*VLOOKUP('Données projet'!$B$13,Paramètres!$A$1:$I$89,3,0)*0.475*44/12</f>
        <v>0.75354341638408118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4.9641011249365778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88.170414732964616</v>
      </c>
      <c r="DU138" s="59">
        <f t="shared" si="152"/>
        <v>281.30515544919626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4.2105577085524963</v>
      </c>
      <c r="EB138" s="21">
        <f>EXP(-LN(2)/25)*EB137+(1-EXP(-LN(2)/25))/(LN(2)/25)*Calculateur!DW138*Calculateur!DY138*VLOOKUP('Données projet'!$B$14,Paramètres!$A$1:$I$89,3,0)*0.475*44/12</f>
        <v>0.75354341638408118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4.9641011249365778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137.64538831360557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1198.0218768778059</v>
      </c>
      <c r="H139" s="67">
        <f t="shared" si="110"/>
        <v>742.83389430388831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167.42995526007479</v>
      </c>
      <c r="T139" s="59">
        <f t="shared" si="142"/>
        <v>397.36718389105215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5.8316175369646661</v>
      </c>
      <c r="AA139" s="21">
        <f>EXP(-LN(2)/25)*AA138+(1-EXP(-LN(2)/25))/(LN(2)/25)*Calculateur!V139*Calculateur!X139*VLOOKUP('Données projet'!$B$9,Paramètres!$A$1:$I$89,3,0)*0.475*44/12</f>
        <v>1.0354218996760314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6.867039436640697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127.55710992710948</v>
      </c>
      <c r="AO139" s="59">
        <f t="shared" si="144"/>
        <v>417.43085823929903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6.127305186726252</v>
      </c>
      <c r="AV139" s="21">
        <f>EXP(-LN(2)/25)*AV138+(1-EXP(-LN(2)/25))/(LN(2)/25)*Calculateur!AQ139*Calculateur!AS139*VLOOKUP('Données projet'!$B$10,Paramètres!$A$1:$I$89,3,0)*0.475*44/12</f>
        <v>1.0879221650117157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7.2152273517379673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123.48243581061803</v>
      </c>
      <c r="BJ139" s="59">
        <f t="shared" si="146"/>
        <v>405.05940798527138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5.9449449133117831</v>
      </c>
      <c r="BQ139" s="21">
        <f>EXP(-LN(2)/25)*BQ138+(1-EXP(-LN(2)/25))/(LN(2)/25)*Calculateur!BL139*Calculateur!BN139*VLOOKUP('Données projet'!$B$11,Paramètres!$A$1:$I$89,3,0)*0.475*44/12</f>
        <v>1.0555435291482713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7.0004884424600542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156.72204844493132</v>
      </c>
      <c r="CE139" s="59">
        <f t="shared" si="148"/>
        <v>377.72061016381247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5.5423833874954918</v>
      </c>
      <c r="CL139" s="21">
        <f>EXP(-LN(2)/25)*CL138+(1-EXP(-LN(2)/25))/(LN(2)/25)*Calculateur!CG139*Calculateur!CI139*VLOOKUP('Données projet'!$B$12,Paramètres!$A$1:$I$89,3,0)*0.475*44/12</f>
        <v>0.98406747346473411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6.5264508609602263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88.170414732964616</v>
      </c>
      <c r="CZ139" s="59">
        <f t="shared" si="150"/>
        <v>281.30515544919626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4.1279912400743966</v>
      </c>
      <c r="DG139" s="21">
        <f>EXP(-LN(2)/25)*DG138+(1-EXP(-LN(2)/25))/(LN(2)/25)*Calculateur!DB139*Calculateur!DD139*VLOOKUP('Données projet'!$B$13,Paramètres!$A$1:$I$89,3,0)*0.475*44/12</f>
        <v>0.73293773203593249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4.8609289721103295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88.170414732964616</v>
      </c>
      <c r="DU139" s="59">
        <f t="shared" si="152"/>
        <v>281.30515544919626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4.1279912400743966</v>
      </c>
      <c r="EB139" s="21">
        <f>EXP(-LN(2)/25)*EB138+(1-EXP(-LN(2)/25))/(LN(2)/25)*Calculateur!DW139*Calculateur!DY139*VLOOKUP('Données projet'!$B$14,Paramètres!$A$1:$I$89,3,0)*0.475*44/12</f>
        <v>0.73293773203593249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4.8609289721103295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137.68623556224142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1206.4846697229232</v>
      </c>
      <c r="H140" s="67">
        <f t="shared" si="110"/>
        <v>744.74331193956789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167.42995526007479</v>
      </c>
      <c r="T140" s="59">
        <f t="shared" si="142"/>
        <v>397.36718389105215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5.7172630740002681</v>
      </c>
      <c r="AA140" s="21">
        <f>EXP(-LN(2)/25)*AA139+(1-EXP(-LN(2)/25))/(LN(2)/25)*Calculateur!V140*Calculateur!X140*VLOOKUP('Données projet'!$B$9,Paramètres!$A$1:$I$89,3,0)*0.475*44/12</f>
        <v>1.0071082333789192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6.7243713073791875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127.55710992710948</v>
      </c>
      <c r="AO140" s="59">
        <f t="shared" si="144"/>
        <v>417.43085823929903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6.0071524693016878</v>
      </c>
      <c r="AV140" s="21">
        <f>EXP(-LN(2)/25)*AV139+(1-EXP(-LN(2)/25))/(LN(2)/25)*Calculateur!AQ140*Calculateur!AS140*VLOOKUP('Données projet'!$B$10,Paramètres!$A$1:$I$89,3,0)*0.475*44/12</f>
        <v>1.0581728761981302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7.0653253454998177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123.48243581061803</v>
      </c>
      <c r="BJ140" s="59">
        <f t="shared" si="146"/>
        <v>405.05940798527138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5.8283681696200924</v>
      </c>
      <c r="BQ140" s="21">
        <f>EXP(-LN(2)/25)*BQ139+(1-EXP(-LN(2)/25))/(LN(2)/25)*Calculateur!BL140*Calculateur!BN140*VLOOKUP('Données projet'!$B$11,Paramètres!$A$1:$I$89,3,0)*0.475*44/12</f>
        <v>1.02667963583509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6.8550478054551824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156.72204844493132</v>
      </c>
      <c r="CE140" s="59">
        <f t="shared" si="148"/>
        <v>377.72061016381247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5.4337006297867729</v>
      </c>
      <c r="CL140" s="21">
        <f>EXP(-LN(2)/25)*CL139+(1-EXP(-LN(2)/25))/(LN(2)/25)*Calculateur!CG140*Calculateur!CI140*VLOOKUP('Données projet'!$B$12,Paramètres!$A$1:$I$89,3,0)*0.475*44/12</f>
        <v>0.95715809665298168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6.3908587264397543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88.170414732964616</v>
      </c>
      <c r="CZ140" s="59">
        <f t="shared" si="150"/>
        <v>281.30515544919626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4.0470438496825798</v>
      </c>
      <c r="DG140" s="21">
        <f>EXP(-LN(2)/25)*DG139+(1-EXP(-LN(2)/25))/(LN(2)/25)*Calculateur!DB140*Calculateur!DD140*VLOOKUP('Données projet'!$B$13,Paramètres!$A$1:$I$89,3,0)*0.475*44/12</f>
        <v>0.7128955112098897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4.7599393608924698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88.170414732964616</v>
      </c>
      <c r="DU140" s="59">
        <f t="shared" si="152"/>
        <v>281.30515544919626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4.0470438496825798</v>
      </c>
      <c r="EB140" s="21">
        <f>EXP(-LN(2)/25)*EB139+(1-EXP(-LN(2)/25))/(LN(2)/25)*Calculateur!DW140*Calculateur!DY140*VLOOKUP('Données projet'!$B$14,Paramètres!$A$1:$I$89,3,0)*0.475*44/12</f>
        <v>0.7128955112098897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4.7599393608924698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137.72637420243419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1214.9461047417744</v>
      </c>
      <c r="H141" s="67">
        <f t="shared" si="110"/>
        <v>746.65242321569622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167.42995526007479</v>
      </c>
      <c r="T141" s="59">
        <f t="shared" si="142"/>
        <v>397.36718389105215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5.6051510323052671</v>
      </c>
      <c r="AA141" s="21">
        <f>EXP(-LN(2)/25)*AA140+(1-EXP(-LN(2)/25))/(LN(2)/25)*Calculateur!V141*Calculateur!X141*VLOOKUP('Données projet'!$B$9,Paramètres!$A$1:$I$89,3,0)*0.475*44/12</f>
        <v>0.97956880577565242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6.58471983808092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127.55710992710948</v>
      </c>
      <c r="AO141" s="59">
        <f t="shared" si="144"/>
        <v>417.43085823929903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5.8893558733798983</v>
      </c>
      <c r="AV141" s="21">
        <f>EXP(-LN(2)/25)*AV140+(1-EXP(-LN(2)/25))/(LN(2)/25)*Calculateur!AQ141*Calculateur!AS141*VLOOKUP('Données projet'!$B$10,Paramètres!$A$1:$I$89,3,0)*0.475*44/12</f>
        <v>1.0292370832515991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6.9185929566314979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123.48243581061803</v>
      </c>
      <c r="BJ141" s="59">
        <f t="shared" si="146"/>
        <v>405.05940798527138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5.7140774247674031</v>
      </c>
      <c r="BQ141" s="21">
        <f>EXP(-LN(2)/25)*BQ140+(1-EXP(-LN(2)/25))/(LN(2)/25)*Calculateur!BL141*Calculateur!BN141*VLOOKUP('Données projet'!$B$11,Paramètres!$A$1:$I$89,3,0)*0.475*44/12</f>
        <v>0.99860502720244393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6.7126824519698474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156.72204844493132</v>
      </c>
      <c r="CE141" s="59">
        <f t="shared" si="148"/>
        <v>377.72061016381247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5.3271490746667851</v>
      </c>
      <c r="CL141" s="21">
        <f>EXP(-LN(2)/25)*CL140+(1-EXP(-LN(2)/25))/(LN(2)/25)*Calculateur!CG141*Calculateur!CI141*VLOOKUP('Données projet'!$B$12,Paramètres!$A$1:$I$89,3,0)*0.475*44/12</f>
        <v>0.93098455816524917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6.2581336328320347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88.170414732964616</v>
      </c>
      <c r="CZ141" s="59">
        <f t="shared" si="150"/>
        <v>281.30515544919626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3.9676837882433134</v>
      </c>
      <c r="DG141" s="21">
        <f>EXP(-LN(2)/25)*DG140+(1-EXP(-LN(2)/25))/(LN(2)/25)*Calculateur!DB141*Calculateur!DD141*VLOOKUP('Données projet'!$B$13,Paramètres!$A$1:$I$89,3,0)*0.475*44/12</f>
        <v>0.69340134596630965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4.6610851342096229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88.170414732964616</v>
      </c>
      <c r="DU141" s="59">
        <f t="shared" si="152"/>
        <v>281.30515544919626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3.9676837882433134</v>
      </c>
      <c r="EB141" s="21">
        <f>EXP(-LN(2)/25)*EB140+(1-EXP(-LN(2)/25))/(LN(2)/25)*Calculateur!DW141*Calculateur!DY141*VLOOKUP('Données projet'!$B$14,Paramètres!$A$1:$I$89,3,0)*0.475*44/12</f>
        <v>0.69340134596630965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4.6610851342096229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137.76581652695617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1223.4061929145378</v>
      </c>
      <c r="H142" s="67">
        <f t="shared" si="110"/>
        <v>748.56123060967593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167.42995526007479</v>
      </c>
      <c r="T142" s="59">
        <f t="shared" si="142"/>
        <v>397.36718389105215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5.4952374393663117</v>
      </c>
      <c r="AA142" s="21">
        <f>EXP(-LN(2)/25)*AA141+(1-EXP(-LN(2)/25))/(LN(2)/25)*Calculateur!V142*Calculateur!X142*VLOOKUP('Données projet'!$B$9,Paramètres!$A$1:$I$89,3,0)*0.475*44/12</f>
        <v>0.95278244526843259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6.4480198846347445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127.55710992710948</v>
      </c>
      <c r="AO142" s="59">
        <f t="shared" si="144"/>
        <v>417.43085823929903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5.7738691968553058</v>
      </c>
      <c r="AV142" s="21">
        <f>EXP(-LN(2)/25)*AV141+(1-EXP(-LN(2)/25))/(LN(2)/25)*Calculateur!AQ142*Calculateur!AS142*VLOOKUP('Données projet'!$B$10,Paramètres!$A$1:$I$89,3,0)*0.475*44/12</f>
        <v>1.0010925410848583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6.7749617379401643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123.48243581061803</v>
      </c>
      <c r="BJ142" s="59">
        <f t="shared" si="146"/>
        <v>405.05940798527138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5.6020278517108046</v>
      </c>
      <c r="BQ142" s="21">
        <f>EXP(-LN(2)/25)*BQ141+(1-EXP(-LN(2)/25))/(LN(2)/25)*Calculateur!BL142*Calculateur!BN142*VLOOKUP('Données projet'!$B$11,Paramètres!$A$1:$I$89,3,0)*0.475*44/12</f>
        <v>0.97129812021923712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6.5733259719300419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156.72204844493132</v>
      </c>
      <c r="CE142" s="59">
        <f t="shared" si="148"/>
        <v>377.72061016381247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5.2226869305526691</v>
      </c>
      <c r="CL142" s="21">
        <f>EXP(-LN(2)/25)*CL141+(1-EXP(-LN(2)/25))/(LN(2)/25)*Calculateur!CG142*Calculateur!CI142*VLOOKUP('Données projet'!$B$12,Paramètres!$A$1:$I$89,3,0)*0.475*44/12</f>
        <v>0.90552673646387027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6.1282136670165395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88.170414732964616</v>
      </c>
      <c r="CZ142" s="59">
        <f t="shared" si="150"/>
        <v>281.30515544919626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3.8898799292040129</v>
      </c>
      <c r="DG142" s="21">
        <f>EXP(-LN(2)/25)*DG141+(1-EXP(-LN(2)/25))/(LN(2)/25)*Calculateur!DB142*Calculateur!DD142*VLOOKUP('Données projet'!$B$13,Paramètres!$A$1:$I$89,3,0)*0.475*44/12</f>
        <v>0.67444024969646887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4.5643201789004815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88.170414732964616</v>
      </c>
      <c r="DU142" s="59">
        <f t="shared" si="152"/>
        <v>281.30515544919626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3.8898799292040129</v>
      </c>
      <c r="EB142" s="21">
        <f>EXP(-LN(2)/25)*EB141+(1-EXP(-LN(2)/25))/(LN(2)/25)*Calculateur!DW142*Calculateur!DY142*VLOOKUP('Données projet'!$B$14,Paramètres!$A$1:$I$89,3,0)*0.475*44/12</f>
        <v>0.67444024969646887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4.5643201789004815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137.80457461532751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1231.8649450542759</v>
      </c>
      <c r="H143" s="67">
        <f t="shared" si="110"/>
        <v>750.4697365612044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167.42995526007479</v>
      </c>
      <c r="T143" s="59">
        <f t="shared" si="142"/>
        <v>397.36718389105215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5.3874791849442172</v>
      </c>
      <c r="AA143" s="21">
        <f>EXP(-LN(2)/25)*AA142+(1-EXP(-LN(2)/25))/(LN(2)/25)*Calculateur!V143*Calculateur!X143*VLOOKUP('Données projet'!$B$9,Paramètres!$A$1:$I$89,3,0)*0.475*44/12</f>
        <v>0.92672855919791608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6.3142077441421334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127.55710992710948</v>
      </c>
      <c r="AO143" s="59">
        <f t="shared" si="144"/>
        <v>417.43085823929903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5.6606471436174433</v>
      </c>
      <c r="AV143" s="21">
        <f>EXP(-LN(2)/25)*AV142+(1-EXP(-LN(2)/25))/(LN(2)/25)*Calculateur!AQ143*Calculateur!AS143*VLOOKUP('Données projet'!$B$10,Paramètres!$A$1:$I$89,3,0)*0.475*44/12</f>
        <v>0.97371761290372416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6.6343647565211672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123.48243581061803</v>
      </c>
      <c r="BJ143" s="59">
        <f t="shared" si="146"/>
        <v>405.05940798527138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5.4921755024383545</v>
      </c>
      <c r="BQ143" s="21">
        <f>EXP(-LN(2)/25)*BQ142+(1-EXP(-LN(2)/25))/(LN(2)/25)*Calculateur!BL143*Calculateur!BN143*VLOOKUP('Données projet'!$B$11,Paramètres!$A$1:$I$89,3,0)*0.475*44/12</f>
        <v>0.94473792204349383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6.4369134244818484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156.72204844493132</v>
      </c>
      <c r="CE143" s="59">
        <f t="shared" si="148"/>
        <v>377.72061016381247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5.1202732253690142</v>
      </c>
      <c r="CL143" s="21">
        <f>EXP(-LN(2)/25)*CL142+(1-EXP(-LN(2)/25))/(LN(2)/25)*Calculateur!CG143*Calculateur!CI143*VLOOKUP('Données projet'!$B$12,Paramètres!$A$1:$I$89,3,0)*0.475*44/12</f>
        <v>0.88076506023568424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6.0010382856046984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88.170414732964616</v>
      </c>
      <c r="CZ143" s="59">
        <f t="shared" si="150"/>
        <v>281.30515544919626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3.8136017563848048</v>
      </c>
      <c r="DG143" s="21">
        <f>EXP(-LN(2)/25)*DG142+(1-EXP(-LN(2)/25))/(LN(2)/25)*Calculateur!DB143*Calculateur!DD143*VLOOKUP('Données projet'!$B$13,Paramètres!$A$1:$I$89,3,0)*0.475*44/12</f>
        <v>0.65599764560124763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4.4695994019860521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88.170414732964616</v>
      </c>
      <c r="DU143" s="59">
        <f t="shared" si="152"/>
        <v>281.30515544919626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3.8136017563848048</v>
      </c>
      <c r="EB143" s="21">
        <f>EXP(-LN(2)/25)*EB142+(1-EXP(-LN(2)/25))/(LN(2)/25)*Calculateur!DW143*Calculateur!DY143*VLOOKUP('Données projet'!$B$14,Paramètres!$A$1:$I$89,3,0)*0.475*44/12</f>
        <v>0.65599764560124763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4.4695994019860521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137.84266033751572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1240.3223718106515</v>
      </c>
      <c r="H144" s="67">
        <f t="shared" si="110"/>
        <v>752.3779434731116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167.42995526007479</v>
      </c>
      <c r="T144" s="59">
        <f t="shared" si="142"/>
        <v>397.36718389105215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5.2818340041652947</v>
      </c>
      <c r="AA144" s="21">
        <f>EXP(-LN(2)/25)*AA143+(1-EXP(-LN(2)/25))/(LN(2)/25)*Calculateur!V144*Calculateur!X144*VLOOKUP('Données projet'!$B$9,Paramètres!$A$1:$I$89,3,0)*0.475*44/12</f>
        <v>0.90138711801211224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6.1832211221774074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127.55710992710948</v>
      </c>
      <c r="AO144" s="59">
        <f t="shared" si="144"/>
        <v>417.43085823929903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5.5496453057849413</v>
      </c>
      <c r="AV144" s="21">
        <f>EXP(-LN(2)/25)*AV143+(1-EXP(-LN(2)/25))/(LN(2)/25)*Calculateur!AQ144*Calculateur!AS144*VLOOKUP('Données projet'!$B$10,Paramètres!$A$1:$I$89,3,0)*0.475*44/12</f>
        <v>0.94709125357328805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6.4967365593582294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123.48243581061803</v>
      </c>
      <c r="BJ144" s="59">
        <f t="shared" si="146"/>
        <v>405.05940798527138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5.3844772907318204</v>
      </c>
      <c r="BQ144" s="21">
        <f>EXP(-LN(2)/25)*BQ143+(1-EXP(-LN(2)/25))/(LN(2)/25)*Calculateur!BL144*Calculateur!BN144*VLOOKUP('Données projet'!$B$11,Paramètres!$A$1:$I$89,3,0)*0.475*44/12</f>
        <v>0.91890401388360643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6.303381304615427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156.72204844493132</v>
      </c>
      <c r="CE144" s="59">
        <f t="shared" si="148"/>
        <v>377.72061016381247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5.0198677904778188</v>
      </c>
      <c r="CL144" s="21">
        <f>EXP(-LN(2)/25)*CL143+(1-EXP(-LN(2)/25))/(LN(2)/25)*Calculateur!CG144*Calculateur!CI144*VLOOKUP('Données projet'!$B$12,Paramètres!$A$1:$I$89,3,0)*0.475*44/12</f>
        <v>0.85668049334611795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5.8765482838239365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88.170414732964616</v>
      </c>
      <c r="CZ144" s="59">
        <f t="shared" si="150"/>
        <v>281.30515544919626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3.7388193520094899</v>
      </c>
      <c r="DG144" s="21">
        <f>EXP(-LN(2)/25)*DG143+(1-EXP(-LN(2)/25))/(LN(2)/25)*Calculateur!DB144*Calculateur!DD144*VLOOKUP('Données projet'!$B$13,Paramètres!$A$1:$I$89,3,0)*0.475*44/12</f>
        <v>0.63805935548486459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4.3768787074943543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88.170414732964616</v>
      </c>
      <c r="DU144" s="59">
        <f t="shared" si="152"/>
        <v>281.30515544919626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3.7388193520094899</v>
      </c>
      <c r="EB144" s="21">
        <f>EXP(-LN(2)/25)*EB143+(1-EXP(-LN(2)/25))/(LN(2)/25)*Calculateur!DW144*Calculateur!DY144*VLOOKUP('Données projet'!$B$14,Paramètres!$A$1:$I$89,3,0)*0.475*44/12</f>
        <v>0.63805935548486459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4.3768787074943543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137.88008535757092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1248.7784836735391</v>
      </c>
      <c r="H145" s="67">
        <f t="shared" si="110"/>
        <v>754.28585371217559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167.42995526007479</v>
      </c>
      <c r="T145" s="59">
        <f t="shared" si="142"/>
        <v>397.36718389105215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5.1782604609442489</v>
      </c>
      <c r="AA145" s="21">
        <f>EXP(-LN(2)/25)*AA144+(1-EXP(-LN(2)/25))/(LN(2)/25)*Calculateur!V145*Calculateur!X145*VLOOKUP('Données projet'!$B$9,Paramètres!$A$1:$I$89,3,0)*0.475*44/12</f>
        <v>0.87673863986818268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6.0549991008124318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127.55710992710948</v>
      </c>
      <c r="AO145" s="59">
        <f t="shared" si="144"/>
        <v>417.43085823929903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5.4408201462878996</v>
      </c>
      <c r="AV145" s="21">
        <f>EXP(-LN(2)/25)*AV144+(1-EXP(-LN(2)/25))/(LN(2)/25)*Calculateur!AQ145*Calculateur!AS145*VLOOKUP('Données projet'!$B$10,Paramètres!$A$1:$I$89,3,0)*0.475*44/12</f>
        <v>0.9211929934389621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6.3620131397268613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123.48243581061803</v>
      </c>
      <c r="BJ145" s="59">
        <f t="shared" si="146"/>
        <v>405.05940798527138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5.2788909752674282</v>
      </c>
      <c r="BQ145" s="21">
        <f>EXP(-LN(2)/25)*BQ144+(1-EXP(-LN(2)/25))/(LN(2)/25)*Calculateur!BL145*Calculateur!BN145*VLOOKUP('Données projet'!$B$11,Paramètres!$A$1:$I$89,3,0)*0.475*44/12</f>
        <v>0.89377653530089729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6.172667510568326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156.72204844493132</v>
      </c>
      <c r="CE145" s="59">
        <f t="shared" si="148"/>
        <v>377.72061016381247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4.9214312449235713</v>
      </c>
      <c r="CL145" s="21">
        <f>EXP(-LN(2)/25)*CL144+(1-EXP(-LN(2)/25))/(LN(2)/25)*Calculateur!CG145*Calculateur!CI145*VLOOKUP('Données projet'!$B$12,Paramètres!$A$1:$I$89,3,0)*0.475*44/12</f>
        <v>0.83325452020469915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5.7546857651282703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88.170414732964616</v>
      </c>
      <c r="CZ145" s="59">
        <f t="shared" si="150"/>
        <v>281.30515544919626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3.6655033849712124</v>
      </c>
      <c r="DG145" s="21">
        <f>EXP(-LN(2)/25)*DG144+(1-EXP(-LN(2)/25))/(LN(2)/25)*Calculateur!DB145*Calculateur!DD145*VLOOKUP('Données projet'!$B$13,Paramètres!$A$1:$I$89,3,0)*0.475*44/12</f>
        <v>0.62061158885504775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4.2861149738262601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88.170414732964616</v>
      </c>
      <c r="DU145" s="59">
        <f t="shared" si="152"/>
        <v>281.30515544919626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3.6655033849712124</v>
      </c>
      <c r="EB145" s="21">
        <f>EXP(-LN(2)/25)*EB144+(1-EXP(-LN(2)/25))/(LN(2)/25)*Calculateur!DW145*Calculateur!DY145*VLOOKUP('Données projet'!$B$14,Paramètres!$A$1:$I$89,3,0)*0.475*44/12</f>
        <v>0.62061158885504775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4.2861149738262601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137.91686113719794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1257.2332909765291</v>
      </c>
      <c r="H146" s="67">
        <f t="shared" si="110"/>
        <v>756.19346960991265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167.42995526007479</v>
      </c>
      <c r="T146" s="59">
        <f t="shared" si="142"/>
        <v>397.36718389105215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5.0767179317321443</v>
      </c>
      <c r="AA146" s="21">
        <f>EXP(-LN(2)/25)*AA145+(1-EXP(-LN(2)/25))/(LN(2)/25)*Calculateur!V146*Calculateur!X146*VLOOKUP('Données projet'!$B$9,Paramètres!$A$1:$I$89,3,0)*0.475*44/12</f>
        <v>0.85276417565530593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5.9294821073874502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127.55710992710948</v>
      </c>
      <c r="AO146" s="59">
        <f t="shared" si="144"/>
        <v>417.43085823929903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5.3341289817918014</v>
      </c>
      <c r="AV146" s="21">
        <f>EXP(-LN(2)/25)*AV145+(1-EXP(-LN(2)/25))/(LN(2)/25)*Calculateur!AQ146*Calculateur!AS146*VLOOKUP('Données projet'!$B$10,Paramètres!$A$1:$I$89,3,0)*0.475*44/12</f>
        <v>0.89600292258993952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6.2301319043817411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123.48243581061803</v>
      </c>
      <c r="BJ146" s="59">
        <f t="shared" si="146"/>
        <v>405.05940798527138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5.1753751430479991</v>
      </c>
      <c r="BQ146" s="21">
        <f>EXP(-LN(2)/25)*BQ145+(1-EXP(-LN(2)/25))/(LN(2)/25)*Calculateur!BL146*Calculateur!BN146*VLOOKUP('Données projet'!$B$11,Paramètres!$A$1:$I$89,3,0)*0.475*44/12</f>
        <v>0.86933616894142907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6.0447113119894285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156.72204844493132</v>
      </c>
      <c r="CE146" s="59">
        <f t="shared" si="148"/>
        <v>377.72061016381247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4.8249249799872791</v>
      </c>
      <c r="CL146" s="21">
        <f>EXP(-LN(2)/25)*CL145+(1-EXP(-LN(2)/25))/(LN(2)/25)*Calculateur!CG146*Calculateur!CI146*VLOOKUP('Données projet'!$B$12,Paramètres!$A$1:$I$89,3,0)*0.475*44/12</f>
        <v>0.81046913153075084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5.6353941115180302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88.170414732964616</v>
      </c>
      <c r="CZ146" s="59">
        <f t="shared" si="150"/>
        <v>281.30515544919626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3.5936250993282313</v>
      </c>
      <c r="DG146" s="21">
        <f>EXP(-LN(2)/25)*DG145+(1-EXP(-LN(2)/25))/(LN(2)/25)*Calculateur!DB146*Calculateur!DD146*VLOOKUP('Données projet'!$B$13,Paramètres!$A$1:$I$89,3,0)*0.475*44/12</f>
        <v>0.60364093232126148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4.1972660316494927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88.170414732964616</v>
      </c>
      <c r="DU146" s="59">
        <f t="shared" si="152"/>
        <v>281.30515544919626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3.5936250993282313</v>
      </c>
      <c r="EB146" s="21">
        <f>EXP(-LN(2)/25)*EB145+(1-EXP(-LN(2)/25))/(LN(2)/25)*Calculateur!DW146*Calculateur!DY146*VLOOKUP('Données projet'!$B$14,Paramètres!$A$1:$I$89,3,0)*0.475*44/12</f>
        <v>0.60364093232126148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4.1972660316494927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137.95299893926676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1265.6868039003348</v>
      </c>
      <c r="H147" s="67">
        <f t="shared" si="110"/>
        <v>758.10079346334646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167.42995526007479</v>
      </c>
      <c r="T147" s="59">
        <f t="shared" si="142"/>
        <v>397.36718389105215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4.9771665895830619</v>
      </c>
      <c r="AA147" s="21">
        <f>EXP(-LN(2)/25)*AA146+(1-EXP(-LN(2)/25))/(LN(2)/25)*Calculateur!V147*Calculateur!X147*VLOOKUP('Données projet'!$B$9,Paramètres!$A$1:$I$89,3,0)*0.475*44/12</f>
        <v>0.82944529442709258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5.8066118840101542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127.55710992710948</v>
      </c>
      <c r="AO147" s="59">
        <f t="shared" si="144"/>
        <v>417.43085823929903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5.2295299659562868</v>
      </c>
      <c r="AV147" s="21">
        <f>EXP(-LN(2)/25)*AV146+(1-EXP(-LN(2)/25))/(LN(2)/25)*Calculateur!AQ147*Calculateur!AS147*VLOOKUP('Données projet'!$B$10,Paramètres!$A$1:$I$89,3,0)*0.475*44/12</f>
        <v>0.87150167555297176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6.1010316415092589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123.48243581061803</v>
      </c>
      <c r="BJ147" s="59">
        <f t="shared" si="146"/>
        <v>405.05940798527138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5.0738891931599701</v>
      </c>
      <c r="BQ147" s="21">
        <f>EXP(-LN(2)/25)*BQ146+(1-EXP(-LN(2)/25))/(LN(2)/25)*Calculateur!BL147*Calculateur!BN147*VLOOKUP('Données projet'!$B$11,Paramètres!$A$1:$I$89,3,0)*0.475*44/12</f>
        <v>0.84556412568532346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5.919453318845294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156.72204844493132</v>
      </c>
      <c r="CE147" s="59">
        <f t="shared" si="148"/>
        <v>377.72061016381247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4.7303111440433776</v>
      </c>
      <c r="CL147" s="21">
        <f>EXP(-LN(2)/25)*CL146+(1-EXP(-LN(2)/25))/(LN(2)/25)*Calculateur!CG147*Calculateur!CI147*VLOOKUP('Données projet'!$B$12,Paramètres!$A$1:$I$89,3,0)*0.475*44/12</f>
        <v>0.78830681050832319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5.5186179545517007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88.170414732964616</v>
      </c>
      <c r="CZ147" s="59">
        <f t="shared" si="150"/>
        <v>281.30515544919626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3.5231563030252837</v>
      </c>
      <c r="DG147" s="21">
        <f>EXP(-LN(2)/25)*DG146+(1-EXP(-LN(2)/25))/(LN(2)/25)*Calculateur!DB147*Calculateur!DD147*VLOOKUP('Données projet'!$B$13,Paramètres!$A$1:$I$89,3,0)*0.475*44/12</f>
        <v>0.58713433928283965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4.1102906423081231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88.170414732964616</v>
      </c>
      <c r="DU147" s="59">
        <f t="shared" si="152"/>
        <v>281.30515544919626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3.5231563030252837</v>
      </c>
      <c r="EB147" s="21">
        <f>EXP(-LN(2)/25)*EB146+(1-EXP(-LN(2)/25))/(LN(2)/25)*Calculateur!DW147*Calculateur!DY147*VLOOKUP('Données projet'!$B$14,Paramètres!$A$1:$I$89,3,0)*0.475*44/12</f>
        <v>0.58713433928283965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4.1102906423081231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137.98850983126169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1274.1390324760969</v>
      </c>
      <c r="H148" s="67">
        <f t="shared" si="110"/>
        <v>760.00782753575277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167.42995526007479</v>
      </c>
      <c r="T148" s="59">
        <f t="shared" si="142"/>
        <v>397.36718389105215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4.8795673885332</v>
      </c>
      <c r="AA148" s="21">
        <f>EXP(-LN(2)/25)*AA147+(1-EXP(-LN(2)/25))/(LN(2)/25)*Calculateur!V148*Calculateur!X148*VLOOKUP('Données projet'!$B$9,Paramètres!$A$1:$I$89,3,0)*0.475*44/12</f>
        <v>0.80676406923235144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5.6863314577655517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127.55710992710948</v>
      </c>
      <c r="AO148" s="59">
        <f t="shared" si="144"/>
        <v>417.43085823929903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5.1269820730222069</v>
      </c>
      <c r="AV148" s="21">
        <f>EXP(-LN(2)/25)*AV147+(1-EXP(-LN(2)/25))/(LN(2)/25)*Calculateur!AQ148*Calculateur!AS148*VLOOKUP('Données projet'!$B$10,Paramètres!$A$1:$I$89,3,0)*0.475*44/12</f>
        <v>0.84767041640469443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5.9746524894269015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123.48243581061803</v>
      </c>
      <c r="BJ148" s="59">
        <f t="shared" si="146"/>
        <v>405.05940798527138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4.9743933208489279</v>
      </c>
      <c r="BQ148" s="21">
        <f>EXP(-LN(2)/25)*BQ147+(1-EXP(-LN(2)/25))/(LN(2)/25)*Calculateur!BL148*Calculateur!BN148*VLOOKUP('Données projet'!$B$11,Paramètres!$A$1:$I$89,3,0)*0.475*44/12</f>
        <v>0.82244213020217349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5.7968354510511011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156.72204844493132</v>
      </c>
      <c r="CE148" s="59">
        <f t="shared" si="148"/>
        <v>377.72061016381247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4.6375526277135943</v>
      </c>
      <c r="CL148" s="21">
        <f>EXP(-LN(2)/25)*CL147+(1-EXP(-LN(2)/25))/(LN(2)/25)*Calculateur!CG148*Calculateur!CI148*VLOOKUP('Données projet'!$B$12,Paramètres!$A$1:$I$89,3,0)*0.475*44/12</f>
        <v>0.7667505193197196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5.404303147033314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88.170414732964616</v>
      </c>
      <c r="CZ148" s="59">
        <f t="shared" si="150"/>
        <v>281.30515544919626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3.4540693568361154</v>
      </c>
      <c r="DG148" s="21">
        <f>EXP(-LN(2)/25)*DG147+(1-EXP(-LN(2)/25))/(LN(2)/25)*Calculateur!DB148*Calculateur!DD148*VLOOKUP('Données projet'!$B$13,Paramètres!$A$1:$I$89,3,0)*0.475*44/12</f>
        <v>0.57107911989909743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4.0251484767352128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88.170414732964616</v>
      </c>
      <c r="DU148" s="59">
        <f t="shared" si="152"/>
        <v>281.30515544919626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3.4540693568361154</v>
      </c>
      <c r="EB148" s="21">
        <f>EXP(-LN(2)/25)*EB147+(1-EXP(-LN(2)/25))/(LN(2)/25)*Calculateur!DW148*Calculateur!DY148*VLOOKUP('Données projet'!$B$14,Paramètres!$A$1:$I$89,3,0)*0.475*44/12</f>
        <v>0.57107911989909743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4.0251484767352128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138.02340468867098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1282.5899865885992</v>
      </c>
      <c r="H149" s="67">
        <f t="shared" si="110"/>
        <v>761.91457405738606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167.42995526007479</v>
      </c>
      <c r="T149" s="59">
        <f t="shared" si="142"/>
        <v>397.36718389105215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4.7838820482862916</v>
      </c>
      <c r="AA149" s="21">
        <f>EXP(-LN(2)/25)*AA148+(1-EXP(-LN(2)/25))/(LN(2)/25)*Calculateur!V149*Calculateur!X149*VLOOKUP('Données projet'!$B$9,Paramètres!$A$1:$I$89,3,0)*0.475*44/12</f>
        <v>0.7847030633333143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5.5685851116196057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127.55710992710948</v>
      </c>
      <c r="AO149" s="59">
        <f t="shared" si="144"/>
        <v>417.43085823929903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5.0264450817205253</v>
      </c>
      <c r="AV149" s="21">
        <f>EXP(-LN(2)/25)*AV148+(1-EXP(-LN(2)/25))/(LN(2)/25)*Calculateur!AQ149*Calculateur!AS149*VLOOKUP('Données projet'!$B$10,Paramètres!$A$1:$I$89,3,0)*0.475*44/12</f>
        <v>0.82449082429105824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5.8509359060115838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123.48243581061803</v>
      </c>
      <c r="BJ149" s="59">
        <f t="shared" si="146"/>
        <v>405.05940798527138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4.8768485019074159</v>
      </c>
      <c r="BQ149" s="21">
        <f>EXP(-LN(2)/25)*BQ148+(1-EXP(-LN(2)/25))/(LN(2)/25)*Calculateur!BL149*Calculateur!BN149*VLOOKUP('Données projet'!$B$11,Paramètres!$A$1:$I$89,3,0)*0.475*44/12</f>
        <v>0.7999524069014432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5.6768009088088593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156.72204844493132</v>
      </c>
      <c r="CE149" s="59">
        <f t="shared" si="148"/>
        <v>377.72061016381247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4.5466130493119294</v>
      </c>
      <c r="CL149" s="21">
        <f>EXP(-LN(2)/25)*CL148+(1-EXP(-LN(2)/25))/(LN(2)/25)*Calculateur!CG149*Calculateur!CI149*VLOOKUP('Données projet'!$B$12,Paramètres!$A$1:$I$89,3,0)*0.475*44/12</f>
        <v>0.74578368604726453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5.2923967353591941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88.170414732964616</v>
      </c>
      <c r="CZ149" s="59">
        <f t="shared" si="150"/>
        <v>281.30515544919626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3.3863371635228403</v>
      </c>
      <c r="DG149" s="21">
        <f>EXP(-LN(2)/25)*DG148+(1-EXP(-LN(2)/25))/(LN(2)/25)*Calculateur!DB149*Calculateur!DD149*VLOOKUP('Données projet'!$B$13,Paramètres!$A$1:$I$89,3,0)*0.475*44/12</f>
        <v>0.55546293133371094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3.9418000948565513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88.170414732964616</v>
      </c>
      <c r="DU149" s="59">
        <f t="shared" si="152"/>
        <v>281.30515544919626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3.3863371635228403</v>
      </c>
      <c r="EB149" s="21">
        <f>EXP(-LN(2)/25)*EB148+(1-EXP(-LN(2)/25))/(LN(2)/25)*Calculateur!DW149*Calculateur!DY149*VLOOKUP('Données projet'!$B$14,Paramètres!$A$1:$I$89,3,0)*0.475*44/12</f>
        <v>0.55546293133371094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3.9418000948565513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138.05769419831745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1291.0396759793898</v>
      </c>
      <c r="H150" s="67">
        <f t="shared" si="110"/>
        <v>763.82103522618308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167.42995526007479</v>
      </c>
      <c r="T150" s="59">
        <f t="shared" si="142"/>
        <v>397.36718389105215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4.6900730391993299</v>
      </c>
      <c r="AA150" s="21">
        <f>EXP(-LN(2)/25)*AA149+(1-EXP(-LN(2)/25))/(LN(2)/25)*Calculateur!V150*Calculateur!X150*VLOOKUP('Données projet'!$B$9,Paramètres!$A$1:$I$89,3,0)*0.475*44/12</f>
        <v>0.76324531680072416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5.4533183560000538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127.55710992710948</v>
      </c>
      <c r="AO150" s="59">
        <f t="shared" si="144"/>
        <v>417.43085823929903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4.9278795594967599</v>
      </c>
      <c r="AV150" s="21">
        <f>EXP(-LN(2)/25)*AV149+(1-EXP(-LN(2)/25))/(LN(2)/25)*Calculateur!AQ150*Calculateur!AS150*VLOOKUP('Données projet'!$B$10,Paramètres!$A$1:$I$89,3,0)*0.475*44/12</f>
        <v>0.80194507934273118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5.7298246388394913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123.48243581061803</v>
      </c>
      <c r="BJ150" s="59">
        <f t="shared" si="146"/>
        <v>405.05940798527138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4.7812164773688819</v>
      </c>
      <c r="BQ150" s="21">
        <f>EXP(-LN(2)/25)*BQ149+(1-EXP(-LN(2)/25))/(LN(2)/25)*Calculateur!BL150*Calculateur!BN150*VLOOKUP('Données projet'!$B$11,Paramètres!$A$1:$I$89,3,0)*0.475*44/12</f>
        <v>0.77807766626705444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5.5592941436359364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156.72204844493132</v>
      </c>
      <c r="CE150" s="59">
        <f t="shared" si="148"/>
        <v>377.72061016381247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4.457456740575056</v>
      </c>
      <c r="CL150" s="21">
        <f>EXP(-LN(2)/25)*CL149+(1-EXP(-LN(2)/25))/(LN(2)/25)*Calculateur!CG150*Calculateur!CI150*VLOOKUP('Données projet'!$B$12,Paramètres!$A$1:$I$89,3,0)*0.475*44/12</f>
        <v>0.7253901919332425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5.1828469325082986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88.170414732964616</v>
      </c>
      <c r="CZ150" s="59">
        <f t="shared" si="150"/>
        <v>281.30515544919626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3.3199331572078798</v>
      </c>
      <c r="DG150" s="21">
        <f>EXP(-LN(2)/25)*DG149+(1-EXP(-LN(2)/25))/(LN(2)/25)*Calculateur!DB150*Calculateur!DD150*VLOOKUP('Données projet'!$B$13,Paramètres!$A$1:$I$89,3,0)*0.475*44/12</f>
        <v>0.5402737682658646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3.8602069254737446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88.170414732964616</v>
      </c>
      <c r="DU150" s="59">
        <f t="shared" si="152"/>
        <v>281.30515544919626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3.3199331572078798</v>
      </c>
      <c r="EB150" s="21">
        <f>EXP(-LN(2)/25)*EB149+(1-EXP(-LN(2)/25))/(LN(2)/25)*Calculateur!DW150*Calculateur!DY150*VLOOKUP('Données projet'!$B$14,Paramètres!$A$1:$I$89,3,0)*0.475*44/12</f>
        <v>0.5402737682658646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3.8602069254737446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138.0913888616314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1299.4881102498175</v>
      </c>
      <c r="H151" s="67">
        <f t="shared" si="110"/>
        <v>765.72721320844835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167.42995526007479</v>
      </c>
      <c r="T151" s="59">
        <f t="shared" si="142"/>
        <v>397.36718389105215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4.5981035675627178</v>
      </c>
      <c r="AA151" s="21">
        <f>EXP(-LN(2)/25)*AA150+(1-EXP(-LN(2)/25))/(LN(2)/25)*Calculateur!V151*Calculateur!X151*VLOOKUP('Données projet'!$B$9,Paramètres!$A$1:$I$89,3,0)*0.475*44/12</f>
        <v>0.74237433347548154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5.3404779010381995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127.55710992710948</v>
      </c>
      <c r="AO151" s="59">
        <f t="shared" si="144"/>
        <v>417.43085823929903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4.8312468470447705</v>
      </c>
      <c r="AV151" s="21">
        <f>EXP(-LN(2)/25)*AV150+(1-EXP(-LN(2)/25))/(LN(2)/25)*Calculateur!AQ151*Calculateur!AS151*VLOOKUP('Données projet'!$B$10,Paramètres!$A$1:$I$89,3,0)*0.475*44/12</f>
        <v>0.78001584897564535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5.6112626960204155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123.48243581061803</v>
      </c>
      <c r="BJ151" s="59">
        <f t="shared" si="146"/>
        <v>405.05940798527138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4.6874597385017731</v>
      </c>
      <c r="BQ151" s="21">
        <f>EXP(-LN(2)/25)*BQ150+(1-EXP(-LN(2)/25))/(LN(2)/25)*Calculateur!BL151*Calculateur!BN151*VLOOKUP('Données projet'!$B$11,Paramètres!$A$1:$I$89,3,0)*0.475*44/12</f>
        <v>0.75680109156565567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5.4442608300674289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156.72204844493132</v>
      </c>
      <c r="CE151" s="59">
        <f t="shared" si="148"/>
        <v>377.72061016381247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4.3700487326725339</v>
      </c>
      <c r="CL151" s="21">
        <f>EXP(-LN(2)/25)*CL150+(1-EXP(-LN(2)/25))/(LN(2)/25)*Calculateur!CG151*Calculateur!CI151*VLOOKUP('Données projet'!$B$12,Paramètres!$A$1:$I$89,3,0)*0.475*44/12</f>
        <v>0.70555435898821572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5.0756030916607493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88.170414732964616</v>
      </c>
      <c r="CZ151" s="59">
        <f t="shared" si="150"/>
        <v>281.30515544919626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3.2548312929543113</v>
      </c>
      <c r="DG151" s="21">
        <f>EXP(-LN(2)/25)*DG150+(1-EXP(-LN(2)/25))/(LN(2)/25)*Calculateur!DB151*Calculateur!DD151*VLOOKUP('Données projet'!$B$13,Paramètres!$A$1:$I$89,3,0)*0.475*44/12</f>
        <v>0.52549995366087188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3.7803312466151833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88.170414732964616</v>
      </c>
      <c r="DU151" s="59">
        <f t="shared" si="152"/>
        <v>281.30515544919626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3.2548312929543113</v>
      </c>
      <c r="EB151" s="21">
        <f>EXP(-LN(2)/25)*EB150+(1-EXP(-LN(2)/25))/(LN(2)/25)*Calculateur!DW151*Calculateur!DY151*VLOOKUP('Données projet'!$B$14,Paramètres!$A$1:$I$89,3,0)*0.475*44/12</f>
        <v>0.52549995366087188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3.7803312466151833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138.12449899786682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1307.9352988639826</v>
      </c>
      <c r="H152" s="67">
        <f t="shared" si="110"/>
        <v>767.63311013951943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167.42995526007479</v>
      </c>
      <c r="T152" s="59">
        <f t="shared" si="142"/>
        <v>397.36718389105215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4.5079375611690615</v>
      </c>
      <c r="AA152" s="21">
        <f>EXP(-LN(2)/25)*AA151+(1-EXP(-LN(2)/25))/(LN(2)/25)*Calculateur!V152*Calculateur!X152*VLOOKUP('Données projet'!$B$9,Paramètres!$A$1:$I$89,3,0)*0.475*44/12</f>
        <v>0.72207406828682497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5.2300116294558867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127.55710992710948</v>
      </c>
      <c r="AO152" s="59">
        <f t="shared" si="144"/>
        <v>417.43085823929903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4.7365090431438297</v>
      </c>
      <c r="AV152" s="21">
        <f>EXP(-LN(2)/25)*AV151+(1-EXP(-LN(2)/25))/(LN(2)/25)*Calculateur!AQ152*Calculateur!AS152*VLOOKUP('Données projet'!$B$10,Paramètres!$A$1:$I$89,3,0)*0.475*44/12</f>
        <v>0.75868627456615556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5.4951953177099853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123.48243581061803</v>
      </c>
      <c r="BJ152" s="59">
        <f t="shared" si="146"/>
        <v>405.05940798527138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4.595541512097884</v>
      </c>
      <c r="BQ152" s="21">
        <f>EXP(-LN(2)/25)*BQ151+(1-EXP(-LN(2)/25))/(LN(2)/25)*Calculateur!BL152*Calculateur!BN152*VLOOKUP('Données projet'!$B$11,Paramètres!$A$1:$I$89,3,0)*0.475*44/12</f>
        <v>0.73610632591835312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5.3316478380162371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156.72204844493132</v>
      </c>
      <c r="CE152" s="59">
        <f t="shared" si="148"/>
        <v>377.72061016381247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4.2843547424913595</v>
      </c>
      <c r="CL152" s="21">
        <f>EXP(-LN(2)/25)*CL151+(1-EXP(-LN(2)/25))/(LN(2)/25)*Calculateur!CG152*Calculateur!CI152*VLOOKUP('Données projet'!$B$12,Paramètres!$A$1:$I$89,3,0)*0.475*44/12</f>
        <v>0.68626093793819176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4.9706156804295514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88.170414732964616</v>
      </c>
      <c r="CZ152" s="59">
        <f t="shared" si="150"/>
        <v>281.30515544919626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3.1910060365505388</v>
      </c>
      <c r="DG152" s="21">
        <f>EXP(-LN(2)/25)*DG151+(1-EXP(-LN(2)/25))/(LN(2)/25)*Calculateur!DB152*Calculateur!DD152*VLOOKUP('Données projet'!$B$13,Paramètres!$A$1:$I$89,3,0)*0.475*44/12</f>
        <v>0.51113012979317385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3.7021361663437125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88.170414732964616</v>
      </c>
      <c r="DU152" s="59">
        <f t="shared" si="152"/>
        <v>281.30515544919626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3.1910060365505388</v>
      </c>
      <c r="EB152" s="21">
        <f>EXP(-LN(2)/25)*EB151+(1-EXP(-LN(2)/25))/(LN(2)/25)*Calculateur!DW152*Calculateur!DY152*VLOOKUP('Données projet'!$B$14,Paramètres!$A$1:$I$89,3,0)*0.475*44/12</f>
        <v>0.51113012979317385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3.7021361663437125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138.15703474726175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1316.3812511516078</v>
      </c>
      <c r="H153" s="67">
        <f t="shared" si="110"/>
        <v>769.53872812441477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167.42995526007479</v>
      </c>
      <c r="T153" s="59">
        <f t="shared" si="142"/>
        <v>397.36718389105215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4.4195396551649511</v>
      </c>
      <c r="AA153" s="21">
        <f>EXP(-LN(2)/25)*AA152+(1-EXP(-LN(2)/25))/(LN(2)/25)*Calculateur!V153*Calculateur!X153*VLOOKUP('Données projet'!$B$9,Paramètres!$A$1:$I$89,3,0)*0.475*44/12</f>
        <v>0.70232891491729676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5.1218685700822482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127.55710992710948</v>
      </c>
      <c r="AO153" s="59">
        <f t="shared" si="144"/>
        <v>417.43085823929903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4.6436289897930321</v>
      </c>
      <c r="AV153" s="21">
        <f>EXP(-LN(2)/25)*AV152+(1-EXP(-LN(2)/25))/(LN(2)/25)*Calculateur!AQ153*Calculateur!AS153*VLOOKUP('Données projet'!$B$10,Paramètres!$A$1:$I$89,3,0)*0.475*44/12</f>
        <v>0.73793995849056682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5.3815689482835989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123.48243581061803</v>
      </c>
      <c r="BJ153" s="59">
        <f t="shared" si="146"/>
        <v>405.05940798527138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4.5054257460491929</v>
      </c>
      <c r="BQ153" s="21">
        <f>EXP(-LN(2)/25)*BQ152+(1-EXP(-LN(2)/25))/(LN(2)/25)*Calculateur!BL153*Calculateur!BN153*VLOOKUP('Données projet'!$B$11,Paramètres!$A$1:$I$89,3,0)*0.475*44/12</f>
        <v>0.71597745972596649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5.2214032057751592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156.72204844493132</v>
      </c>
      <c r="CE153" s="59">
        <f t="shared" si="148"/>
        <v>377.72061016381247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4.200341159189465</v>
      </c>
      <c r="CL153" s="21">
        <f>EXP(-LN(2)/25)*CL152+(1-EXP(-LN(2)/25))/(LN(2)/25)*Calculateur!CG153*Calculateur!CI153*VLOOKUP('Données projet'!$B$12,Paramètres!$A$1:$I$89,3,0)*0.475*44/12</f>
        <v>0.66749509650137762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4.8678362556908423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88.170414732964616</v>
      </c>
      <c r="CZ153" s="59">
        <f t="shared" si="150"/>
        <v>281.30515544919626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3.1284323544952817</v>
      </c>
      <c r="DG153" s="21">
        <f>EXP(-LN(2)/25)*DG152+(1-EXP(-LN(2)/25))/(LN(2)/25)*Calculateur!DB153*Calculateur!DD153*VLOOKUP('Données projet'!$B$13,Paramètres!$A$1:$I$89,3,0)*0.475*44/12</f>
        <v>0.49715324951481421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3.6255856040100958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88.170414732964616</v>
      </c>
      <c r="DU153" s="59">
        <f t="shared" si="152"/>
        <v>281.30515544919626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3.1284323544952817</v>
      </c>
      <c r="EB153" s="21">
        <f>EXP(-LN(2)/25)*EB152+(1-EXP(-LN(2)/25))/(LN(2)/25)*Calculateur!DW153*Calculateur!DY153*VLOOKUP('Données projet'!$B$14,Paramètres!$A$1:$I$89,3,0)*0.475*44/12</f>
        <v>0.49715324951481421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3.6255856040100958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138.18900607414372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1324.8259763108263</v>
      </c>
      <c r="H154" s="67">
        <f t="shared" si="110"/>
        <v>771.4440692384635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167.42995526007479</v>
      </c>
      <c r="T154" s="59">
        <f t="shared" si="142"/>
        <v>397.36718389105215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4.3328751781801822</v>
      </c>
      <c r="AA154" s="21">
        <f>EXP(-LN(2)/25)*AA153+(1-EXP(-LN(2)/25))/(LN(2)/25)*Calculateur!V154*Calculateur!X154*VLOOKUP('Données projet'!$B$9,Paramètres!$A$1:$I$89,3,0)*0.475*44/12</f>
        <v>0.68312369380501081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5.0159988719851931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127.55710992710948</v>
      </c>
      <c r="AO154" s="59">
        <f t="shared" si="144"/>
        <v>417.43085823929903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4.5525702576372051</v>
      </c>
      <c r="AV154" s="21">
        <f>EXP(-LN(2)/25)*AV153+(1-EXP(-LN(2)/25))/(LN(2)/25)*Calculateur!AQ154*Calculateur!AS154*VLOOKUP('Données projet'!$B$10,Paramètres!$A$1:$I$89,3,0)*0.475*44/12</f>
        <v>0.71776095151906638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5.2703312091562715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123.48243581061803</v>
      </c>
      <c r="BJ154" s="59">
        <f t="shared" si="146"/>
        <v>405.05940798527138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4.4170770952075271</v>
      </c>
      <c r="BQ154" s="21">
        <f>EXP(-LN(2)/25)*BQ153+(1-EXP(-LN(2)/25))/(LN(2)/25)*Calculateur!BL154*Calculateur!BN154*VLOOKUP('Données projet'!$B$11,Paramètres!$A$1:$I$89,3,0)*0.475*44/12</f>
        <v>0.69639901843814167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5.1134761136456692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156.72204844493132</v>
      </c>
      <c r="CE154" s="59">
        <f t="shared" si="148"/>
        <v>377.72061016381247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4.1179750310128949</v>
      </c>
      <c r="CL154" s="21">
        <f>EXP(-LN(2)/25)*CL153+(1-EXP(-LN(2)/25))/(LN(2)/25)*Calculateur!CG154*Calculateur!CI154*VLOOKUP('Données projet'!$B$12,Paramètres!$A$1:$I$89,3,0)*0.475*44/12</f>
        <v>0.64924240798550592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4.7672174389984008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88.170414732964616</v>
      </c>
      <c r="CZ154" s="59">
        <f t="shared" si="150"/>
        <v>281.30515544919626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3.0670857041789508</v>
      </c>
      <c r="DG154" s="21">
        <f>EXP(-LN(2)/25)*DG153+(1-EXP(-LN(2)/25))/(LN(2)/25)*Calculateur!DB154*Calculateur!DD154*VLOOKUP('Données projet'!$B$13,Paramètres!$A$1:$I$89,3,0)*0.475*44/12</f>
        <v>0.48355856776267847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3.5506442719416293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88.170414732964616</v>
      </c>
      <c r="DU154" s="59">
        <f t="shared" si="152"/>
        <v>281.30515544919626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3.0670857041789508</v>
      </c>
      <c r="EB154" s="21">
        <f>EXP(-LN(2)/25)*EB153+(1-EXP(-LN(2)/25))/(LN(2)/25)*Calculateur!DW154*Calculateur!DY154*VLOOKUP('Données projet'!$B$14,Paramètres!$A$1:$I$89,3,0)*0.475*44/12</f>
        <v>0.48355856776267847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3.5506442719416293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138.22042276998144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1333.2694834108984</v>
      </c>
      <c r="H155" s="67">
        <f t="shared" si="110"/>
        <v>773.34913552791727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167.42995526007479</v>
      </c>
      <c r="T155" s="59">
        <f t="shared" si="142"/>
        <v>397.36718389105215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4.2479101387289733</v>
      </c>
      <c r="AA155" s="21">
        <f>EXP(-LN(2)/25)*AA154+(1-EXP(-LN(2)/25))/(LN(2)/25)*Calculateur!V155*Calculateur!X155*VLOOKUP('Données projet'!$B$9,Paramètres!$A$1:$I$89,3,0)*0.475*44/12</f>
        <v>0.66444364047399906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4.9123537792029719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127.55710992710948</v>
      </c>
      <c r="AO155" s="59">
        <f t="shared" si="144"/>
        <v>417.43085823929903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4.463297131678611</v>
      </c>
      <c r="AV155" s="21">
        <f>EXP(-LN(2)/25)*AV154+(1-EXP(-LN(2)/25))/(LN(2)/25)*Calculateur!AQ155*Calculateur!AS155*VLOOKUP('Données projet'!$B$10,Paramètres!$A$1:$I$89,3,0)*0.475*44/12</f>
        <v>0.6981337405543695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5.1614308722329802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123.48243581061803</v>
      </c>
      <c r="BJ155" s="59">
        <f t="shared" si="146"/>
        <v>405.05940798527138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4.3304609075215099</v>
      </c>
      <c r="BQ155" s="21">
        <f>EXP(-LN(2)/25)*BQ154+(1-EXP(-LN(2)/25))/(LN(2)/25)*Calculateur!BL155*Calculateur!BN155*VLOOKUP('Données projet'!$B$11,Paramètres!$A$1:$I$89,3,0)*0.475*44/12</f>
        <v>0.67735595065691789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5.0078168581784279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156.72204844493132</v>
      </c>
      <c r="CE155" s="59">
        <f t="shared" si="148"/>
        <v>377.72061016381247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4.0372240523714895</v>
      </c>
      <c r="CL155" s="21">
        <f>EXP(-LN(2)/25)*CL154+(1-EXP(-LN(2)/25))/(LN(2)/25)*Calculateur!CG155*Calculateur!CI155*VLOOKUP('Données projet'!$B$12,Paramètres!$A$1:$I$89,3,0)*0.475*44/12</f>
        <v>0.63148884019696794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4.6687128925684576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88.170414732964616</v>
      </c>
      <c r="CZ155" s="59">
        <f t="shared" si="150"/>
        <v>281.30515544919626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3.0069420242575613</v>
      </c>
      <c r="DG155" s="21">
        <f>EXP(-LN(2)/25)*DG154+(1-EXP(-LN(2)/25))/(LN(2)/25)*Calculateur!DB155*Calculateur!DD155*VLOOKUP('Données projet'!$B$13,Paramètres!$A$1:$I$89,3,0)*0.475*44/12</f>
        <v>0.47033563329796813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3.4772776575555295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88.170414732964616</v>
      </c>
      <c r="DU155" s="59">
        <f t="shared" si="152"/>
        <v>281.30515544919626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3.0069420242575613</v>
      </c>
      <c r="EB155" s="21">
        <f>EXP(-LN(2)/25)*EB154+(1-EXP(-LN(2)/25))/(LN(2)/25)*Calculateur!DW155*Calculateur!DY155*VLOOKUP('Données projet'!$B$14,Paramètres!$A$1:$I$89,3,0)*0.475*44/12</f>
        <v>0.47033563329796813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3.4772776575555295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138.25129445638362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1341.7117813948528</v>
      </c>
      <c r="H156" s="67">
        <f t="shared" si="110"/>
        <v>775.25392901054693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167.42995526007479</v>
      </c>
      <c r="T156" s="59">
        <f t="shared" si="142"/>
        <v>397.36718389105215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4.1646112118778458</v>
      </c>
      <c r="AA156" s="21">
        <f>EXP(-LN(2)/25)*AA155+(1-EXP(-LN(2)/25))/(LN(2)/25)*Calculateur!V156*Calculateur!X156*VLOOKUP('Données projet'!$B$9,Paramètres!$A$1:$I$89,3,0)*0.475*44/12</f>
        <v>0.64627439418366517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4.8108856060615111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127.55710992710948</v>
      </c>
      <c r="AO156" s="59">
        <f t="shared" si="144"/>
        <v>417.43085823929903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4.3757745972688351</v>
      </c>
      <c r="AV156" s="21">
        <f>EXP(-LN(2)/25)*AV155+(1-EXP(-LN(2)/25))/(LN(2)/25)*Calculateur!AQ156*Calculateur!AS156*VLOOKUP('Données projet'!$B$10,Paramètres!$A$1:$I$89,3,0)*0.475*44/12</f>
        <v>0.67904323670565248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5.0548178339744876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123.48243581061803</v>
      </c>
      <c r="BJ156" s="59">
        <f t="shared" si="146"/>
        <v>405.05940798527138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4.2455432104453577</v>
      </c>
      <c r="BQ156" s="21">
        <f>EXP(-LN(2)/25)*BQ155+(1-EXP(-LN(2)/25))/(LN(2)/25)*Calculateur!BL156*Calculateur!BN156*VLOOKUP('Données projet'!$B$11,Paramètres!$A$1:$I$89,3,0)*0.475*44/12</f>
        <v>0.65883361656560313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4.9043768270109611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156.72204844493132</v>
      </c>
      <c r="CE156" s="59">
        <f t="shared" si="148"/>
        <v>377.72061016381247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3.9580565511680086</v>
      </c>
      <c r="CL156" s="21">
        <f>EXP(-LN(2)/25)*CL155+(1-EXP(-LN(2)/25))/(LN(2)/25)*Calculateur!CG156*Calculateur!CI156*VLOOKUP('Données projet'!$B$12,Paramètres!$A$1:$I$89,3,0)*0.475*44/12</f>
        <v>0.61422074465322707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4.5722772958212357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88.170414732964616</v>
      </c>
      <c r="CZ156" s="59">
        <f t="shared" si="150"/>
        <v>281.30515544919626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2.9479777252154076</v>
      </c>
      <c r="DG156" s="21">
        <f>EXP(-LN(2)/25)*DG155+(1-EXP(-LN(2)/25))/(LN(2)/25)*Calculateur!DB156*Calculateur!DD156*VLOOKUP('Données projet'!$B$13,Paramètres!$A$1:$I$89,3,0)*0.475*44/12</f>
        <v>0.45747428067155921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3.4054520058869668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88.170414732964616</v>
      </c>
      <c r="DU156" s="59">
        <f t="shared" si="152"/>
        <v>281.30515544919626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2.9479777252154076</v>
      </c>
      <c r="EB156" s="21">
        <f>EXP(-LN(2)/25)*EB155+(1-EXP(-LN(2)/25))/(LN(2)/25)*Calculateur!DW156*Calculateur!DY156*VLOOKUP('Données projet'!$B$14,Paramètres!$A$1:$I$89,3,0)*0.475*44/12</f>
        <v>0.45747428067155921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3.4054520058869668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138.28163058804546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1350.1528790820566</v>
      </c>
      <c r="H157" s="67">
        <f t="shared" si="110"/>
        <v>777.1584516762224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167.42995526007479</v>
      </c>
      <c r="T157" s="59">
        <f t="shared" si="142"/>
        <v>397.36718389105215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4.0829457261749402</v>
      </c>
      <c r="AA157" s="21">
        <f>EXP(-LN(2)/25)*AA156+(1-EXP(-LN(2)/25))/(LN(2)/25)*Calculateur!V157*Calculateur!X157*VLOOKUP('Données projet'!$B$9,Paramètres!$A$1:$I$89,3,0)*0.475*44/12</f>
        <v>0.62860198688861957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4.7115477130635597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127.55710992710948</v>
      </c>
      <c r="AO157" s="59">
        <f t="shared" si="144"/>
        <v>417.43085823929903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4.2899683263753596</v>
      </c>
      <c r="AV157" s="21">
        <f>EXP(-LN(2)/25)*AV156+(1-EXP(-LN(2)/25))/(LN(2)/25)*Calculateur!AQ157*Calculateur!AS157*VLOOKUP('Données projet'!$B$10,Paramètres!$A$1:$I$89,3,0)*0.475*44/12</f>
        <v>0.66047476368860458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4.9504430900639642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123.48243581061803</v>
      </c>
      <c r="BJ157" s="59">
        <f t="shared" si="146"/>
        <v>405.05940798527138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4.1622906976141882</v>
      </c>
      <c r="BQ157" s="21">
        <f>EXP(-LN(2)/25)*BQ156+(1-EXP(-LN(2)/25))/(LN(2)/25)*Calculateur!BL157*Calculateur!BN157*VLOOKUP('Données projet'!$B$11,Paramètres!$A$1:$I$89,3,0)*0.475*44/12</f>
        <v>0.64081777667406259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4.8031084742882513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156.72204844493132</v>
      </c>
      <c r="CE157" s="59">
        <f t="shared" si="148"/>
        <v>377.72061016381247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3.88044147637572</v>
      </c>
      <c r="CL157" s="21">
        <f>EXP(-LN(2)/25)*CL156+(1-EXP(-LN(2)/25))/(LN(2)/25)*Calculateur!CG157*Calculateur!CI157*VLOOKUP('Données projet'!$B$12,Paramètres!$A$1:$I$89,3,0)*0.475*44/12</f>
        <v>0.5974248460902194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4.477866322465939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88.170414732964616</v>
      </c>
      <c r="CZ157" s="59">
        <f t="shared" si="150"/>
        <v>281.30515544919626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2.8901696801127992</v>
      </c>
      <c r="DG157" s="21">
        <f>EXP(-LN(2)/25)*DG156+(1-EXP(-LN(2)/25))/(LN(2)/25)*Calculateur!DB157*Calculateur!DD157*VLOOKUP('Données projet'!$B$13,Paramètres!$A$1:$I$89,3,0)*0.475*44/12</f>
        <v>0.44496462240906859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3.3351343025218676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88.170414732964616</v>
      </c>
      <c r="DU157" s="59">
        <f t="shared" si="152"/>
        <v>281.30515544919626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2.8901696801127992</v>
      </c>
      <c r="EB157" s="21">
        <f>EXP(-LN(2)/25)*EB156+(1-EXP(-LN(2)/25))/(LN(2)/25)*Calculateur!DW157*Calculateur!DY157*VLOOKUP('Données projet'!$B$14,Paramètres!$A$1:$I$89,3,0)*0.475*44/12</f>
        <v>0.44496462240906859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3.3351343025218676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138.3114404556444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1358.5927851707172</v>
      </c>
      <c r="H158" s="67">
        <f t="shared" si="110"/>
        <v>779.06270548747648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167.42995526007479</v>
      </c>
      <c r="T158" s="59">
        <f t="shared" si="142"/>
        <v>397.36718389105215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4.0028816508356408</v>
      </c>
      <c r="AA158" s="21">
        <f>EXP(-LN(2)/25)*AA157+(1-EXP(-LN(2)/25))/(LN(2)/25)*Calculateur!V158*Calculateur!X158*VLOOKUP('Données projet'!$B$9,Paramètres!$A$1:$I$89,3,0)*0.475*44/12</f>
        <v>0.61141283250040845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4.6142944833360495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127.55710992710948</v>
      </c>
      <c r="AO158" s="59">
        <f t="shared" si="144"/>
        <v>417.43085823929903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4.2058446641174481</v>
      </c>
      <c r="AV158" s="21">
        <f>EXP(-LN(2)/25)*AV157+(1-EXP(-LN(2)/25))/(LN(2)/25)*Calculateur!AQ158*Calculateur!AS158*VLOOKUP('Données projet'!$B$10,Paramètres!$A$1:$I$89,3,0)*0.475*44/12</f>
        <v>0.64241404654268142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4.8482587106601294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123.48243581061803</v>
      </c>
      <c r="BJ158" s="59">
        <f t="shared" si="146"/>
        <v>405.05940798527138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4.0806707157806192</v>
      </c>
      <c r="BQ158" s="21">
        <f>EXP(-LN(2)/25)*BQ157+(1-EXP(-LN(2)/25))/(LN(2)/25)*Calculateur!BL158*Calculateur!BN158*VLOOKUP('Données projet'!$B$11,Paramètres!$A$1:$I$89,3,0)*0.475*44/12</f>
        <v>0.62329458087176803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4.7039652966523873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156.72204844493132</v>
      </c>
      <c r="CE158" s="59">
        <f t="shared" si="148"/>
        <v>377.72061016381247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3.804348385859587</v>
      </c>
      <c r="CL158" s="21">
        <f>EXP(-LN(2)/25)*CL157+(1-EXP(-LN(2)/25))/(LN(2)/25)*Calculateur!CG158*Calculateur!CI158*VLOOKUP('Données projet'!$B$12,Paramètres!$A$1:$I$89,3,0)*0.475*44/12</f>
        <v>0.58108823225667516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4.3854366181162625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88.170414732964616</v>
      </c>
      <c r="CZ158" s="59">
        <f t="shared" si="150"/>
        <v>281.30515544919626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2.8334952155152271</v>
      </c>
      <c r="DG158" s="21">
        <f>EXP(-LN(2)/25)*DG157+(1-EXP(-LN(2)/25))/(LN(2)/25)*Calculateur!DB158*Calculateur!DD158*VLOOKUP('Données projet'!$B$13,Paramètres!$A$1:$I$89,3,0)*0.475*44/12</f>
        <v>0.43279704140962011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3.2662922569248471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88.170414732964616</v>
      </c>
      <c r="DU158" s="59">
        <f t="shared" si="152"/>
        <v>281.30515544919626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2.8334952155152271</v>
      </c>
      <c r="EB158" s="21">
        <f>EXP(-LN(2)/25)*EB157+(1-EXP(-LN(2)/25))/(LN(2)/25)*Calculateur!DW158*Calculateur!DY158*VLOOKUP('Données projet'!$B$14,Paramètres!$A$1:$I$89,3,0)*0.475*44/12</f>
        <v>0.43279704140962011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3.2662922569248471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138.34073318868536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1367.0315082403165</v>
      </c>
      <c r="H159" s="67">
        <f t="shared" si="110"/>
        <v>780.96669238005484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167.42995526007479</v>
      </c>
      <c r="T159" s="59">
        <f t="shared" si="142"/>
        <v>397.36718389105215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3.924387583179481</v>
      </c>
      <c r="AA159" s="21">
        <f>EXP(-LN(2)/25)*AA158+(1-EXP(-LN(2)/25))/(LN(2)/25)*Calculateur!V159*Calculateur!X159*VLOOKUP('Données projet'!$B$9,Paramètres!$A$1:$I$89,3,0)*0.475*44/12</f>
        <v>0.59469371644288138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4.5190812996223624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127.55710992710948</v>
      </c>
      <c r="AO159" s="59">
        <f t="shared" si="144"/>
        <v>417.43085823929903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4.1233706155660466</v>
      </c>
      <c r="AV159" s="21">
        <f>EXP(-LN(2)/25)*AV158+(1-EXP(-LN(2)/25))/(LN(2)/25)*Calculateur!AQ159*Calculateur!AS159*VLOOKUP('Données projet'!$B$10,Paramètres!$A$1:$I$89,3,0)*0.475*44/12</f>
        <v>0.62484720065688537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4.7482178162229323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123.48243581061803</v>
      </c>
      <c r="BJ159" s="59">
        <f t="shared" si="146"/>
        <v>405.05940798527138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4.0006512520075335</v>
      </c>
      <c r="BQ159" s="21">
        <f>EXP(-LN(2)/25)*BQ158+(1-EXP(-LN(2)/25))/(LN(2)/25)*Calculateur!BL159*Calculateur!BN159*VLOOKUP('Données projet'!$B$11,Paramètres!$A$1:$I$89,3,0)*0.475*44/12</f>
        <v>0.6062505577801921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4.6069018097877255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156.72204844493132</v>
      </c>
      <c r="CE159" s="59">
        <f t="shared" si="148"/>
        <v>377.72061016381247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3.7297474344362733</v>
      </c>
      <c r="CL159" s="21">
        <f>EXP(-LN(2)/25)*CL158+(1-EXP(-LN(2)/25))/(LN(2)/25)*Calculateur!CG159*Calculateur!CI159*VLOOKUP('Données projet'!$B$12,Paramètres!$A$1:$I$89,3,0)*0.475*44/12</f>
        <v>0.56519834398751434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4.2949457784237879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88.170414732964616</v>
      </c>
      <c r="CZ159" s="59">
        <f t="shared" si="150"/>
        <v>281.30515544919626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2.7779321026004031</v>
      </c>
      <c r="DG159" s="21">
        <f>EXP(-LN(2)/25)*DG158+(1-EXP(-LN(2)/25))/(LN(2)/25)*Calculateur!DB159*Calculateur!DD159*VLOOKUP('Données projet'!$B$13,Paramètres!$A$1:$I$89,3,0)*0.475*44/12</f>
        <v>0.42096218355246678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3.19889428615287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88.170414732964616</v>
      </c>
      <c r="DU159" s="59">
        <f t="shared" si="152"/>
        <v>281.30515544919626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2.7779321026004031</v>
      </c>
      <c r="EB159" s="21">
        <f>EXP(-LN(2)/25)*EB158+(1-EXP(-LN(2)/25))/(LN(2)/25)*Calculateur!DW159*Calculateur!DY159*VLOOKUP('Données projet'!$B$14,Paramètres!$A$1:$I$89,3,0)*0.475*44/12</f>
        <v>0.42096218355246678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3.19889428615287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138.36951775829681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1375.4690567539828</v>
      </c>
      <c r="H160" s="67">
        <f t="shared" si="110"/>
        <v>782.8704142634507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167.42995526007479</v>
      </c>
      <c r="T160" s="59">
        <f t="shared" si="142"/>
        <v>397.36718389105215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3.8474327363134049</v>
      </c>
      <c r="AA160" s="21">
        <f>EXP(-LN(2)/25)*AA159+(1-EXP(-LN(2)/25))/(LN(2)/25)*Calculateur!V160*Calculateur!X160*VLOOKUP('Données projet'!$B$9,Paramètres!$A$1:$I$89,3,0)*0.475*44/12</f>
        <v>0.57843178549316743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4.425864521806572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127.55710992710948</v>
      </c>
      <c r="AO160" s="59">
        <f t="shared" si="144"/>
        <v>417.43085823929903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4.0425138328025358</v>
      </c>
      <c r="AV160" s="21">
        <f>EXP(-LN(2)/25)*AV159+(1-EXP(-LN(2)/25))/(LN(2)/25)*Calculateur!AQ160*Calculateur!AS160*VLOOKUP('Données projet'!$B$10,Paramètres!$A$1:$I$89,3,0)*0.475*44/12</f>
        <v>0.60776072109563661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4.6502745538981722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123.48243581061803</v>
      </c>
      <c r="BJ160" s="59">
        <f t="shared" si="146"/>
        <v>405.05940798527138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3.9222009211119842</v>
      </c>
      <c r="BQ160" s="21">
        <f>EXP(-LN(2)/25)*BQ159+(1-EXP(-LN(2)/25))/(LN(2)/25)*Calculateur!BL160*Calculateur!BN160*VLOOKUP('Données projet'!$B$11,Paramètres!$A$1:$I$89,3,0)*0.475*44/12</f>
        <v>0.58967260439636149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4.5118735255083458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156.72204844493132</v>
      </c>
      <c r="CE160" s="59">
        <f t="shared" si="148"/>
        <v>377.72061016381247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3.6566093621682834</v>
      </c>
      <c r="CL160" s="21">
        <f>EXP(-LN(2)/25)*CL159+(1-EXP(-LN(2)/25))/(LN(2)/25)*Calculateur!CG160*Calculateur!CI160*VLOOKUP('Données projet'!$B$12,Paramètres!$A$1:$I$89,3,0)*0.475*44/12</f>
        <v>0.54974296554868662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4.2063523277169699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88.170414732964616</v>
      </c>
      <c r="CZ160" s="59">
        <f t="shared" si="150"/>
        <v>281.30515544919626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2.7234585484396865</v>
      </c>
      <c r="DG160" s="21">
        <f>EXP(-LN(2)/25)*DG159+(1-EXP(-LN(2)/25))/(LN(2)/25)*Calculateur!DB160*Calculateur!DD160*VLOOKUP('Données projet'!$B$13,Paramètres!$A$1:$I$89,3,0)*0.475*44/12</f>
        <v>0.40945095050578545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3.1329094989454718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88.170414732964616</v>
      </c>
      <c r="DU160" s="59">
        <f t="shared" si="152"/>
        <v>281.30515544919626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2.7234585484396865</v>
      </c>
      <c r="EB160" s="21">
        <f>EXP(-LN(2)/25)*EB159+(1-EXP(-LN(2)/25))/(LN(2)/25)*Calculateur!DW160*Calculateur!DY160*VLOOKUP('Données projet'!$B$14,Paramètres!$A$1:$I$89,3,0)*0.475*44/12</f>
        <v>0.40945095050578545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3.1329094989454718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138.39780297997817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1383.9054390607989</v>
      </c>
      <c r="H161" s="67">
        <f t="shared" si="110"/>
        <v>784.77387302142597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167.42995526007479</v>
      </c>
      <c r="T161" s="59">
        <f t="shared" si="142"/>
        <v>397.36718389105215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3.7719869270565507</v>
      </c>
      <c r="AA161" s="21">
        <f>EXP(-LN(2)/25)*AA160+(1-EXP(-LN(2)/25))/(LN(2)/25)*Calculateur!V161*Calculateur!X161*VLOOKUP('Données projet'!$B$9,Paramètres!$A$1:$I$89,3,0)*0.475*44/12</f>
        <v>0.56261453790045124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4.3346014649570019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127.55710992710948</v>
      </c>
      <c r="AO161" s="59">
        <f t="shared" si="144"/>
        <v>417.43085823929903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3.9632426022312495</v>
      </c>
      <c r="AV161" s="21">
        <f>EXP(-LN(2)/25)*AV160+(1-EXP(-LN(2)/25))/(LN(2)/25)*Calculateur!AQ161*Calculateur!AS161*VLOOKUP('Données projet'!$B$10,Paramètres!$A$1:$I$89,3,0)*0.475*44/12</f>
        <v>0.59114147221652913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4.5543840744477784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123.48243581061803</v>
      </c>
      <c r="BJ161" s="59">
        <f t="shared" si="146"/>
        <v>405.05940798527138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3.8452889533553192</v>
      </c>
      <c r="BQ161" s="21">
        <f>EXP(-LN(2)/25)*BQ160+(1-EXP(-LN(2)/25))/(LN(2)/25)*Calculateur!BL161*Calculateur!BN161*VLOOKUP('Données projet'!$B$11,Paramètres!$A$1:$I$89,3,0)*0.475*44/12</f>
        <v>0.57354797601960839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4.4188369293749279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156.72204844493132</v>
      </c>
      <c r="CE161" s="59">
        <f t="shared" si="148"/>
        <v>377.72061016381247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3.5849054828876494</v>
      </c>
      <c r="CL161" s="21">
        <f>EXP(-LN(2)/25)*CL160+(1-EXP(-LN(2)/25))/(LN(2)/25)*Calculateur!CG161*Calculateur!CI161*VLOOKUP('Données projet'!$B$12,Paramètres!$A$1:$I$89,3,0)*0.475*44/12</f>
        <v>0.53471021524603168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4.1196156981336811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88.170414732964616</v>
      </c>
      <c r="CZ161" s="59">
        <f t="shared" si="150"/>
        <v>281.30515544919626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2.6700531874504745</v>
      </c>
      <c r="DG161" s="21">
        <f>EXP(-LN(2)/25)*DG160+(1-EXP(-LN(2)/25))/(LN(2)/25)*Calculateur!DB161*Calculateur!DD161*VLOOKUP('Données projet'!$B$13,Paramètres!$A$1:$I$89,3,0)*0.475*44/12</f>
        <v>0.39825449273211505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3.0683076801825897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88.170414732964616</v>
      </c>
      <c r="DU161" s="59">
        <f t="shared" si="152"/>
        <v>281.30515544919626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2.6700531874504745</v>
      </c>
      <c r="EB161" s="21">
        <f>EXP(-LN(2)/25)*EB160+(1-EXP(-LN(2)/25))/(LN(2)/25)*Calculateur!DW161*Calculateur!DY161*VLOOKUP('Données projet'!$B$14,Paramètres!$A$1:$I$89,3,0)*0.475*44/12</f>
        <v>0.39825449273211505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3.0683076801825897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138.42559751629963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1392.3406633980514</v>
      </c>
      <c r="H162" s="67">
        <f t="shared" si="110"/>
        <v>786.67707051251875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167.42995526007479</v>
      </c>
      <c r="T162" s="59">
        <f t="shared" si="142"/>
        <v>397.36718389105215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3.6980205641018236</v>
      </c>
      <c r="AA162" s="21">
        <f>EXP(-LN(2)/25)*AA161+(1-EXP(-LN(2)/25))/(LN(2)/25)*Calculateur!V162*Calculateur!X162*VLOOKUP('Données projet'!$B$9,Paramètres!$A$1:$I$89,3,0)*0.475*44/12</f>
        <v>0.54722981377495072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4.2452503778767738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127.55710992710948</v>
      </c>
      <c r="AO162" s="59">
        <f t="shared" si="144"/>
        <v>417.43085823929903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3.8855258321407895</v>
      </c>
      <c r="AV162" s="21">
        <f>EXP(-LN(2)/25)*AV161+(1-EXP(-LN(2)/25))/(LN(2)/25)*Calculateur!AQ162*Calculateur!AS162*VLOOKUP('Données projet'!$B$10,Paramètres!$A$1:$I$89,3,0)*0.475*44/12</f>
        <v>0.57497667757198923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4.4605025097127786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123.48243581061803</v>
      </c>
      <c r="BJ162" s="59">
        <f t="shared" si="146"/>
        <v>405.05940798527138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3.7698851823746944</v>
      </c>
      <c r="BQ162" s="21">
        <f>EXP(-LN(2)/25)*BQ161+(1-EXP(-LN(2)/25))/(LN(2)/25)*Calculateur!BL162*Calculateur!BN162*VLOOKUP('Données projet'!$B$11,Paramètres!$A$1:$I$89,3,0)*0.475*44/12</f>
        <v>0.55786427645377501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4.3277494588284693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156.72204844493132</v>
      </c>
      <c r="CE162" s="59">
        <f t="shared" si="148"/>
        <v>377.72061016381247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3.5146076729446607</v>
      </c>
      <c r="CL162" s="21">
        <f>EXP(-LN(2)/25)*CL161+(1-EXP(-LN(2)/25))/(LN(2)/25)*Calculateur!CG162*Calculateur!CI162*VLOOKUP('Données projet'!$B$12,Paramètres!$A$1:$I$89,3,0)*0.475*44/12</f>
        <v>0.52008853629094087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4.0346962092356016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88.170414732964616</v>
      </c>
      <c r="CZ162" s="59">
        <f t="shared" si="150"/>
        <v>281.30515544919626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2.6176950730162067</v>
      </c>
      <c r="DG162" s="21">
        <f>EXP(-LN(2)/25)*DG161+(1-EXP(-LN(2)/25))/(LN(2)/25)*Calculateur!DB162*Calculateur!DD162*VLOOKUP('Données projet'!$B$13,Paramètres!$A$1:$I$89,3,0)*0.475*44/12</f>
        <v>0.38736420268506183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3.0050592757012686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88.170414732964616</v>
      </c>
      <c r="DU162" s="59">
        <f t="shared" si="152"/>
        <v>281.30515544919626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2.6176950730162067</v>
      </c>
      <c r="EB162" s="21">
        <f>EXP(-LN(2)/25)*EB161+(1-EXP(-LN(2)/25))/(LN(2)/25)*Calculateur!DW162*Calculateur!DY162*VLOOKUP('Données projet'!$B$14,Paramètres!$A$1:$I$89,3,0)*0.475*44/12</f>
        <v>0.38736420268506183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3.0050592757012686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138.45290987955519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1400.7747378934221</v>
      </c>
      <c r="H163" s="67">
        <f t="shared" si="110"/>
        <v>788.58000857053662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167.42995526007479</v>
      </c>
      <c r="T163" s="59">
        <f t="shared" si="142"/>
        <v>397.36718389105215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3.625504636409612</v>
      </c>
      <c r="AA163" s="21">
        <f>EXP(-LN(2)/25)*AA162+(1-EXP(-LN(2)/25))/(LN(2)/25)*Calculateur!V163*Calculateur!X163*VLOOKUP('Données projet'!$B$9,Paramètres!$A$1:$I$89,3,0)*0.475*44/12</f>
        <v>0.53226578573970951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4.157770422149321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127.55710992710948</v>
      </c>
      <c r="AO163" s="59">
        <f t="shared" si="144"/>
        <v>417.43085823929903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3.8093330405092543</v>
      </c>
      <c r="AV163" s="21">
        <f>EXP(-LN(2)/25)*AV162+(1-EXP(-LN(2)/25))/(LN(2)/25)*Calculateur!AQ163*Calculateur!AS163*VLOOKUP('Données projet'!$B$10,Paramètres!$A$1:$I$89,3,0)*0.475*44/12</f>
        <v>0.55925391008707381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4.3685869505963284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123.48243581061803</v>
      </c>
      <c r="BJ163" s="59">
        <f t="shared" si="146"/>
        <v>405.05940798527138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3.6959600333512408</v>
      </c>
      <c r="BQ163" s="21">
        <f>EXP(-LN(2)/25)*BQ162+(1-EXP(-LN(2)/25))/(LN(2)/25)*Calculateur!BL163*Calculateur!BN163*VLOOKUP('Données projet'!$B$11,Paramètres!$A$1:$I$89,3,0)*0.475*44/12</f>
        <v>0.54260944847733927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4.2385694818285797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156.72204844493132</v>
      </c>
      <c r="CE163" s="59">
        <f t="shared" si="148"/>
        <v>377.72061016381247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3.4456883601772237</v>
      </c>
      <c r="CL163" s="21">
        <f>EXP(-LN(2)/25)*CL162+(1-EXP(-LN(2)/25))/(LN(2)/25)*Calculateur!CG163*Calculateur!CI163*VLOOKUP('Données projet'!$B$12,Paramètres!$A$1:$I$89,3,0)*0.475*44/12</f>
        <v>0.5058666879157977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3.9515550480930215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88.170414732964616</v>
      </c>
      <c r="CZ163" s="59">
        <f t="shared" si="150"/>
        <v>281.30515544919626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2.5663636692706988</v>
      </c>
      <c r="DG163" s="21">
        <f>EXP(-LN(2)/25)*DG162+(1-EXP(-LN(2)/25))/(LN(2)/25)*Calculateur!DB163*Calculateur!DD163*VLOOKUP('Données projet'!$B$13,Paramètres!$A$1:$I$89,3,0)*0.475*44/12</f>
        <v>0.37677170819204076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2.9431353774627396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88.170414732964616</v>
      </c>
      <c r="DU163" s="59">
        <f t="shared" si="152"/>
        <v>281.30515544919626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2.5663636692706988</v>
      </c>
      <c r="EB163" s="21">
        <f>EXP(-LN(2)/25)*EB162+(1-EXP(-LN(2)/25))/(LN(2)/25)*Calculateur!DW163*Calculateur!DY163*VLOOKUP('Données projet'!$B$14,Paramètres!$A$1:$I$89,3,0)*0.475*44/12</f>
        <v>0.37677170819204076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2.9431353774627396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138.47974843436955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1409.2076705671182</v>
      </c>
      <c r="H164" s="67">
        <f t="shared" si="110"/>
        <v>790.48268900503945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167.42995526007479</v>
      </c>
      <c r="T164" s="59">
        <f t="shared" si="142"/>
        <v>397.36718389105215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3.554410701829096</v>
      </c>
      <c r="AA164" s="21">
        <f>EXP(-LN(2)/25)*AA163+(1-EXP(-LN(2)/25))/(LN(2)/25)*Calculateur!V164*Calculateur!X164*VLOOKUP('Données projet'!$B$9,Paramètres!$A$1:$I$89,3,0)*0.475*44/12</f>
        <v>0.51771094983801602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4.0721216516671124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127.55710992710948</v>
      </c>
      <c r="AO164" s="59">
        <f t="shared" si="144"/>
        <v>417.43085823929903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3.7346343430485995</v>
      </c>
      <c r="AV164" s="21">
        <f>EXP(-LN(2)/25)*AV163+(1-EXP(-LN(2)/25))/(LN(2)/25)*Calculateur!AQ164*Calculateur!AS164*VLOOKUP('Données projet'!$B$10,Paramètres!$A$1:$I$89,3,0)*0.475*44/12</f>
        <v>0.54396108250585784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4.2785954255544576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123.48243581061803</v>
      </c>
      <c r="BJ164" s="59">
        <f t="shared" si="146"/>
        <v>405.05940798527138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3.6234845114102483</v>
      </c>
      <c r="BQ164" s="21">
        <f>EXP(-LN(2)/25)*BQ163+(1-EXP(-LN(2)/25))/(LN(2)/25)*Calculateur!BL164*Calculateur!BN164*VLOOKUP('Données projet'!$B$11,Paramètres!$A$1:$I$89,3,0)*0.475*44/12</f>
        <v>0.52777176457413566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4.1512562759843838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156.72204844493132</v>
      </c>
      <c r="CE164" s="59">
        <f t="shared" si="148"/>
        <v>377.72061016381247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3.3781205130965262</v>
      </c>
      <c r="CL164" s="21">
        <f>EXP(-LN(2)/25)*CL163+(1-EXP(-LN(2)/25))/(LN(2)/25)*Calculateur!CG164*Calculateur!CI164*VLOOKUP('Données projet'!$B$12,Paramètres!$A$1:$I$89,3,0)*0.475*44/12</f>
        <v>0.49203373673236728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3.8701542498288934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88.170414732964616</v>
      </c>
      <c r="CZ164" s="59">
        <f t="shared" si="150"/>
        <v>281.30515544919626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2.5160388430435754</v>
      </c>
      <c r="DG164" s="21">
        <f>EXP(-LN(2)/25)*DG163+(1-EXP(-LN(2)/25))/(LN(2)/25)*Calculateur!DB164*Calculateur!DD164*VLOOKUP('Données projet'!$B$13,Paramètres!$A$1:$I$89,3,0)*0.475*44/12</f>
        <v>0.36646886601796641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2.8825077090615419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88.170414732964616</v>
      </c>
      <c r="DU164" s="59">
        <f t="shared" si="152"/>
        <v>281.30515544919626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2.5160388430435754</v>
      </c>
      <c r="EB164" s="21">
        <f>EXP(-LN(2)/25)*EB163+(1-EXP(-LN(2)/25))/(LN(2)/25)*Calculateur!DW164*Calculateur!DY164*VLOOKUP('Données projet'!$B$14,Paramètres!$A$1:$I$89,3,0)*0.475*44/12</f>
        <v>0.36646886601796641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2.8825077090615419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138.50612140025993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1417.6394693339571</v>
      </c>
      <c r="H165" s="67">
        <f t="shared" si="110"/>
        <v>792.38511360180746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167.42995526007479</v>
      </c>
      <c r="T165" s="59">
        <f t="shared" si="142"/>
        <v>397.36718389105215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3.4847108759426857</v>
      </c>
      <c r="AA165" s="21">
        <f>EXP(-LN(2)/25)*AA164+(1-EXP(-LN(2)/25))/(LN(2)/25)*Calculateur!V165*Calculateur!X165*VLOOKUP('Données projet'!$B$9,Paramètres!$A$1:$I$89,3,0)*0.475*44/12</f>
        <v>0.50355411668945982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3.9882649926321454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127.55710992710948</v>
      </c>
      <c r="AO165" s="59">
        <f t="shared" si="144"/>
        <v>417.43085823929903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3.6614004414834418</v>
      </c>
      <c r="AV165" s="21">
        <f>EXP(-LN(2)/25)*AV164+(1-EXP(-LN(2)/25))/(LN(2)/25)*Calculateur!AQ165*Calculateur!AS165*VLOOKUP('Données projet'!$B$10,Paramètres!$A$1:$I$89,3,0)*0.475*44/12</f>
        <v>0.52908643809906508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4.1904868795825072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123.48243581061803</v>
      </c>
      <c r="BJ165" s="59">
        <f t="shared" si="146"/>
        <v>405.05940798527138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3.5524301902488151</v>
      </c>
      <c r="BQ165" s="21">
        <f>EXP(-LN(2)/25)*BQ164+(1-EXP(-LN(2)/25))/(LN(2)/25)*Calculateur!BL165*Calculateur!BN165*VLOOKUP('Données projet'!$B$11,Paramètres!$A$1:$I$89,3,0)*0.475*44/12</f>
        <v>0.51333981791754502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4.0657700081663606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156.72204844493132</v>
      </c>
      <c r="CE165" s="59">
        <f t="shared" si="148"/>
        <v>377.72061016381247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3.3118776302847639</v>
      </c>
      <c r="CL165" s="21">
        <f>EXP(-LN(2)/25)*CL164+(1-EXP(-LN(2)/25))/(LN(2)/25)*Calculateur!CG165*Calculateur!CI165*VLOOKUP('Données projet'!$B$12,Paramètres!$A$1:$I$89,3,0)*0.475*44/12</f>
        <v>0.47857904832649106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3.790456678611255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88.170414732964616</v>
      </c>
      <c r="CZ165" s="59">
        <f t="shared" si="150"/>
        <v>281.30515544919626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2.4667008559636527</v>
      </c>
      <c r="DG165" s="21">
        <f>EXP(-LN(2)/25)*DG164+(1-EXP(-LN(2)/25))/(LN(2)/25)*Calculateur!DB165*Calculateur!DD165*VLOOKUP('Données projet'!$B$13,Paramètres!$A$1:$I$89,3,0)*0.475*44/12</f>
        <v>0.35644775560494502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2.8231486115685978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88.170414732964616</v>
      </c>
      <c r="DU165" s="59">
        <f t="shared" si="152"/>
        <v>281.30515544919626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2.4667008559636527</v>
      </c>
      <c r="EB165" s="21">
        <f>EXP(-LN(2)/25)*EB164+(1-EXP(-LN(2)/25))/(LN(2)/25)*Calculateur!DW165*Calculateur!DY165*VLOOKUP('Données projet'!$B$14,Paramètres!$A$1:$I$89,3,0)*0.475*44/12</f>
        <v>0.35644775560494502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2.8231486115685978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138.5320368541532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1426.0701420053897</v>
      </c>
      <c r="H166" s="67">
        <f t="shared" si="110"/>
        <v>794.28728412329951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167.42995526007479</v>
      </c>
      <c r="T166" s="59">
        <f t="shared" si="142"/>
        <v>397.36718389105215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3.416377821129212</v>
      </c>
      <c r="AA166" s="21">
        <f>EXP(-LN(2)/25)*AA165+(1-EXP(-LN(2)/25))/(LN(2)/25)*Calculateur!V166*Calculateur!X166*VLOOKUP('Données projet'!$B$9,Paramètres!$A$1:$I$89,3,0)*0.475*44/12</f>
        <v>0.48978440288782643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3.9061622240170384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127.55710992710948</v>
      </c>
      <c r="AO166" s="59">
        <f t="shared" si="144"/>
        <v>417.43085823929903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3.5896026120597071</v>
      </c>
      <c r="AV166" s="21">
        <f>EXP(-LN(2)/25)*AV165+(1-EXP(-LN(2)/25))/(LN(2)/25)*Calculateur!AQ166*Calculateur!AS166*VLOOKUP('Données projet'!$B$10,Paramètres!$A$1:$I$89,3,0)*0.475*44/12</f>
        <v>0.51461854162579956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4.1042211536855069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123.48243581061803</v>
      </c>
      <c r="BJ166" s="59">
        <f t="shared" si="146"/>
        <v>405.05940798527138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3.4827692009865014</v>
      </c>
      <c r="BQ166" s="21">
        <f>EXP(-LN(2)/25)*BQ165+(1-EXP(-LN(2)/25))/(LN(2)/25)*Calculateur!BL166*Calculateur!BN166*VLOOKUP('Données projet'!$B$11,Paramètres!$A$1:$I$89,3,0)*0.475*44/12</f>
        <v>0.49930251360122196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3.9820717145877236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156.72204844493132</v>
      </c>
      <c r="CE166" s="59">
        <f t="shared" si="148"/>
        <v>377.72061016381247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3.2469337300007712</v>
      </c>
      <c r="CL166" s="21">
        <f>EXP(-LN(2)/25)*CL165+(1-EXP(-LN(2)/25))/(LN(2)/25)*Calculateur!CG166*Calculateur!CI166*VLOOKUP('Données projet'!$B$12,Paramètres!$A$1:$I$89,3,0)*0.475*44/12</f>
        <v>0.4654922790826248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3.712426009083396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88.170414732964616</v>
      </c>
      <c r="CZ166" s="59">
        <f t="shared" si="150"/>
        <v>281.30515544919626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2.4183303567171666</v>
      </c>
      <c r="DG166" s="21">
        <f>EXP(-LN(2)/25)*DG165+(1-EXP(-LN(2)/25))/(LN(2)/25)*Calculateur!DB166*Calculateur!DD166*VLOOKUP('Données projet'!$B$13,Paramètres!$A$1:$I$89,3,0)*0.475*44/12</f>
        <v>0.34670067298315499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2.7650310297003218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88.170414732964616</v>
      </c>
      <c r="DU166" s="59">
        <f t="shared" si="152"/>
        <v>281.30515544919626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2.4183303567171666</v>
      </c>
      <c r="EB166" s="21">
        <f>EXP(-LN(2)/25)*EB165+(1-EXP(-LN(2)/25))/(LN(2)/25)*Calculateur!DW166*Calculateur!DY166*VLOOKUP('Données projet'!$B$14,Paramètres!$A$1:$I$89,3,0)*0.475*44/12</f>
        <v>0.34670067298315499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2.7650310297003218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138.55750273285969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1434.499696291477</v>
      </c>
      <c r="H167" s="67">
        <f t="shared" si="110"/>
        <v>796.18920230909794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167.42995526007479</v>
      </c>
      <c r="T167" s="59">
        <f t="shared" si="142"/>
        <v>397.36718389105215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3.3493847358415825</v>
      </c>
      <c r="AA167" s="21">
        <f>EXP(-LN(2)/25)*AA166+(1-EXP(-LN(2)/25))/(LN(2)/25)*Calculateur!V167*Calculateur!X167*VLOOKUP('Données projet'!$B$9,Paramètres!$A$1:$I$89,3,0)*0.475*44/12</f>
        <v>0.47639122263421646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3.8257759584757989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127.55710992710948</v>
      </c>
      <c r="AO167" s="59">
        <f t="shared" si="144"/>
        <v>417.43085823929903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3.5192126942786204</v>
      </c>
      <c r="AV167" s="21">
        <f>EXP(-LN(2)/25)*AV166+(1-EXP(-LN(2)/25))/(LN(2)/25)*Calculateur!AQ167*Calculateur!AS167*VLOOKUP('Données projet'!$B$10,Paramètres!$A$1:$I$89,3,0)*0.475*44/12</f>
        <v>0.50054627054242917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4.0197589648210492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123.48243581061803</v>
      </c>
      <c r="BJ167" s="59">
        <f t="shared" si="146"/>
        <v>405.05940798527138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3.4144742212346135</v>
      </c>
      <c r="BQ167" s="21">
        <f>EXP(-LN(2)/25)*BQ166+(1-EXP(-LN(2)/25))/(LN(2)/25)*Calculateur!BL167*Calculateur!BN167*VLOOKUP('Données projet'!$B$11,Paramètres!$A$1:$I$89,3,0)*0.475*44/12</f>
        <v>0.48564906010961856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3.9001232813442321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156.72204844493132</v>
      </c>
      <c r="CE167" s="59">
        <f t="shared" si="148"/>
        <v>377.72061016381247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3.1832633399894799</v>
      </c>
      <c r="CL167" s="21">
        <f>EXP(-LN(2)/25)*CL166+(1-EXP(-LN(2)/25))/(LN(2)/25)*Calculateur!CG167*Calculateur!CI167*VLOOKUP('Données projet'!$B$12,Paramètres!$A$1:$I$89,3,0)*0.475*44/12</f>
        <v>0.45276336823193536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3.636026708221415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88.170414732964616</v>
      </c>
      <c r="CZ167" s="59">
        <f t="shared" si="150"/>
        <v>281.30515544919626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2.3709083734578127</v>
      </c>
      <c r="DG167" s="21">
        <f>EXP(-LN(2)/25)*DG166+(1-EXP(-LN(2)/25))/(LN(2)/25)*Calculateur!DB167*Calculateur!DD167*VLOOKUP('Données projet'!$B$13,Paramètres!$A$1:$I$89,3,0)*0.475*44/12</f>
        <v>0.3372201248482346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2.7081284983060474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88.170414732964616</v>
      </c>
      <c r="DU167" s="59">
        <f t="shared" si="152"/>
        <v>281.30515544919626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2.3709083734578127</v>
      </c>
      <c r="EB167" s="21">
        <f>EXP(-LN(2)/25)*EB166+(1-EXP(-LN(2)/25))/(LN(2)/25)*Calculateur!DW167*Calculateur!DY167*VLOOKUP('Données projet'!$B$14,Paramètres!$A$1:$I$89,3,0)*0.475*44/12</f>
        <v>0.3372201248482346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2.7081284983060474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138.58252683550381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1442.9281398028163</v>
      </c>
      <c r="H168" s="67">
        <f t="shared" si="110"/>
        <v>798.09086987634385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167.42995526007479</v>
      </c>
      <c r="T168" s="59">
        <f t="shared" si="142"/>
        <v>397.36718389105215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3.2837053440946962</v>
      </c>
      <c r="AA168" s="21">
        <f>EXP(-LN(2)/25)*AA167+(1-EXP(-LN(2)/25))/(LN(2)/25)*Calculateur!V168*Calculateur!X168*VLOOKUP('Données projet'!$B$9,Paramètres!$A$1:$I$89,3,0)*0.475*44/12</f>
        <v>0.46336427959895821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3.7470696236936543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127.55710992710948</v>
      </c>
      <c r="AO168" s="59">
        <f t="shared" si="144"/>
        <v>417.43085823929903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3.4502030798516099</v>
      </c>
      <c r="AV168" s="21">
        <f>EXP(-LN(2)/25)*AV167+(1-EXP(-LN(2)/25))/(LN(2)/25)*Calculateur!AQ168*Calculateur!AS168*VLOOKUP('Données projet'!$B$10,Paramètres!$A$1:$I$89,3,0)*0.475*44/12</f>
        <v>0.48685880645186208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3.9370618863034719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123.48243581061803</v>
      </c>
      <c r="BJ168" s="59">
        <f t="shared" si="146"/>
        <v>405.05940798527138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3.3475184643798359</v>
      </c>
      <c r="BQ168" s="21">
        <f>EXP(-LN(2)/25)*BQ167+(1-EXP(-LN(2)/25))/(LN(2)/25)*Calculateur!BL168*Calculateur!BN168*VLOOKUP('Données projet'!$B$11,Paramètres!$A$1:$I$89,3,0)*0.475*44/12</f>
        <v>0.47236896102174691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3.8198874254015829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156.72204844493132</v>
      </c>
      <c r="CE168" s="59">
        <f t="shared" si="148"/>
        <v>377.72061016381247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3.1208414874912065</v>
      </c>
      <c r="CL168" s="21">
        <f>EXP(-LN(2)/25)*CL167+(1-EXP(-LN(2)/25))/(LN(2)/25)*Calculateur!CG168*Calculateur!CI168*VLOOKUP('Données projet'!$B$12,Paramètres!$A$1:$I$89,3,0)*0.475*44/12</f>
        <v>0.44038253011784234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3.5612240176090486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88.170414732964616</v>
      </c>
      <c r="CZ168" s="59">
        <f t="shared" si="150"/>
        <v>281.30515544919626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2.3244163063656211</v>
      </c>
      <c r="DG168" s="21">
        <f>EXP(-LN(2)/25)*DG167+(1-EXP(-LN(2)/25))/(LN(2)/25)*Calculateur!DB168*Calculateur!DD168*VLOOKUP('Données projet'!$B$13,Paramètres!$A$1:$I$89,3,0)*0.475*44/12</f>
        <v>0.32799882280062398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2.6524151291662452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88.170414732964616</v>
      </c>
      <c r="DU168" s="59">
        <f t="shared" si="152"/>
        <v>281.30515544919626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2.3244163063656211</v>
      </c>
      <c r="EB168" s="21">
        <f>EXP(-LN(2)/25)*EB167+(1-EXP(-LN(2)/25))/(LN(2)/25)*Calculateur!DW168*Calculateur!DY168*VLOOKUP('Données projet'!$B$14,Paramètres!$A$1:$I$89,3,0)*0.475*44/12</f>
        <v>0.32799882280062398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2.6524151291662452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138.60711682591258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1451.3554800524184</v>
      </c>
      <c r="H169" s="67">
        <f t="shared" si="110"/>
        <v>799.99228852016029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167.42995526007479</v>
      </c>
      <c r="T169" s="59">
        <f t="shared" si="142"/>
        <v>397.36718389105215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3.2193138851594929</v>
      </c>
      <c r="AA169" s="21">
        <f>EXP(-LN(2)/25)*AA168+(1-EXP(-LN(2)/25))/(LN(2)/25)*Calculateur!V169*Calculateur!X169*VLOOKUP('Données projet'!$B$9,Paramètres!$A$1:$I$89,3,0)*0.475*44/12</f>
        <v>0.45069355900605629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3.6700074441655492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127.55710992710948</v>
      </c>
      <c r="AO169" s="59">
        <f t="shared" si="144"/>
        <v>417.43085823929903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3.3825467018718047</v>
      </c>
      <c r="AV169" s="21">
        <f>EXP(-LN(2)/25)*AV168+(1-EXP(-LN(2)/25))/(LN(2)/25)*Calculateur!AQ169*Calculateur!AS169*VLOOKUP('Données projet'!$B$10,Paramètres!$A$1:$I$89,3,0)*0.475*44/12</f>
        <v>0.47354562678664402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3.8560923286584488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123.48243581061803</v>
      </c>
      <c r="BJ169" s="59">
        <f t="shared" si="146"/>
        <v>405.05940798527138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3.2818756690780013</v>
      </c>
      <c r="BQ169" s="21">
        <f>EXP(-LN(2)/25)*BQ168+(1-EXP(-LN(2)/25))/(LN(2)/25)*Calculateur!BL169*Calculateur!BN169*VLOOKUP('Données projet'!$B$11,Paramètres!$A$1:$I$89,3,0)*0.475*44/12</f>
        <v>0.45945200694180321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3.7413276760198046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156.72204844493132</v>
      </c>
      <c r="CE169" s="59">
        <f t="shared" si="148"/>
        <v>377.72061016381247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3.0596436894468537</v>
      </c>
      <c r="CL169" s="21">
        <f>EXP(-LN(2)/25)*CL168+(1-EXP(-LN(2)/25))/(LN(2)/25)*Calculateur!CG169*Calculateur!CI169*VLOOKUP('Données projet'!$B$12,Paramètres!$A$1:$I$89,3,0)*0.475*44/12</f>
        <v>0.4283402466730592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3.487983936119913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88.170414732964616</v>
      </c>
      <c r="CZ169" s="59">
        <f t="shared" si="150"/>
        <v>281.30515544919626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2.2788359203517468</v>
      </c>
      <c r="DG169" s="21">
        <f>EXP(-LN(2)/25)*DG168+(1-EXP(-LN(2)/25))/(LN(2)/25)*Calculateur!DB169*Calculateur!DD169*VLOOKUP('Données projet'!$B$13,Paramètres!$A$1:$I$89,3,0)*0.475*44/12</f>
        <v>0.31902967774243246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2.5978655980941792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88.170414732964616</v>
      </c>
      <c r="DU169" s="59">
        <f t="shared" si="152"/>
        <v>281.30515544919626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2.2788359203517468</v>
      </c>
      <c r="EB169" s="21">
        <f>EXP(-LN(2)/25)*EB168+(1-EXP(-LN(2)/25))/(LN(2)/25)*Calculateur!DW169*Calculateur!DY169*VLOOKUP('Données projet'!$B$14,Paramètres!$A$1:$I$89,3,0)*0.475*44/12</f>
        <v>0.31902967774243246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2.5978655980941792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138.63128023496273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1459.7817244575403</v>
      </c>
      <c r="H170" s="67">
        <f t="shared" si="110"/>
        <v>801.89345991406594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167.42995526007479</v>
      </c>
      <c r="T170" s="59">
        <f t="shared" si="142"/>
        <v>397.36718389105215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3.1561851034590971</v>
      </c>
      <c r="AA170" s="21">
        <f>EXP(-LN(2)/25)*AA169+(1-EXP(-LN(2)/25))/(LN(2)/25)*Calculateur!V170*Calculateur!X170*VLOOKUP('Données projet'!$B$9,Paramètres!$A$1:$I$89,3,0)*0.475*44/12</f>
        <v>0.43836931993409151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3.5945544233931885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127.55710992710948</v>
      </c>
      <c r="AO170" s="59">
        <f t="shared" si="144"/>
        <v>417.43085823929903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3.3162170241978677</v>
      </c>
      <c r="AV170" s="21">
        <f>EXP(-LN(2)/25)*AV169+(1-EXP(-LN(2)/25))/(LN(2)/25)*Calculateur!AQ170*Calculateur!AS170*VLOOKUP('Données projet'!$B$10,Paramètres!$A$1:$I$89,3,0)*0.475*44/12</f>
        <v>0.46059649671948105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3.7768135209173486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123.48243581061803</v>
      </c>
      <c r="BJ170" s="59">
        <f t="shared" si="146"/>
        <v>405.05940798527138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3.2175200889538838</v>
      </c>
      <c r="BQ170" s="21">
        <f>EXP(-LN(2)/25)*BQ169+(1-EXP(-LN(2)/25))/(LN(2)/25)*Calculateur!BL170*Calculateur!BN170*VLOOKUP('Données projet'!$B$11,Paramètres!$A$1:$I$89,3,0)*0.475*44/12</f>
        <v>0.44688826765044865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3.6644083566043326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156.72204844493132</v>
      </c>
      <c r="CE170" s="59">
        <f t="shared" si="148"/>
        <v>377.72061016381247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2.9996459428951798</v>
      </c>
      <c r="CL170" s="21">
        <f>EXP(-LN(2)/25)*CL169+(1-EXP(-LN(2)/25))/(LN(2)/25)*Calculateur!CG170*Calculateur!CI170*VLOOKUP('Données projet'!$B$12,Paramètres!$A$1:$I$89,3,0)*0.475*44/12</f>
        <v>0.41662726010234979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3.4162732029975298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88.170414732964616</v>
      </c>
      <c r="CZ170" s="59">
        <f t="shared" si="150"/>
        <v>281.30515544919626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2.234149337906314</v>
      </c>
      <c r="DG170" s="21">
        <f>EXP(-LN(2)/25)*DG169+(1-EXP(-LN(2)/25))/(LN(2)/25)*Calculateur!DB170*Calculateur!DD170*VLOOKUP('Données projet'!$B$13,Paramètres!$A$1:$I$89,3,0)*0.475*44/12</f>
        <v>0.31030579442752404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2.5444551323338382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88.170414732964616</v>
      </c>
      <c r="DU170" s="59">
        <f t="shared" si="152"/>
        <v>281.30515544919626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2.234149337906314</v>
      </c>
      <c r="EB170" s="21">
        <f>EXP(-LN(2)/25)*EB169+(1-EXP(-LN(2)/25))/(LN(2)/25)*Calculateur!DW170*Calculateur!DY170*VLOOKUP('Données projet'!$B$14,Paramètres!$A$1:$I$89,3,0)*0.475*44/12</f>
        <v>0.31030579442752404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2.5444551323338382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138.65502446288718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1468.20688034147</v>
      </c>
      <c r="H171" s="67">
        <f t="shared" si="110"/>
        <v>803.79438571037758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167.42995526007479</v>
      </c>
      <c r="T171" s="59">
        <f t="shared" si="142"/>
        <v>397.36718389105215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3.0942942386630912</v>
      </c>
      <c r="AA171" s="21">
        <f>EXP(-LN(2)/25)*AA170+(1-EXP(-LN(2)/25))/(LN(2)/25)*Calculateur!V171*Calculateur!X171*VLOOKUP('Données projet'!$B$9,Paramètres!$A$1:$I$89,3,0)*0.475*44/12</f>
        <v>0.42638208782765313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3.5206763264907441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127.55710992710948</v>
      </c>
      <c r="AO171" s="59">
        <f t="shared" si="144"/>
        <v>417.43085823929903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3.251188031046008</v>
      </c>
      <c r="AV171" s="21">
        <f>EXP(-LN(2)/25)*AV170+(1-EXP(-LN(2)/25))/(LN(2)/25)*Calculateur!AQ171*Calculateur!AS171*VLOOKUP('Données projet'!$B$10,Paramètres!$A$1:$I$89,3,0)*0.475*44/12</f>
        <v>0.44800146129496976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3.6991894923409778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123.48243581061803</v>
      </c>
      <c r="BJ171" s="59">
        <f t="shared" si="146"/>
        <v>405.05940798527138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3.1544264825029722</v>
      </c>
      <c r="BQ171" s="21">
        <f>EXP(-LN(2)/25)*BQ170+(1-EXP(-LN(2)/25))/(LN(2)/25)*Calculateur!BL171*Calculateur!BN171*VLOOKUP('Données projet'!$B$11,Paramètres!$A$1:$I$89,3,0)*0.475*44/12</f>
        <v>0.43466808447071453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3.5890945669736869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156.72204844493132</v>
      </c>
      <c r="CE171" s="59">
        <f t="shared" si="148"/>
        <v>377.72061016381247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2.9408247155583722</v>
      </c>
      <c r="CL171" s="21">
        <f>EXP(-LN(2)/25)*CL170+(1-EXP(-LN(2)/25))/(LN(2)/25)*Calculateur!CG171*Calculateur!CI171*VLOOKUP('Données projet'!$B$12,Paramètres!$A$1:$I$89,3,0)*0.475*44/12</f>
        <v>0.40523456576537564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3.3460592813237477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88.170414732964616</v>
      </c>
      <c r="CZ171" s="59">
        <f t="shared" si="150"/>
        <v>281.30515544919626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2.1903390320865124</v>
      </c>
      <c r="DG171" s="21">
        <f>EXP(-LN(2)/25)*DG170+(1-EXP(-LN(2)/25))/(LN(2)/25)*Calculateur!DB171*Calculateur!DD171*VLOOKUP('Données projet'!$B$13,Paramètres!$A$1:$I$89,3,0)*0.475*44/12</f>
        <v>0.30182046616063091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2.4921594982471431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88.170414732964616</v>
      </c>
      <c r="DU171" s="59">
        <f t="shared" si="152"/>
        <v>281.30515544919626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2.1903390320865124</v>
      </c>
      <c r="EB171" s="21">
        <f>EXP(-LN(2)/25)*EB170+(1-EXP(-LN(2)/25))/(LN(2)/25)*Calculateur!DW171*Calculateur!DY171*VLOOKUP('Données projet'!$B$14,Paramètres!$A$1:$I$89,3,0)*0.475*44/12</f>
        <v>0.30182046616063091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2.4921594982471431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138.67835678154125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1476.6309549352709</v>
      </c>
      <c r="H172" s="67">
        <f t="shared" si="110"/>
        <v>805.69506754060376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167.42995526007479</v>
      </c>
      <c r="T172" s="59">
        <f t="shared" si="142"/>
        <v>397.36718389105215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3.0336170159760347</v>
      </c>
      <c r="AA172" s="21">
        <f>EXP(-LN(2)/25)*AA171+(1-EXP(-LN(2)/25))/(LN(2)/25)*Calculateur!V172*Calculateur!X172*VLOOKUP('Données projet'!$B$9,Paramètres!$A$1:$I$89,3,0)*0.475*44/12</f>
        <v>0.41472264721354646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3.4483396631895813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127.55710992710948</v>
      </c>
      <c r="AO172" s="59">
        <f t="shared" si="144"/>
        <v>417.43085823929903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3.187434216786087</v>
      </c>
      <c r="AV172" s="21">
        <f>EXP(-LN(2)/25)*AV171+(1-EXP(-LN(2)/25))/(LN(2)/25)*Calculateur!AQ172*Calculateur!AS172*VLOOKUP('Données projet'!$B$10,Paramètres!$A$1:$I$89,3,0)*0.475*44/12</f>
        <v>0.43575083777648588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3.623185054562573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123.48243581061803</v>
      </c>
      <c r="BJ172" s="59">
        <f t="shared" si="146"/>
        <v>405.05940798527138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3.0925701031912629</v>
      </c>
      <c r="BQ172" s="21">
        <f>EXP(-LN(2)/25)*BQ171+(1-EXP(-LN(2)/25))/(LN(2)/25)*Calculateur!BL172*Calculateur!BN172*VLOOKUP('Données projet'!$B$11,Paramètres!$A$1:$I$89,3,0)*0.475*44/12</f>
        <v>0.42278206284266173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3.5153521660339244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156.72204844493132</v>
      </c>
      <c r="CE172" s="59">
        <f t="shared" si="148"/>
        <v>377.72061016381247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2.8831569366122332</v>
      </c>
      <c r="CL172" s="21">
        <f>EXP(-LN(2)/25)*CL171+(1-EXP(-LN(2)/25))/(LN(2)/25)*Calculateur!CG172*Calculateur!CI172*VLOOKUP('Données projet'!$B$12,Paramètres!$A$1:$I$89,3,0)*0.475*44/12</f>
        <v>0.39415340525416181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3.2773103418663951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88.170414732964616</v>
      </c>
      <c r="CZ172" s="59">
        <f t="shared" si="150"/>
        <v>281.30515544919626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2.1473878196421889</v>
      </c>
      <c r="DG172" s="21">
        <f>EXP(-LN(2)/25)*DG171+(1-EXP(-LN(2)/25))/(LN(2)/25)*Calculateur!DB172*Calculateur!DD172*VLOOKUP('Données projet'!$B$13,Paramètres!$A$1:$I$89,3,0)*0.475*44/12</f>
        <v>0.29356716964141993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2.4409549892836089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88.170414732964616</v>
      </c>
      <c r="DU172" s="59">
        <f t="shared" si="152"/>
        <v>281.30515544919626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2.1473878196421889</v>
      </c>
      <c r="EB172" s="21">
        <f>EXP(-LN(2)/25)*EB171+(1-EXP(-LN(2)/25))/(LN(2)/25)*Calculateur!DW172*Calculateur!DY172*VLOOKUP('Données projet'!$B$14,Paramètres!$A$1:$I$89,3,0)*0.475*44/12</f>
        <v>0.29356716964141993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2.4409549892836089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138.70128433662993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1485.0539553794797</v>
      </c>
      <c r="H173" s="67">
        <f t="shared" si="110"/>
        <v>807.5955070158285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167.42995526007479</v>
      </c>
      <c r="T173" s="59">
        <f t="shared" si="142"/>
        <v>397.36718389105215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2.97412963661642</v>
      </c>
      <c r="AA173" s="21">
        <f>EXP(-LN(2)/25)*AA172+(1-EXP(-LN(2)/25))/(LN(2)/25)*Calculateur!V173*Calculateur!X173*VLOOKUP('Données projet'!$B$9,Paramètres!$A$1:$I$89,3,0)*0.475*44/12</f>
        <v>0.40338203461617589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3.3775116712325959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127.55710992710948</v>
      </c>
      <c r="AO173" s="59">
        <f t="shared" si="144"/>
        <v>417.43085823929903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3.1249305759378156</v>
      </c>
      <c r="AV173" s="21">
        <f>EXP(-LN(2)/25)*AV172+(1-EXP(-LN(2)/25))/(LN(2)/25)*Calculateur!AQ173*Calculateur!AS173*VLOOKUP('Données projet'!$B$10,Paramètres!$A$1:$I$89,3,0)*0.475*44/12</f>
        <v>0.42383520820234721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3.548765784140163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123.48243581061803</v>
      </c>
      <c r="BJ173" s="59">
        <f t="shared" si="146"/>
        <v>405.05940798527138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3.0319266897491906</v>
      </c>
      <c r="BQ173" s="21">
        <f>EXP(-LN(2)/25)*BQ172+(1-EXP(-LN(2)/25))/(LN(2)/25)*Calculateur!BL173*Calculateur!BN173*VLOOKUP('Données projet'!$B$11,Paramètres!$A$1:$I$89,3,0)*0.475*44/12</f>
        <v>0.41122106510108675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3.4431477548502771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156.72204844493132</v>
      </c>
      <c r="CE173" s="59">
        <f t="shared" si="148"/>
        <v>377.72061016381247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2.8266199876373559</v>
      </c>
      <c r="CL173" s="21">
        <f>EXP(-LN(2)/25)*CL172+(1-EXP(-LN(2)/25))/(LN(2)/25)*Calculateur!CG173*Calculateur!CI173*VLOOKUP('Données projet'!$B$12,Paramètres!$A$1:$I$89,3,0)*0.475*44/12</f>
        <v>0.38337525965986002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3.2099952472972157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88.170414732964616</v>
      </c>
      <c r="CZ173" s="59">
        <f t="shared" si="150"/>
        <v>281.30515544919626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2.1052788542762459</v>
      </c>
      <c r="DG173" s="21">
        <f>EXP(-LN(2)/25)*DG172+(1-EXP(-LN(2)/25))/(LN(2)/25)*Calculateur!DB173*Calculateur!DD173*VLOOKUP('Données projet'!$B$13,Paramètres!$A$1:$I$89,3,0)*0.475*44/12</f>
        <v>0.28553955994954883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2.3908184142257949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88.170414732964616</v>
      </c>
      <c r="DU173" s="59">
        <f t="shared" si="152"/>
        <v>281.30515544919626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2.1052788542762459</v>
      </c>
      <c r="EB173" s="21">
        <f>EXP(-LN(2)/25)*EB172+(1-EXP(-LN(2)/25))/(LN(2)/25)*Calculateur!DW173*Calculateur!DY173*VLOOKUP('Données projet'!$B$14,Paramètres!$A$1:$I$89,3,0)*0.475*44/12</f>
        <v>0.28553955994954883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2.3908184142257949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138.72381414989616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1493.4758887257678</v>
      </c>
      <c r="H174" s="67">
        <f t="shared" si="110"/>
        <v>809.49570572708467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167.42995526007479</v>
      </c>
      <c r="T174" s="59">
        <f t="shared" si="142"/>
        <v>397.36718389105215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2.9158087684823286</v>
      </c>
      <c r="AA174" s="21">
        <f>EXP(-LN(2)/25)*AA173+(1-EXP(-LN(2)/25))/(LN(2)/25)*Calculateur!V174*Calculateur!X174*VLOOKUP('Données projet'!$B$9,Paramètres!$A$1:$I$89,3,0)*0.475*44/12</f>
        <v>0.39235153166665732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3.3081603001489861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127.55710992710948</v>
      </c>
      <c r="AO174" s="59">
        <f t="shared" si="144"/>
        <v>417.43085823929903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3.0636525933631225</v>
      </c>
      <c r="AV174" s="21">
        <f>EXP(-LN(2)/25)*AV173+(1-EXP(-LN(2)/25))/(LN(2)/25)*Calculateur!AQ174*Calculateur!AS174*VLOOKUP('Données projet'!$B$10,Paramètres!$A$1:$I$89,3,0)*0.475*44/12</f>
        <v>0.41224541214552912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3.4758980055086517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123.48243581061803</v>
      </c>
      <c r="BJ174" s="59">
        <f t="shared" si="146"/>
        <v>405.05940798527138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2.9724724566558871</v>
      </c>
      <c r="BQ174" s="21">
        <f>EXP(-LN(2)/25)*BQ173+(1-EXP(-LN(2)/25))/(LN(2)/25)*Calculateur!BL174*Calculateur!BN174*VLOOKUP('Données projet'!$B$11,Paramètres!$A$1:$I$89,3,0)*0.475*44/12</f>
        <v>0.3999762034507216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3.3724486601066088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156.72204844493132</v>
      </c>
      <c r="CE174" s="59">
        <f t="shared" si="148"/>
        <v>377.72061016381247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2.7711916937477423</v>
      </c>
      <c r="CL174" s="21">
        <f>EXP(-LN(2)/25)*CL173+(1-EXP(-LN(2)/25))/(LN(2)/25)*Calculateur!CG174*Calculateur!CI174*VLOOKUP('Données projet'!$B$12,Paramètres!$A$1:$I$89,3,0)*0.475*44/12</f>
        <v>0.37289184302363249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3.1440835367713746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88.170414732964616</v>
      </c>
      <c r="CZ174" s="59">
        <f t="shared" si="150"/>
        <v>281.30515544919626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2.0639956200371961</v>
      </c>
      <c r="DG174" s="21">
        <f>EXP(-LN(2)/25)*DG173+(1-EXP(-LN(2)/25))/(LN(2)/25)*Calculateur!DB174*Calculateur!DD174*VLOOKUP('Données projet'!$B$13,Paramètres!$A$1:$I$89,3,0)*0.475*44/12</f>
        <v>0.27773146566685558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2.3417270857040515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88.170414732964616</v>
      </c>
      <c r="DU174" s="59">
        <f t="shared" si="152"/>
        <v>281.30515544919626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2.0639956200371961</v>
      </c>
      <c r="EB174" s="21">
        <f>EXP(-LN(2)/25)*EB173+(1-EXP(-LN(2)/25))/(LN(2)/25)*Calculateur!DW174*Calculateur!DY174*VLOOKUP('Données projet'!$B$14,Paramètres!$A$1:$I$89,3,0)*0.475*44/12</f>
        <v>0.27773146566685558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2.3417270857040515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138.74595312127133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1501.8967619385576</v>
      </c>
      <c r="H175" s="67">
        <f t="shared" si="110"/>
        <v>811.39566524572035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167.42995526007479</v>
      </c>
      <c r="T175" s="59">
        <f t="shared" si="142"/>
        <v>397.36718389105215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2.8586315370001296</v>
      </c>
      <c r="AA175" s="21">
        <f>EXP(-LN(2)/25)*AA174+(1-EXP(-LN(2)/25))/(LN(2)/25)*Calculateur!V175*Calculateur!X175*VLOOKUP('Données projet'!$B$9,Paramètres!$A$1:$I$89,3,0)*0.475*44/12</f>
        <v>0.38162265840036225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3.240254195400492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127.55710992710948</v>
      </c>
      <c r="AO175" s="59">
        <f t="shared" si="144"/>
        <v>417.43085823929903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3.0035762346508403</v>
      </c>
      <c r="AV175" s="21">
        <f>EXP(-LN(2)/25)*AV174+(1-EXP(-LN(2)/25))/(LN(2)/25)*Calculateur!AQ175*Calculateur!AS175*VLOOKUP('Données projet'!$B$10,Paramètres!$A$1:$I$89,3,0)*0.475*44/12</f>
        <v>0.40097253967136559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3.404548774322206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123.48243581061803</v>
      </c>
      <c r="BJ175" s="59">
        <f t="shared" si="146"/>
        <v>405.05940798527138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2.9141840848100418</v>
      </c>
      <c r="BQ175" s="21">
        <f>EXP(-LN(2)/25)*BQ174+(1-EXP(-LN(2)/25))/(LN(2)/25)*Calculateur!BL175*Calculateur!BN175*VLOOKUP('Données projet'!$B$11,Paramètres!$A$1:$I$89,3,0)*0.475*44/12</f>
        <v>0.38903883313352722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3.303222917943569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156.72204844493132</v>
      </c>
      <c r="CE175" s="59">
        <f t="shared" si="148"/>
        <v>377.72061016381247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2.7168503148933829</v>
      </c>
      <c r="CL175" s="21">
        <f>EXP(-LN(2)/25)*CL174+(1-EXP(-LN(2)/25))/(LN(2)/25)*Calculateur!CG175*Calculateur!CI175*VLOOKUP('Données projet'!$B$12,Paramètres!$A$1:$I$89,3,0)*0.475*44/12</f>
        <v>0.36269509596662147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3.0795454108600042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88.170414732964616</v>
      </c>
      <c r="CZ175" s="59">
        <f t="shared" si="150"/>
        <v>281.30515544919626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2.0235219248412877</v>
      </c>
      <c r="DG175" s="21">
        <f>EXP(-LN(2)/25)*DG174+(1-EXP(-LN(2)/25))/(LN(2)/25)*Calculateur!DB175*Calculateur!DD175*VLOOKUP('Données projet'!$B$13,Paramètres!$A$1:$I$89,3,0)*0.475*44/12</f>
        <v>0.27013688413293241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2.2936588089742203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88.170414732964616</v>
      </c>
      <c r="DU175" s="59">
        <f t="shared" si="152"/>
        <v>281.30515544919626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2.0235219248412877</v>
      </c>
      <c r="EB175" s="21">
        <f>EXP(-LN(2)/25)*EB174+(1-EXP(-LN(2)/25))/(LN(2)/25)*Calculateur!DW175*Calculateur!DY175*VLOOKUP('Données projet'!$B$14,Paramètres!$A$1:$I$89,3,0)*0.475*44/12</f>
        <v>0.27013688413293241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2.2936588089742203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138.76770803098844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1510.3165818966056</v>
      </c>
      <c r="H176" s="67">
        <f t="shared" si="110"/>
        <v>813.29538712375495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167.42995526007479</v>
      </c>
      <c r="T176" s="59">
        <f t="shared" si="142"/>
        <v>397.36718389105215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2.8025755161526291</v>
      </c>
      <c r="AA176" s="21">
        <f>EXP(-LN(2)/25)*AA175+(1-EXP(-LN(2)/25))/(LN(2)/25)*Calculateur!V176*Calculateur!X176*VLOOKUP('Données projet'!$B$9,Paramètres!$A$1:$I$89,3,0)*0.475*44/12</f>
        <v>0.37118716673774094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3.17376268289037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127.55710992710948</v>
      </c>
      <c r="AO176" s="59">
        <f t="shared" si="144"/>
        <v>417.43085823929903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2.9446779366899456</v>
      </c>
      <c r="AV176" s="21">
        <f>EXP(-LN(2)/25)*AV175+(1-EXP(-LN(2)/25))/(LN(2)/25)*Calculateur!AQ176*Calculateur!AS176*VLOOKUP('Données projet'!$B$10,Paramètres!$A$1:$I$89,3,0)*0.475*44/12</f>
        <v>0.39000792448782268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3.3346858611777681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123.48243581061803</v>
      </c>
      <c r="BJ176" s="59">
        <f t="shared" si="146"/>
        <v>405.05940798527138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2.8570387123836971</v>
      </c>
      <c r="BQ176" s="21">
        <f>EXP(-LN(2)/25)*BQ175+(1-EXP(-LN(2)/25))/(LN(2)/25)*Calculateur!BL176*Calculateur!BN176*VLOOKUP('Données projet'!$B$11,Paramètres!$A$1:$I$89,3,0)*0.475*44/12</f>
        <v>0.37840054578282784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3.235439258166525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156.72204844493132</v>
      </c>
      <c r="CE176" s="59">
        <f t="shared" si="148"/>
        <v>377.72061016381247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2.6635745373333894</v>
      </c>
      <c r="CL176" s="21">
        <f>EXP(-LN(2)/25)*CL175+(1-EXP(-LN(2)/25))/(LN(2)/25)*Calculateur!CG176*Calculateur!CI176*VLOOKUP('Données projet'!$B$12,Paramètres!$A$1:$I$89,3,0)*0.475*44/12</f>
        <v>0.35277717949410808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3.0163517168274976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88.170414732964616</v>
      </c>
      <c r="CZ176" s="59">
        <f t="shared" si="150"/>
        <v>281.30515544919626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1.9838418941216545</v>
      </c>
      <c r="DG176" s="21">
        <f>EXP(-LN(2)/25)*DG175+(1-EXP(-LN(2)/25))/(LN(2)/25)*Calculateur!DB176*Calculateur!DD176*VLOOKUP('Données projet'!$B$13,Paramètres!$A$1:$I$89,3,0)*0.475*44/12</f>
        <v>0.26274997683043605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2.2465918709520905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88.170414732964616</v>
      </c>
      <c r="DU176" s="59">
        <f t="shared" si="152"/>
        <v>281.30515544919626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1.9838418941216545</v>
      </c>
      <c r="EB176" s="21">
        <f>EXP(-LN(2)/25)*EB175+(1-EXP(-LN(2)/25))/(LN(2)/25)*Calculateur!DW176*Calculateur!DY176*VLOOKUP('Données projet'!$B$14,Paramètres!$A$1:$I$89,3,0)*0.475*44/12</f>
        <v>0.26274997683043605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2.2465918709520905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138.78908554165866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1518.7353553945425</v>
      </c>
      <c r="H177" s="67">
        <f t="shared" si="110"/>
        <v>815.19487289422705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167.42995526007479</v>
      </c>
      <c r="T177" s="59">
        <f t="shared" si="142"/>
        <v>397.36718389105215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2.7476187196831514</v>
      </c>
      <c r="AA177" s="21">
        <f>EXP(-LN(2)/25)*AA176+(1-EXP(-LN(2)/25))/(LN(2)/25)*Calculateur!V177*Calculateur!X177*VLOOKUP('Données projet'!$B$9,Paramètres!$A$1:$I$89,3,0)*0.475*44/12</f>
        <v>0.36103703414341265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3.108655753826564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127.55710992710948</v>
      </c>
      <c r="AO177" s="59">
        <f t="shared" si="144"/>
        <v>417.43085823929903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2.8869345984276493</v>
      </c>
      <c r="AV177" s="21">
        <f>EXP(-LN(2)/25)*AV176+(1-EXP(-LN(2)/25))/(LN(2)/25)*Calculateur!AQ177*Calculateur!AS177*VLOOKUP('Données projet'!$B$10,Paramètres!$A$1:$I$89,3,0)*0.475*44/12</f>
        <v>0.37934313728307778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3.2662777357107271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123.48243581061803</v>
      </c>
      <c r="BJ177" s="59">
        <f t="shared" si="146"/>
        <v>405.05940798527138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2.8010139258553979</v>
      </c>
      <c r="BQ177" s="21">
        <f>EXP(-LN(2)/25)*BQ176+(1-EXP(-LN(2)/25))/(LN(2)/25)*Calculateur!BL177*Calculateur!BN177*VLOOKUP('Données projet'!$B$11,Paramètres!$A$1:$I$89,3,0)*0.475*44/12</f>
        <v>0.36805316295917656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3.1690670888145744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156.72204844493132</v>
      </c>
      <c r="CE177" s="59">
        <f t="shared" si="148"/>
        <v>377.72061016381247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2.6113434652763314</v>
      </c>
      <c r="CL177" s="21">
        <f>EXP(-LN(2)/25)*CL176+(1-EXP(-LN(2)/25))/(LN(2)/25)*Calculateur!CG177*Calculateur!CI177*VLOOKUP('Données projet'!$B$12,Paramètres!$A$1:$I$89,3,0)*0.475*44/12</f>
        <v>0.3431304689690961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2.9544739342454274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88.170414732964616</v>
      </c>
      <c r="CZ177" s="59">
        <f t="shared" si="150"/>
        <v>281.30515544919626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1.9449399646020042</v>
      </c>
      <c r="DG177" s="21">
        <f>EXP(-LN(2)/25)*DG176+(1-EXP(-LN(2)/25))/(LN(2)/25)*Calculateur!DB177*Calculateur!DD177*VLOOKUP('Données projet'!$B$13,Paramètres!$A$1:$I$89,3,0)*0.475*44/12</f>
        <v>0.25556506489658704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2.2005050294985913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88.170414732964616</v>
      </c>
      <c r="DU177" s="59">
        <f t="shared" si="152"/>
        <v>281.30515544919626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1.9449399646020042</v>
      </c>
      <c r="EB177" s="21">
        <f>EXP(-LN(2)/25)*EB176+(1-EXP(-LN(2)/25))/(LN(2)/25)*Calculateur!DW177*Calculateur!DY177*VLOOKUP('Données projet'!$B$14,Paramètres!$A$1:$I$89,3,0)*0.475*44/12</f>
        <v>0.25556506489658704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2.2005050294985913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138.81009220031174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1527.153089144382</v>
      </c>
      <c r="H178" s="67">
        <f t="shared" si="110"/>
        <v>817.09412407153457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167.42995526007479</v>
      </c>
      <c r="T178" s="59">
        <f t="shared" si="142"/>
        <v>397.36718389105215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2.6937395924721041</v>
      </c>
      <c r="AA178" s="21">
        <f>EXP(-LN(2)/25)*AA177+(1-EXP(-LN(2)/25))/(LN(2)/25)*Calculateur!V178*Calculateur!X178*VLOOKUP('Données projet'!$B$9,Paramètres!$A$1:$I$89,3,0)*0.475*44/12</f>
        <v>0.35116445745864855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3.0449040499307527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127.55710992710948</v>
      </c>
      <c r="AO178" s="59">
        <f t="shared" si="144"/>
        <v>417.43085823929903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2.8303235718087181</v>
      </c>
      <c r="AV178" s="21">
        <f>EXP(-LN(2)/25)*AV177+(1-EXP(-LN(2)/25))/(LN(2)/25)*Calculateur!AQ178*Calculateur!AS178*VLOOKUP('Données projet'!$B$10,Paramètres!$A$1:$I$89,3,0)*0.475*44/12</f>
        <v>0.36896997924528341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3.1992935510540015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123.48243581061803</v>
      </c>
      <c r="BJ178" s="59">
        <f t="shared" si="146"/>
        <v>405.05940798527138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2.7460877512191728</v>
      </c>
      <c r="BQ178" s="21">
        <f>EXP(-LN(2)/25)*BQ177+(1-EXP(-LN(2)/25))/(LN(2)/25)*Calculateur!BL178*Calculateur!BN178*VLOOKUP('Données projet'!$B$11,Paramètres!$A$1:$I$89,3,0)*0.475*44/12</f>
        <v>0.35798872986298325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3.1040764810821559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156.72204844493132</v>
      </c>
      <c r="CE178" s="59">
        <f t="shared" si="148"/>
        <v>377.72061016381247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2.560136612684504</v>
      </c>
      <c r="CL178" s="21">
        <f>EXP(-LN(2)/25)*CL177+(1-EXP(-LN(2)/25))/(LN(2)/25)*Calculateur!CG178*Calculateur!CI178*VLOOKUP('Données projet'!$B$12,Paramètres!$A$1:$I$89,3,0)*0.475*44/12</f>
        <v>0.33374754825068903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2.8938841609351931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88.170414732964616</v>
      </c>
      <c r="CZ178" s="59">
        <f t="shared" si="150"/>
        <v>281.30515544919626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1.9068008781924004</v>
      </c>
      <c r="DG178" s="21">
        <f>EXP(-LN(2)/25)*DG177+(1-EXP(-LN(2)/25))/(LN(2)/25)*Calculateur!DB178*Calculateur!DD178*VLOOKUP('Données projet'!$B$13,Paramètres!$A$1:$I$89,3,0)*0.475*44/12</f>
        <v>0.24857662475740719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2.1553775029498077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88.170414732964616</v>
      </c>
      <c r="DU178" s="59">
        <f t="shared" si="152"/>
        <v>281.30515544919626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1.9068008781924004</v>
      </c>
      <c r="EB178" s="21">
        <f>EXP(-LN(2)/25)*EB177+(1-EXP(-LN(2)/25))/(LN(2)/25)*Calculateur!DW178*Calculateur!DY178*VLOOKUP('Données projet'!$B$14,Paramètres!$A$1:$I$89,3,0)*0.475*44/12</f>
        <v>0.24857662475740719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2.1553775029498077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138.83073444040102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1535.5697897769896</v>
      </c>
      <c r="H179" s="67">
        <f t="shared" si="110"/>
        <v>818.99314215176662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167.42995526007479</v>
      </c>
      <c r="T179" s="59">
        <f t="shared" si="142"/>
        <v>397.36718389105215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2.6409170020826429</v>
      </c>
      <c r="AA179" s="21">
        <f>EXP(-LN(2)/25)*AA178+(1-EXP(-LN(2)/25))/(LN(2)/25)*Calculateur!V179*Calculateur!X179*VLOOKUP('Données projet'!$B$9,Paramètres!$A$1:$I$89,3,0)*0.475*44/12</f>
        <v>0.34156184690250557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2.9824788489851484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127.55710992710948</v>
      </c>
      <c r="AO179" s="59">
        <f t="shared" si="144"/>
        <v>417.43085823929903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2.7748226528924671</v>
      </c>
      <c r="AV179" s="21">
        <f>EXP(-LN(2)/25)*AV178+(1-EXP(-LN(2)/25))/(LN(2)/25)*Calculateur!AQ179*Calculateur!AS179*VLOOKUP('Données projet'!$B$10,Paramètres!$A$1:$I$89,3,0)*0.475*44/12</f>
        <v>0.35888047575953319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3.1337031286520003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123.48243581061803</v>
      </c>
      <c r="BJ179" s="59">
        <f t="shared" si="146"/>
        <v>405.05940798527138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2.6922386453659057</v>
      </c>
      <c r="BQ179" s="21">
        <f>EXP(-LN(2)/25)*BQ178+(1-EXP(-LN(2)/25))/(LN(2)/25)*Calculateur!BL179*Calculateur!BN179*VLOOKUP('Données projet'!$B$11,Paramètres!$A$1:$I$89,3,0)*0.475*44/12</f>
        <v>0.34819950921907084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3.0404381545849768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156.72204844493132</v>
      </c>
      <c r="CE179" s="59">
        <f t="shared" si="148"/>
        <v>377.72061016381247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2.5099338952389063</v>
      </c>
      <c r="CL179" s="21">
        <f>EXP(-LN(2)/25)*CL178+(1-EXP(-LN(2)/25))/(LN(2)/25)*Calculateur!CG179*Calculateur!CI179*VLOOKUP('Données projet'!$B$12,Paramètres!$A$1:$I$89,3,0)*0.475*44/12</f>
        <v>0.32462120399275318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2.8345550992316593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88.170414732964616</v>
      </c>
      <c r="CZ179" s="59">
        <f t="shared" si="150"/>
        <v>281.30515544919626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1.8694096760047432</v>
      </c>
      <c r="DG179" s="21">
        <f>EXP(-LN(2)/25)*DG178+(1-EXP(-LN(2)/25))/(LN(2)/25)*Calculateur!DB179*Calculateur!DD179*VLOOKUP('Données projet'!$B$13,Paramètres!$A$1:$I$89,3,0)*0.475*44/12</f>
        <v>0.24177928388133932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2.1111889598860825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88.170414732964616</v>
      </c>
      <c r="DU179" s="59">
        <f t="shared" si="152"/>
        <v>281.30515544919626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1.8694096760047432</v>
      </c>
      <c r="EB179" s="21">
        <f>EXP(-LN(2)/25)*EB178+(1-EXP(-LN(2)/25))/(LN(2)/25)*Calculateur!DW179*Calculateur!DY179*VLOOKUP('Données projet'!$B$14,Paramètres!$A$1:$I$89,3,0)*0.475*44/12</f>
        <v>0.24177928388133932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2.1111889598860825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138.85101858377391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1543.9854638435202</v>
      </c>
      <c r="H180" s="67">
        <f t="shared" si="110"/>
        <v>820.89192861302752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167.42995526007479</v>
      </c>
      <c r="T180" s="59">
        <f t="shared" si="142"/>
        <v>397.36718389105215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2.5891302304721204</v>
      </c>
      <c r="AA180" s="21">
        <f>EXP(-LN(2)/25)*AA179+(1-EXP(-LN(2)/25))/(LN(2)/25)*Calculateur!V180*Calculateur!X180*VLOOKUP('Données projet'!$B$9,Paramètres!$A$1:$I$89,3,0)*0.475*44/12</f>
        <v>0.3322218202369997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2.9213520507091202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127.55710992710948</v>
      </c>
      <c r="AO180" s="59">
        <f t="shared" si="144"/>
        <v>417.43085823929903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2.7204100731439462</v>
      </c>
      <c r="AV180" s="21">
        <f>EXP(-LN(2)/25)*AV179+(1-EXP(-LN(2)/25))/(LN(2)/25)*Calculateur!AQ180*Calculateur!AS180*VLOOKUP('Données projet'!$B$10,Paramètres!$A$1:$I$89,3,0)*0.475*44/12</f>
        <v>0.34906687027718475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3.0694769434211309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123.48243581061803</v>
      </c>
      <c r="BJ180" s="59">
        <f t="shared" si="146"/>
        <v>405.05940798527138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2.6394454876337097</v>
      </c>
      <c r="BQ180" s="21">
        <f>EXP(-LN(2)/25)*BQ179+(1-EXP(-LN(2)/25))/(LN(2)/25)*Calculateur!BL180*Calculateur!BN180*VLOOKUP('Données projet'!$B$11,Paramètres!$A$1:$I$89,3,0)*0.475*44/12</f>
        <v>0.33867797532845895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2.9781234629621687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156.72204844493132</v>
      </c>
      <c r="CE180" s="59">
        <f t="shared" si="148"/>
        <v>377.72061016381247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2.460715622461783</v>
      </c>
      <c r="CL180" s="21">
        <f>EXP(-LN(2)/25)*CL179+(1-EXP(-LN(2)/25))/(LN(2)/25)*Calculateur!CG180*Calculateur!CI180*VLOOKUP('Données projet'!$B$12,Paramètres!$A$1:$I$89,3,0)*0.475*44/12</f>
        <v>0.31574442009848414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2.776460042560267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88.170414732964616</v>
      </c>
      <c r="CZ180" s="59">
        <f t="shared" si="150"/>
        <v>281.30515544919626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1.8327516924856044</v>
      </c>
      <c r="DG180" s="21">
        <f>EXP(-LN(2)/25)*DG179+(1-EXP(-LN(2)/25))/(LN(2)/25)*Calculateur!DB180*Calculateur!DD180*VLOOKUP('Données projet'!$B$13,Paramètres!$A$1:$I$89,3,0)*0.475*44/12</f>
        <v>0.23516781664898415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2.0679195091345886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88.170414732964616</v>
      </c>
      <c r="DU180" s="59">
        <f t="shared" si="152"/>
        <v>281.30515544919626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1.8327516924856044</v>
      </c>
      <c r="EB180" s="21">
        <f>EXP(-LN(2)/25)*EB179+(1-EXP(-LN(2)/25))/(LN(2)/25)*Calculateur!DW180*Calculateur!DY180*VLOOKUP('Données projet'!$B$14,Paramètres!$A$1:$I$89,3,0)*0.475*44/12</f>
        <v>0.23516781664898415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2.0679195091345886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138.87095084260778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1552.4001178168196</v>
      </c>
      <c r="H181" s="67">
        <f t="shared" si="110"/>
        <v>822.79048491575327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167.42995526007479</v>
      </c>
      <c r="T181" s="59">
        <f t="shared" si="142"/>
        <v>397.36718389105215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2.5383589658660686</v>
      </c>
      <c r="AA181" s="21">
        <f>EXP(-LN(2)/25)*AA180+(1-EXP(-LN(2)/25))/(LN(2)/25)*Calculateur!V181*Calculateur!X181*VLOOKUP('Données projet'!$B$9,Paramètres!$A$1:$I$89,3,0)*0.475*44/12</f>
        <v>0.3231371970918327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2.8614961629579012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127.55710992710948</v>
      </c>
      <c r="AO181" s="59">
        <f t="shared" si="144"/>
        <v>417.43085823929903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2.6670644908958971</v>
      </c>
      <c r="AV181" s="21">
        <f>EXP(-LN(2)/25)*AV180+(1-EXP(-LN(2)/25))/(LN(2)/25)*Calculateur!AQ181*Calculateur!AS181*VLOOKUP('Données projet'!$B$10,Paramètres!$A$1:$I$89,3,0)*0.475*44/12</f>
        <v>0.33952161835282624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3.0065861092487234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123.48243581061803</v>
      </c>
      <c r="BJ181" s="59">
        <f t="shared" si="146"/>
        <v>405.05940798527138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2.5876875715239955</v>
      </c>
      <c r="BQ181" s="21">
        <f>EXP(-LN(2)/25)*BQ180+(1-EXP(-LN(2)/25))/(LN(2)/25)*Calculateur!BL181*Calculateur!BN181*VLOOKUP('Données projet'!$B$11,Paramètres!$A$1:$I$89,3,0)*0.475*44/12</f>
        <v>0.32941680828280157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2.9171043798067973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156.72204844493132</v>
      </c>
      <c r="CE181" s="59">
        <f t="shared" si="148"/>
        <v>377.72061016381247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2.4124624899936369</v>
      </c>
      <c r="CL181" s="21">
        <f>EXP(-LN(2)/25)*CL180+(1-EXP(-LN(2)/25))/(LN(2)/25)*Calculateur!CG181*Calculateur!CI181*VLOOKUP('Données projet'!$B$12,Paramètres!$A$1:$I$89,3,0)*0.475*44/12</f>
        <v>0.3071103723266137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2.7195728623202506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88.170414732964616</v>
      </c>
      <c r="CZ181" s="59">
        <f t="shared" si="150"/>
        <v>281.30515544919626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1.7968125496641139</v>
      </c>
      <c r="DG181" s="21">
        <f>EXP(-LN(2)/25)*DG180+(1-EXP(-LN(2)/25))/(LN(2)/25)*Calculateur!DB181*Calculateur!DD181*VLOOKUP('Données projet'!$B$13,Paramètres!$A$1:$I$89,3,0)*0.475*44/12</f>
        <v>0.22873714033577969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2.0255496899998935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88.170414732964616</v>
      </c>
      <c r="DU181" s="59">
        <f t="shared" si="152"/>
        <v>281.30515544919626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1.7968125496641139</v>
      </c>
      <c r="EB181" s="21">
        <f>EXP(-LN(2)/25)*EB180+(1-EXP(-LN(2)/25))/(LN(2)/25)*Calculateur!DW181*Calculateur!DY181*VLOOKUP('Données projet'!$B$14,Paramètres!$A$1:$I$89,3,0)*0.475*44/12</f>
        <v>0.22873714033577969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2.0255496899998935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138.89053732131276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1560.8137580927971</v>
      </c>
      <c r="H182" s="67">
        <f t="shared" si="110"/>
        <v>824.6888125030207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167.42995526007479</v>
      </c>
      <c r="T182" s="59">
        <f t="shared" si="142"/>
        <v>397.36718389105215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2.4885832947915274</v>
      </c>
      <c r="AA182" s="21">
        <f>EXP(-LN(2)/25)*AA181+(1-EXP(-LN(2)/25))/(LN(2)/25)*Calculateur!V182*Calculateur!X182*VLOOKUP('Données projet'!$B$9,Paramètres!$A$1:$I$89,3,0)*0.475*44/12</f>
        <v>0.3143009934443099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2.8028842882358371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127.55710992710948</v>
      </c>
      <c r="AO182" s="59">
        <f t="shared" si="144"/>
        <v>417.43085823929903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2.6147649829781399</v>
      </c>
      <c r="AV182" s="21">
        <f>EXP(-LN(2)/25)*AV181+(1-EXP(-LN(2)/25))/(LN(2)/25)*Calculateur!AQ182*Calculateur!AS182*VLOOKUP('Données projet'!$B$10,Paramètres!$A$1:$I$89,3,0)*0.475*44/12</f>
        <v>0.33023738184430229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2.9450023648224422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123.48243581061803</v>
      </c>
      <c r="BJ182" s="59">
        <f t="shared" si="146"/>
        <v>405.05940798527138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2.5369445965799811</v>
      </c>
      <c r="BQ182" s="21">
        <f>EXP(-LN(2)/25)*BQ181+(1-EXP(-LN(2)/25))/(LN(2)/25)*Calculateur!BL182*Calculateur!BN182*VLOOKUP('Données projet'!$B$11,Paramètres!$A$1:$I$89,3,0)*0.475*44/12</f>
        <v>0.32040888833703129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2.8573534849170121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156.72204844493132</v>
      </c>
      <c r="CE182" s="59">
        <f t="shared" si="148"/>
        <v>377.72061016381247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2.3651555720216861</v>
      </c>
      <c r="CL182" s="21">
        <f>EXP(-LN(2)/25)*CL181+(1-EXP(-LN(2)/25))/(LN(2)/25)*Calculateur!CG182*Calculateur!CI182*VLOOKUP('Données projet'!$B$12,Paramètres!$A$1:$I$89,3,0)*0.475*44/12</f>
        <v>0.29871242304510986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2.6638679950667958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88.170414732964616</v>
      </c>
      <c r="CZ182" s="59">
        <f t="shared" si="150"/>
        <v>281.30515544919626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1.7615781515126401</v>
      </c>
      <c r="DG182" s="21">
        <f>EXP(-LN(2)/25)*DG181+(1-EXP(-LN(2)/25))/(LN(2)/25)*Calculateur!DB182*Calculateur!DD182*VLOOKUP('Données projet'!$B$13,Paramètres!$A$1:$I$89,3,0)*0.475*44/12</f>
        <v>0.22248231120453438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1.9840604627171745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88.170414732964616</v>
      </c>
      <c r="DU182" s="59">
        <f t="shared" si="152"/>
        <v>281.30515544919626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1.7615781515126401</v>
      </c>
      <c r="EB182" s="21">
        <f>EXP(-LN(2)/25)*EB181+(1-EXP(-LN(2)/25))/(LN(2)/25)*Calculateur!DW182*Calculateur!DY182*VLOOKUP('Données projet'!$B$14,Paramètres!$A$1:$I$89,3,0)*0.475*44/12</f>
        <v>0.22248231120453438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1.9840604627171745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138.90978401840104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1569.2263909917638</v>
      </c>
      <c r="H183" s="67">
        <f t="shared" si="110"/>
        <v>826.58691280085009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167.42995526007479</v>
      </c>
      <c r="T183" s="59">
        <f t="shared" si="142"/>
        <v>397.36718389105215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2.4397836942665965</v>
      </c>
      <c r="AA183" s="21">
        <f>EXP(-LN(2)/25)*AA182+(1-EXP(-LN(2)/25))/(LN(2)/25)*Calculateur!V183*Calculateur!X183*VLOOKUP('Données projet'!$B$9,Paramètres!$A$1:$I$89,3,0)*0.475*44/12</f>
        <v>0.30570641625020434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2.7454901105168008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127.55710992710948</v>
      </c>
      <c r="AO183" s="59">
        <f t="shared" si="144"/>
        <v>417.43085823929903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2.5634910365110999</v>
      </c>
      <c r="AV183" s="21">
        <f>EXP(-LN(2)/25)*AV182+(1-EXP(-LN(2)/25))/(LN(2)/25)*Calculateur!AQ183*Calculateur!AS183*VLOOKUP('Données projet'!$B$10,Paramètres!$A$1:$I$89,3,0)*0.475*44/12</f>
        <v>0.32120702327134071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2.8846980597824405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123.48243581061803</v>
      </c>
      <c r="BJ183" s="59">
        <f t="shared" si="146"/>
        <v>405.05940798527138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2.48719666042446</v>
      </c>
      <c r="BQ183" s="21">
        <f>EXP(-LN(2)/25)*BQ182+(1-EXP(-LN(2)/25))/(LN(2)/25)*Calculateur!BL183*Calculateur!BN183*VLOOKUP('Données projet'!$B$11,Paramètres!$A$1:$I$89,3,0)*0.475*44/12</f>
        <v>0.31164729043588402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2.798843950860344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156.72204844493132</v>
      </c>
      <c r="CE183" s="59">
        <f t="shared" si="148"/>
        <v>377.72061016381247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2.3187763138567945</v>
      </c>
      <c r="CL183" s="21">
        <f>EXP(-LN(2)/25)*CL182+(1-EXP(-LN(2)/25))/(LN(2)/25)*Calculateur!CG183*Calculateur!CI183*VLOOKUP('Données projet'!$B$12,Paramètres!$A$1:$I$89,3,0)*0.475*44/12</f>
        <v>0.29054411612833775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2.6093204299851323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88.170414732964616</v>
      </c>
      <c r="CZ183" s="59">
        <f t="shared" si="150"/>
        <v>281.30515544919626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1.7270346784180559</v>
      </c>
      <c r="DG183" s="21">
        <f>EXP(-LN(2)/25)*DG182+(1-EXP(-LN(2)/25))/(LN(2)/25)*Calculateur!DB183*Calculateur!DD183*VLOOKUP('Données projet'!$B$13,Paramètres!$A$1:$I$89,3,0)*0.475*44/12</f>
        <v>0.21639852070481014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1.9434331991228659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88.170414732964616</v>
      </c>
      <c r="DU183" s="59">
        <f t="shared" si="152"/>
        <v>281.30515544919626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1.7270346784180559</v>
      </c>
      <c r="EB183" s="21">
        <f>EXP(-LN(2)/25)*EB182+(1-EXP(-LN(2)/25))/(LN(2)/25)*Calculateur!DW183*Calculateur!DY183*VLOOKUP('Données projet'!$B$14,Paramètres!$A$1:$I$89,3,0)*0.475*44/12</f>
        <v>0.21639852070481014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1.9434331991228659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138.92869682832401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1577.6380227597401</v>
      </c>
      <c r="H184" s="67">
        <f t="shared" si="110"/>
        <v>828.48478721849972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167.42995526007479</v>
      </c>
      <c r="T184" s="59">
        <f t="shared" si="142"/>
        <v>397.36718389105215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2.3919410241431422</v>
      </c>
      <c r="AA184" s="21">
        <f>EXP(-LN(2)/25)*AA183+(1-EXP(-LN(2)/25))/(LN(2)/25)*Calculateur!V184*Calculateur!X184*VLOOKUP('Données projet'!$B$9,Paramètres!$A$1:$I$89,3,0)*0.475*44/12</f>
        <v>0.29734685822144075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2.6892878823645829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127.55710992710948</v>
      </c>
      <c r="AO184" s="59">
        <f t="shared" si="144"/>
        <v>417.43085823929903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2.5132225408602591</v>
      </c>
      <c r="AV184" s="21">
        <f>EXP(-LN(2)/25)*AV183+(1-EXP(-LN(2)/25))/(LN(2)/25)*Calculateur!AQ184*Calculateur!AS184*VLOOKUP('Données projet'!$B$10,Paramètres!$A$1:$I$89,3,0)*0.475*44/12</f>
        <v>0.31242360032844269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2.8256461411887019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123.48243581061803</v>
      </c>
      <c r="BJ184" s="59">
        <f t="shared" si="146"/>
        <v>405.05940798527138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2.438424250953704</v>
      </c>
      <c r="BQ184" s="21">
        <f>EXP(-LN(2)/25)*BQ183+(1-EXP(-LN(2)/25))/(LN(2)/25)*Calculateur!BL184*Calculateur!BN184*VLOOKUP('Données projet'!$B$11,Paramètres!$A$1:$I$89,3,0)*0.475*44/12</f>
        <v>0.30312527889009605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2.7415495298438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156.72204844493132</v>
      </c>
      <c r="CE184" s="59">
        <f t="shared" si="148"/>
        <v>377.72061016381247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2.2733065246559625</v>
      </c>
      <c r="CL184" s="21">
        <f>EXP(-LN(2)/25)*CL183+(1-EXP(-LN(2)/25))/(LN(2)/25)*Calculateur!CG184*Calculateur!CI184*VLOOKUP('Données projet'!$B$12,Paramètres!$A$1:$I$89,3,0)*0.475*44/12</f>
        <v>0.28259917199375734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2.5559056966497198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88.170414732964616</v>
      </c>
      <c r="CZ184" s="59">
        <f t="shared" si="150"/>
        <v>281.30515544919626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1.6931685817614184</v>
      </c>
      <c r="DG184" s="21">
        <f>EXP(-LN(2)/25)*DG183+(1-EXP(-LN(2)/25))/(LN(2)/25)*Calculateur!DB184*Calculateur!DD184*VLOOKUP('Données projet'!$B$13,Paramètres!$A$1:$I$89,3,0)*0.475*44/12</f>
        <v>0.21048109177623348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1.9036496735376518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88.170414732964616</v>
      </c>
      <c r="DU184" s="59">
        <f t="shared" si="152"/>
        <v>281.30515544919626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1.6931685817614184</v>
      </c>
      <c r="EB184" s="21">
        <f>EXP(-LN(2)/25)*EB183+(1-EXP(-LN(2)/25))/(LN(2)/25)*Calculateur!DW184*Calculateur!DY184*VLOOKUP('Données projet'!$B$14,Paramètres!$A$1:$I$89,3,0)*0.475*44/12</f>
        <v>0.21048109177623348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1.9036496735376518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138.94728154327748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1586.048659569735</v>
      </c>
      <c r="H185" s="67">
        <f t="shared" si="110"/>
        <v>830.38243714875489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167.42995526007479</v>
      </c>
      <c r="T185" s="59">
        <f t="shared" si="142"/>
        <v>397.36718389105215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2.3450365195996614</v>
      </c>
      <c r="AA185" s="21">
        <f>EXP(-LN(2)/25)*AA184+(1-EXP(-LN(2)/25))/(LN(2)/25)*Calculateur!V185*Calculateur!X185*VLOOKUP('Données projet'!$B$9,Paramètres!$A$1:$I$89,3,0)*0.475*44/12</f>
        <v>0.28921589274658377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2.6342524123462452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127.55710992710948</v>
      </c>
      <c r="AO185" s="59">
        <f t="shared" si="144"/>
        <v>417.43085823929903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2.4639397797483764</v>
      </c>
      <c r="AV185" s="21">
        <f>EXP(-LN(2)/25)*AV184+(1-EXP(-LN(2)/25))/(LN(2)/25)*Calculateur!AQ185*Calculateur!AS185*VLOOKUP('Données projet'!$B$10,Paramètres!$A$1:$I$89,3,0)*0.475*44/12</f>
        <v>0.30388036054781831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2.7678201402961946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123.48243581061803</v>
      </c>
      <c r="BJ185" s="59">
        <f t="shared" si="146"/>
        <v>405.05940798527138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2.3906082386844369</v>
      </c>
      <c r="BQ185" s="21">
        <f>EXP(-LN(2)/25)*BQ184+(1-EXP(-LN(2)/25))/(LN(2)/25)*Calculateur!BL185*Calculateur!BN185*VLOOKUP('Données projet'!$B$11,Paramètres!$A$1:$I$89,3,0)*0.475*44/12</f>
        <v>0.29483630219818074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2.6854445408826177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156.72204844493132</v>
      </c>
      <c r="CE185" s="59">
        <f t="shared" si="148"/>
        <v>377.72061016381247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2.2287283702875258</v>
      </c>
      <c r="CL185" s="21">
        <f>EXP(-LN(2)/25)*CL184+(1-EXP(-LN(2)/25))/(LN(2)/25)*Calculateur!CG185*Calculateur!CI185*VLOOKUP('Données projet'!$B$12,Paramètres!$A$1:$I$89,3,0)*0.475*44/12</f>
        <v>0.27487148277434348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2.5035998530618695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88.170414732964616</v>
      </c>
      <c r="CZ185" s="59">
        <f t="shared" si="150"/>
        <v>281.30515544919626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1.6599665786039381</v>
      </c>
      <c r="DG185" s="21">
        <f>EXP(-LN(2)/25)*DG184+(1-EXP(-LN(2)/25))/(LN(2)/25)*Calculateur!DB185*Calculateur!DD185*VLOOKUP('Données projet'!$B$13,Paramètres!$A$1:$I$89,3,0)*0.475*44/12</f>
        <v>0.20472547525289281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1.864692053856831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88.170414732964616</v>
      </c>
      <c r="DU185" s="59">
        <f t="shared" si="152"/>
        <v>281.30515544919626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1.6599665786039381</v>
      </c>
      <c r="EB185" s="21">
        <f>EXP(-LN(2)/25)*EB184+(1-EXP(-LN(2)/25))/(LN(2)/25)*Calculateur!DW185*Calculateur!DY185*VLOOKUP('Données projet'!$B$14,Paramètres!$A$1:$I$89,3,0)*0.475*44/12</f>
        <v>0.20472547525289281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1.864692053856831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138.96554385497575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1594.4583075229978</v>
      </c>
      <c r="H186" s="67">
        <f t="shared" si="110"/>
        <v>832.27986396820972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167.42995526007479</v>
      </c>
      <c r="T186" s="59">
        <f t="shared" si="142"/>
        <v>397.36718389105215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2.2990517837813558</v>
      </c>
      <c r="AA186" s="21">
        <f>EXP(-LN(2)/25)*AA185+(1-EXP(-LN(2)/25))/(LN(2)/25)*Calculateur!V186*Calculateur!X186*VLOOKUP('Données projet'!$B$9,Paramètres!$A$1:$I$89,3,0)*0.475*44/12</f>
        <v>0.28130726895022568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2.5803590527315814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127.55710992710948</v>
      </c>
      <c r="AO186" s="59">
        <f t="shared" si="144"/>
        <v>417.43085823929903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2.4156234235223817</v>
      </c>
      <c r="AV186" s="21">
        <f>EXP(-LN(2)/25)*AV185+(1-EXP(-LN(2)/25))/(LN(2)/25)*Calculateur!AQ186*Calculateur!AS186*VLOOKUP('Données projet'!$B$10,Paramètres!$A$1:$I$89,3,0)*0.475*44/12</f>
        <v>0.29557073610826456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2.7111941596306464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123.48243581061803</v>
      </c>
      <c r="BJ186" s="59">
        <f t="shared" si="146"/>
        <v>405.05940798527138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2.3437298692508826</v>
      </c>
      <c r="BQ186" s="21">
        <f>EXP(-LN(2)/25)*BQ185+(1-EXP(-LN(2)/25))/(LN(2)/25)*Calculateur!BL186*Calculateur!BN186*VLOOKUP('Données projet'!$B$11,Paramètres!$A$1:$I$89,3,0)*0.475*44/12</f>
        <v>0.28677398800980419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2.6305038572606869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156.72204844493132</v>
      </c>
      <c r="CE186" s="59">
        <f t="shared" si="148"/>
        <v>377.72061016381247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2.1850243663362647</v>
      </c>
      <c r="CL186" s="21">
        <f>EXP(-LN(2)/25)*CL185+(1-EXP(-LN(2)/25))/(LN(2)/25)*Calculateur!CG186*Calculateur!CI186*VLOOKUP('Données projet'!$B$12,Paramètres!$A$1:$I$89,3,0)*0.475*44/12</f>
        <v>0.26735510762301601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2.4523794739592808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88.170414732964616</v>
      </c>
      <c r="CZ186" s="59">
        <f t="shared" si="150"/>
        <v>281.30515544919626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1.6274156464771539</v>
      </c>
      <c r="DG186" s="21">
        <f>EXP(-LN(2)/25)*DG185+(1-EXP(-LN(2)/25))/(LN(2)/25)*Calculateur!DB186*Calculateur!DD186*VLOOKUP('Données projet'!$B$13,Paramètres!$A$1:$I$89,3,0)*0.475*44/12</f>
        <v>0.19912724636605761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1.8265428928432115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88.170414732964616</v>
      </c>
      <c r="DU186" s="59">
        <f t="shared" si="152"/>
        <v>281.30515544919626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1.6274156464771539</v>
      </c>
      <c r="EB186" s="21">
        <f>EXP(-LN(2)/25)*EB185+(1-EXP(-LN(2)/25))/(LN(2)/25)*Calculateur!DW186*Calculateur!DY186*VLOOKUP('Données projet'!$B$14,Paramètres!$A$1:$I$89,3,0)*0.475*44/12</f>
        <v>0.19912724636605761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1.8265428928432115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138.98348935639444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1602.8669726502362</v>
      </c>
      <c r="H187" s="67">
        <f t="shared" si="110"/>
        <v>834.17706903754288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167.42995526007479</v>
      </c>
      <c r="T187" s="59">
        <f t="shared" si="142"/>
        <v>397.36718389105215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2.2539687805845277</v>
      </c>
      <c r="AA187" s="21">
        <f>EXP(-LN(2)/25)*AA186+(1-EXP(-LN(2)/25))/(LN(2)/25)*Calculateur!V187*Calculateur!X187*VLOOKUP('Données projet'!$B$9,Paramètres!$A$1:$I$89,3,0)*0.475*44/12</f>
        <v>0.27361490688747542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2.5275836874720032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127.55710992710948</v>
      </c>
      <c r="AO187" s="59">
        <f t="shared" si="144"/>
        <v>417.43085823929903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2.3682545215719113</v>
      </c>
      <c r="AV187" s="21">
        <f>EXP(-LN(2)/25)*AV186+(1-EXP(-LN(2)/25))/(LN(2)/25)*Calculateur!AQ187*Calculateur!AS187*VLOOKUP('Données projet'!$B$10,Paramètres!$A$1:$I$89,3,0)*0.475*44/12</f>
        <v>0.28748833878599461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2.6557428603579059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123.48243581061803</v>
      </c>
      <c r="BJ187" s="59">
        <f t="shared" si="146"/>
        <v>405.05940798527138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2.2977707560489384</v>
      </c>
      <c r="BQ187" s="21">
        <f>EXP(-LN(2)/25)*BQ186+(1-EXP(-LN(2)/25))/(LN(2)/25)*Calculateur!BL187*Calculateur!BN187*VLOOKUP('Données projet'!$B$11,Paramètres!$A$1:$I$89,3,0)*0.475*44/12</f>
        <v>0.2789321382268875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2.5767028942758259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156.72204844493132</v>
      </c>
      <c r="CE187" s="59">
        <f t="shared" si="148"/>
        <v>377.72061016381247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2.1421773712456775</v>
      </c>
      <c r="CL187" s="21">
        <f>EXP(-LN(2)/25)*CL186+(1-EXP(-LN(2)/25))/(LN(2)/25)*Calculateur!CG187*Calculateur!CI187*VLOOKUP('Données projet'!$B$12,Paramètres!$A$1:$I$89,3,0)*0.475*44/12</f>
        <v>0.26004426814547055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2.402221639391148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88.170414732964616</v>
      </c>
      <c r="CZ187" s="59">
        <f t="shared" si="150"/>
        <v>281.30515544919626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1.5955030182752676</v>
      </c>
      <c r="DG187" s="21">
        <f>EXP(-LN(2)/25)*DG186+(1-EXP(-LN(2)/25))/(LN(2)/25)*Calculateur!DB187*Calculateur!DD187*VLOOKUP('Données projet'!$B$13,Paramètres!$A$1:$I$89,3,0)*0.475*44/12</f>
        <v>0.193682101342531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1.7891851196177986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88.170414732964616</v>
      </c>
      <c r="DU187" s="59">
        <f t="shared" si="152"/>
        <v>281.30515544919626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1.5955030182752676</v>
      </c>
      <c r="EB187" s="21">
        <f>EXP(-LN(2)/25)*EB186+(1-EXP(-LN(2)/25))/(LN(2)/25)*Calculateur!DW187*Calculateur!DY187*VLOOKUP('Données projet'!$B$14,Paramètres!$A$1:$I$89,3,0)*0.475*44/12</f>
        <v>0.193682101342531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1.7891851196177986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139.00112354348366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1611.2746609128137</v>
      </c>
      <c r="H188" s="67">
        <f t="shared" si="110"/>
        <v>836.07405370178697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167.42995526007479</v>
      </c>
      <c r="T188" s="59">
        <f t="shared" si="142"/>
        <v>397.36718389105215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2.2097698275824724</v>
      </c>
      <c r="AA188" s="21">
        <f>EXP(-LN(2)/25)*AA187+(1-EXP(-LN(2)/25))/(LN(2)/25)*Calculateur!V188*Calculateur!X188*VLOOKUP('Données projet'!$B$9,Paramètres!$A$1:$I$89,3,0)*0.475*44/12</f>
        <v>0.26613289286985481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2.4759027204523272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127.55710992710948</v>
      </c>
      <c r="AO188" s="59">
        <f t="shared" si="144"/>
        <v>417.43085823929903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2.3218144948965125</v>
      </c>
      <c r="AV188" s="21">
        <f>EXP(-LN(2)/25)*AV187+(1-EXP(-LN(2)/25))/(LN(2)/25)*Calculateur!AQ188*Calculateur!AS188*VLOOKUP('Données projet'!$B$10,Paramètres!$A$1:$I$89,3,0)*0.475*44/12</f>
        <v>0.27962695504353691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2.6014414499400496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123.48243581061803</v>
      </c>
      <c r="BJ188" s="59">
        <f t="shared" si="146"/>
        <v>405.05940798527138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2.2527128730245933</v>
      </c>
      <c r="BQ188" s="21">
        <f>EXP(-LN(2)/25)*BQ187+(1-EXP(-LN(2)/25))/(LN(2)/25)*Calculateur!BL188*Calculateur!BN188*VLOOKUP('Données projet'!$B$11,Paramètres!$A$1:$I$89,3,0)*0.475*44/12</f>
        <v>0.27130472423866964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2.524017597263263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156.72204844493132</v>
      </c>
      <c r="CE188" s="59">
        <f t="shared" si="148"/>
        <v>377.72061016381247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2.1001705795947303</v>
      </c>
      <c r="CL188" s="21">
        <f>EXP(-LN(2)/25)*CL187+(1-EXP(-LN(2)/25))/(LN(2)/25)*Calculateur!CG188*Calculateur!CI188*VLOOKUP('Données projet'!$B$12,Paramètres!$A$1:$I$89,3,0)*0.475*44/12</f>
        <v>0.25293334395789896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2.3531039235526294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88.170414732964616</v>
      </c>
      <c r="CZ188" s="59">
        <f t="shared" si="150"/>
        <v>281.30515544919626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1.5642161772476391</v>
      </c>
      <c r="DG188" s="21">
        <f>EXP(-LN(2)/25)*DG187+(1-EXP(-LN(2)/25))/(LN(2)/25)*Calculateur!DB188*Calculateur!DD188*VLOOKUP('Données projet'!$B$13,Paramètres!$A$1:$I$89,3,0)*0.475*44/12</f>
        <v>0.18838585409602043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1.7526020313436594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88.170414732964616</v>
      </c>
      <c r="DU188" s="59">
        <f t="shared" si="152"/>
        <v>281.30515544919626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1.5642161772476391</v>
      </c>
      <c r="EB188" s="21">
        <f>EXP(-LN(2)/25)*EB187+(1-EXP(-LN(2)/25))/(LN(2)/25)*Calculateur!DW188*Calculateur!DY188*VLOOKUP('Données projet'!$B$14,Paramètres!$A$1:$I$89,3,0)*0.475*44/12</f>
        <v>0.18838585409602043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1.7526020313436594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139.01845181685101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1619.6813782039155</v>
      </c>
      <c r="H189" s="67">
        <f t="shared" si="110"/>
        <v>837.97081929059186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167.42995526007479</v>
      </c>
      <c r="T189" s="59">
        <f t="shared" si="142"/>
        <v>397.36718389105215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2.166437589090088</v>
      </c>
      <c r="AA189" s="21">
        <f>EXP(-LN(2)/25)*AA188+(1-EXP(-LN(2)/25))/(LN(2)/25)*Calculateur!V189*Calculateur!X189*VLOOKUP('Données projet'!$B$9,Paramètres!$A$1:$I$89,3,0)*0.475*44/12</f>
        <v>0.25885547491900807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2.4252930640090962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127.55710992710948</v>
      </c>
      <c r="AO189" s="59">
        <f t="shared" si="144"/>
        <v>417.43085823929903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2.276285128818599</v>
      </c>
      <c r="AV189" s="21">
        <f>EXP(-LN(2)/25)*AV188+(1-EXP(-LN(2)/25))/(LN(2)/25)*Calculateur!AQ189*Calculateur!AS189*VLOOKUP('Données projet'!$B$10,Paramètres!$A$1:$I$89,3,0)*0.475*44/12</f>
        <v>0.27198054125292892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2.5482656700715278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123.48243581061803</v>
      </c>
      <c r="BJ189" s="59">
        <f t="shared" si="146"/>
        <v>405.05940798527138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2.2085385476037604</v>
      </c>
      <c r="BQ189" s="21">
        <f>EXP(-LN(2)/25)*BQ188+(1-EXP(-LN(2)/25))/(LN(2)/25)*Calculateur!BL189*Calculateur!BN189*VLOOKUP('Données projet'!$B$11,Paramètres!$A$1:$I$89,3,0)*0.475*44/12</f>
        <v>0.26388588228706783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2.4724244298908284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156.72204844493132</v>
      </c>
      <c r="CE189" s="59">
        <f t="shared" si="148"/>
        <v>377.72061016381247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2.0589875155064452</v>
      </c>
      <c r="CL189" s="21">
        <f>EXP(-LN(2)/25)*CL188+(1-EXP(-LN(2)/25))/(LN(2)/25)*Calculateur!CG189*Calculateur!CI189*VLOOKUP('Données projet'!$B$12,Paramètres!$A$1:$I$89,3,0)*0.475*44/12</f>
        <v>0.24601686836618375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2.3050043838726291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88.170414732964616</v>
      </c>
      <c r="CZ189" s="59">
        <f t="shared" si="150"/>
        <v>281.30515544919626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1.5335428520894736</v>
      </c>
      <c r="DG189" s="21">
        <f>EXP(-LN(2)/25)*DG188+(1-EXP(-LN(2)/25))/(LN(2)/25)*Calculateur!DB189*Calculateur!DD189*VLOOKUP('Données projet'!$B$13,Paramètres!$A$1:$I$89,3,0)*0.475*44/12</f>
        <v>0.18323443300898326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1.7167772850984568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88.170414732964616</v>
      </c>
      <c r="DU189" s="59">
        <f t="shared" si="152"/>
        <v>281.30515544919626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1.5335428520894736</v>
      </c>
      <c r="EB189" s="21">
        <f>EXP(-LN(2)/25)*EB188+(1-EXP(-LN(2)/25))/(LN(2)/25)*Calculateur!DW189*Calculateur!DY189*VLOOKUP('Données projet'!$B$14,Paramètres!$A$1:$I$89,3,0)*0.475*44/12</f>
        <v>0.18323443300898326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1.7167772850984568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139.03547948341566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1628.087130349692</v>
      </c>
      <c r="H190" s="67">
        <f t="shared" si="110"/>
        <v>839.86736711848266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167.42995526007479</v>
      </c>
      <c r="T190" s="59">
        <f t="shared" si="142"/>
        <v>397.36718389105215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2.1239550693644835</v>
      </c>
      <c r="AA190" s="21">
        <f>EXP(-LN(2)/25)*AA189+(1-EXP(-LN(2)/25))/(LN(2)/25)*Calculateur!V190*Calculateur!X190*VLOOKUP('Données projet'!$B$9,Paramètres!$A$1:$I$89,3,0)*0.475*44/12</f>
        <v>0.25177705834472996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2.3757321277092136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127.55710992710948</v>
      </c>
      <c r="AO190" s="59">
        <f t="shared" si="144"/>
        <v>417.43085823929903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2.2316485658393019</v>
      </c>
      <c r="AV190" s="21">
        <f>EXP(-LN(2)/25)*AV189+(1-EXP(-LN(2)/25))/(LN(2)/25)*Calculateur!AQ190*Calculateur!AS190*VLOOKUP('Données projet'!$B$10,Paramètres!$A$1:$I$89,3,0)*0.475*44/12</f>
        <v>0.26454321904953254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2.4961917848888344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123.48243581061803</v>
      </c>
      <c r="BJ190" s="59">
        <f t="shared" si="146"/>
        <v>405.05940798527138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2.1652304537607523</v>
      </c>
      <c r="BQ190" s="21">
        <f>EXP(-LN(2)/25)*BQ189+(1-EXP(-LN(2)/25))/(LN(2)/25)*Calculateur!BL190*Calculateur!BN190*VLOOKUP('Données projet'!$B$11,Paramètres!$A$1:$I$89,3,0)*0.475*44/12</f>
        <v>0.25666990895877251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2.4219003627195246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156.72204844493132</v>
      </c>
      <c r="CE190" s="59">
        <f t="shared" si="148"/>
        <v>377.72061016381247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2.0186120261857425</v>
      </c>
      <c r="CL190" s="21">
        <f>EXP(-LN(2)/25)*CL189+(1-EXP(-LN(2)/25))/(LN(2)/25)*Calculateur!CG190*Calculateur!CI190*VLOOKUP('Données projet'!$B$12,Paramètres!$A$1:$I$89,3,0)*0.475*44/12</f>
        <v>0.23928952416324561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2.2579015503489881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88.170414732964616</v>
      </c>
      <c r="CZ190" s="59">
        <f t="shared" si="150"/>
        <v>281.30515544919626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1.5034710121287789</v>
      </c>
      <c r="DG190" s="21">
        <f>EXP(-LN(2)/25)*DG189+(1-EXP(-LN(2)/25))/(LN(2)/25)*Calculateur!DB190*Calculateur!DD190*VLOOKUP('Données projet'!$B$13,Paramètres!$A$1:$I$89,3,0)*0.475*44/12</f>
        <v>0.17822387780247256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1.6816948899312514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88.170414732964616</v>
      </c>
      <c r="DU190" s="59">
        <f t="shared" si="152"/>
        <v>281.30515544919626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1.5034710121287789</v>
      </c>
      <c r="EB190" s="21">
        <f>EXP(-LN(2)/25)*EB189+(1-EXP(-LN(2)/25))/(LN(2)/25)*Calculateur!DW190*Calculateur!DY190*VLOOKUP('Données projet'!$B$14,Paramètres!$A$1:$I$89,3,0)*0.475*44/12</f>
        <v>0.17822387780247256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1.6816948899312514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139.05221175803356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1636.4919231103745</v>
      </c>
      <c r="H191" s="67">
        <f t="shared" si="110"/>
        <v>841.7636984851116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167.42995526007479</v>
      </c>
      <c r="T191" s="59">
        <f t="shared" si="142"/>
        <v>397.36718389105215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2.0823056059389198</v>
      </c>
      <c r="AA191" s="21">
        <f>EXP(-LN(2)/25)*AA190+(1-EXP(-LN(2)/25))/(LN(2)/25)*Calculateur!V191*Calculateur!X191*VLOOKUP('Données projet'!$B$9,Paramètres!$A$1:$I$89,3,0)*0.475*44/12</f>
        <v>0.24489220144391327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2.327197807382833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127.55710992710948</v>
      </c>
      <c r="AO191" s="59">
        <f t="shared" si="144"/>
        <v>417.43085823929903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2.187887298634414</v>
      </c>
      <c r="AV191" s="21">
        <f>EXP(-LN(2)/25)*AV190+(1-EXP(-LN(2)/25))/(LN(2)/25)*Calculateur!AQ191*Calculateur!AS191*VLOOKUP('Données projet'!$B$10,Paramètres!$A$1:$I$89,3,0)*0.475*44/12</f>
        <v>0.25730927081289978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2.4451965694473139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123.48243581061803</v>
      </c>
      <c r="BJ191" s="59">
        <f t="shared" si="146"/>
        <v>405.05940798527138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2.1227716052226762</v>
      </c>
      <c r="BQ191" s="21">
        <f>EXP(-LN(2)/25)*BQ190+(1-EXP(-LN(2)/25))/(LN(2)/25)*Calculateur!BL191*Calculateur!BN191*VLOOKUP('Données projet'!$B$11,Paramètres!$A$1:$I$89,3,0)*0.475*44/12</f>
        <v>0.24965125680061098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2.3724228620232872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156.72204844493132</v>
      </c>
      <c r="CE191" s="59">
        <f t="shared" si="148"/>
        <v>377.72061016381247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1.9790282755840021</v>
      </c>
      <c r="CL191" s="21">
        <f>EXP(-LN(2)/25)*CL190+(1-EXP(-LN(2)/25))/(LN(2)/25)*Calculateur!CG191*Calculateur!CI191*VLOOKUP('Données projet'!$B$12,Paramètres!$A$1:$I$89,3,0)*0.475*44/12</f>
        <v>0.23274613954131249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2.2117744151253147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88.170414732964616</v>
      </c>
      <c r="CZ191" s="59">
        <f t="shared" si="150"/>
        <v>281.30515544919626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1.473988862607702</v>
      </c>
      <c r="DG191" s="21">
        <f>EXP(-LN(2)/25)*DG190+(1-EXP(-LN(2)/25))/(LN(2)/25)*Calculateur!DB191*Calculateur!DD191*VLOOKUP('Données projet'!$B$13,Paramètres!$A$1:$I$89,3,0)*0.475*44/12</f>
        <v>0.17335033649157755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1.6473391990992796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88.170414732964616</v>
      </c>
      <c r="DU191" s="59">
        <f t="shared" si="152"/>
        <v>281.30515544919626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1.473988862607702</v>
      </c>
      <c r="EB191" s="21">
        <f>EXP(-LN(2)/25)*EB190+(1-EXP(-LN(2)/25))/(LN(2)/25)*Calculateur!DW191*Calculateur!DY191*VLOOKUP('Données projet'!$B$14,Paramètres!$A$1:$I$89,3,0)*0.475*44/12</f>
        <v>0.17335033649157755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1.6473391990992796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139.06865376509461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1644.8957621813679</v>
      </c>
      <c r="H192" s="67">
        <f t="shared" si="110"/>
        <v>843.65981467550444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167.42995526007479</v>
      </c>
      <c r="T192" s="59">
        <f t="shared" si="142"/>
        <v>397.36718389105215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2.041472863087467</v>
      </c>
      <c r="AA192" s="21">
        <f>EXP(-LN(2)/25)*AA191+(1-EXP(-LN(2)/25))/(LN(2)/25)*Calculateur!V192*Calculateur!X192*VLOOKUP('Données projet'!$B$9,Paramètres!$A$1:$I$89,3,0)*0.475*44/12</f>
        <v>0.23819561131710829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2.2796684744045752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127.55710992710948</v>
      </c>
      <c r="AO192" s="59">
        <f t="shared" si="144"/>
        <v>417.43085823929903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2.1449841631876763</v>
      </c>
      <c r="AV192" s="21">
        <f>EXP(-LN(2)/25)*AV191+(1-EXP(-LN(2)/25))/(LN(2)/25)*Calculateur!AQ192*Calculateur!AS192*VLOOKUP('Données projet'!$B$10,Paramètres!$A$1:$I$89,3,0)*0.475*44/12</f>
        <v>0.25027313527121459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2.3952572984588909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123.48243581061803</v>
      </c>
      <c r="BJ192" s="59">
        <f t="shared" si="146"/>
        <v>405.05940798527138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2.0811453488070915</v>
      </c>
      <c r="BQ192" s="21">
        <f>EXP(-LN(2)/25)*BQ191+(1-EXP(-LN(2)/25))/(LN(2)/25)*Calculateur!BL192*Calculateur!BN192*VLOOKUP('Données projet'!$B$11,Paramètres!$A$1:$I$89,3,0)*0.475*44/12</f>
        <v>0.24282453005480928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2.3239698788619005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156.72204844493132</v>
      </c>
      <c r="CE192" s="59">
        <f t="shared" si="148"/>
        <v>377.72061016381247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1.9402207381878578</v>
      </c>
      <c r="CL192" s="21">
        <f>EXP(-LN(2)/25)*CL191+(1-EXP(-LN(2)/25))/(LN(2)/25)*Calculateur!CG192*Calculateur!CI192*VLOOKUP('Données projet'!$B$12,Paramètres!$A$1:$I$89,3,0)*0.475*44/12</f>
        <v>0.22638168411596776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2.1666024223038254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88.170414732964616</v>
      </c>
      <c r="CZ192" s="59">
        <f t="shared" si="150"/>
        <v>281.30515544919626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1.4450848400563978</v>
      </c>
      <c r="DG192" s="21">
        <f>EXP(-LN(2)/25)*DG191+(1-EXP(-LN(2)/25))/(LN(2)/25)*Calculateur!DB192*Calculateur!DD192*VLOOKUP('Données projet'!$B$13,Paramètres!$A$1:$I$89,3,0)*0.475*44/12</f>
        <v>0.16861006242411736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1.6136949024805152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88.170414732964616</v>
      </c>
      <c r="DU192" s="59">
        <f t="shared" si="152"/>
        <v>281.30515544919626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1.4450848400563978</v>
      </c>
      <c r="EB192" s="21">
        <f>EXP(-LN(2)/25)*EB191+(1-EXP(-LN(2)/25))/(LN(2)/25)*Calculateur!DW192*Calculateur!DY192*VLOOKUP('Données projet'!$B$14,Paramètres!$A$1:$I$89,3,0)*0.475*44/12</f>
        <v>0.16861006242411736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1.6136949024805152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139.08481054009195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1653.2986531943193</v>
      </c>
      <c r="H193" s="67">
        <f t="shared" si="110"/>
        <v>845.55571696030165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167.42995526007479</v>
      </c>
      <c r="T193" s="59">
        <f t="shared" si="142"/>
        <v>397.36718389105215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2.0014408254178173</v>
      </c>
      <c r="AA193" s="21">
        <f>EXP(-LN(2)/25)*AA192+(1-EXP(-LN(2)/25))/(LN(2)/25)*Calculateur!V193*Calculateur!X193*VLOOKUP('Données projet'!$B$9,Paramètres!$A$1:$I$89,3,0)*0.475*44/12</f>
        <v>0.23168213979947916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2.2331229652172966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127.55710992710948</v>
      </c>
      <c r="AO193" s="59">
        <f t="shared" si="144"/>
        <v>417.43085823929903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2.1029223320587205</v>
      </c>
      <c r="AV193" s="21">
        <f>EXP(-LN(2)/25)*AV192+(1-EXP(-LN(2)/25))/(LN(2)/25)*Calculateur!AQ193*Calculateur!AS193*VLOOKUP('Données projet'!$B$10,Paramètres!$A$1:$I$89,3,0)*0.475*44/12</f>
        <v>0.24342940322593104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2.3463517352846517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123.48243581061803</v>
      </c>
      <c r="BJ193" s="59">
        <f t="shared" si="146"/>
        <v>405.05940798527138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2.040335357890307</v>
      </c>
      <c r="BQ193" s="21">
        <f>EXP(-LN(2)/25)*BQ192+(1-EXP(-LN(2)/25))/(LN(2)/25)*Calculateur!BL193*Calculateur!BN193*VLOOKUP('Données projet'!$B$11,Paramètres!$A$1:$I$89,3,0)*0.475*44/12</f>
        <v>0.23618448051087346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2.2765198384011804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156.72204844493132</v>
      </c>
      <c r="CE193" s="59">
        <f t="shared" si="148"/>
        <v>377.72061016381247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1.9021741929297913</v>
      </c>
      <c r="CL193" s="21">
        <f>EXP(-LN(2)/25)*CL192+(1-EXP(-LN(2)/25))/(LN(2)/25)*Calculateur!CG193*Calculateur!CI193*VLOOKUP('Données projet'!$B$12,Paramètres!$A$1:$I$89,3,0)*0.475*44/12</f>
        <v>0.22019126505892125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2.1223654579887126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88.170414732964616</v>
      </c>
      <c r="CZ193" s="59">
        <f t="shared" si="150"/>
        <v>281.30515544919626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1.4167476077576118</v>
      </c>
      <c r="DG193" s="21">
        <f>EXP(-LN(2)/25)*DG192+(1-EXP(-LN(2)/25))/(LN(2)/25)*Calculateur!DB193*Calculateur!DD193*VLOOKUP('Données projet'!$B$13,Paramètres!$A$1:$I$89,3,0)*0.475*44/12</f>
        <v>0.16399941140031205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1.5807470191579238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88.170414732964616</v>
      </c>
      <c r="DU193" s="59">
        <f t="shared" si="152"/>
        <v>281.30515544919626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1.4167476077576118</v>
      </c>
      <c r="EB193" s="21">
        <f>EXP(-LN(2)/25)*EB192+(1-EXP(-LN(2)/25))/(LN(2)/25)*Calculateur!DW193*Calculateur!DY193*VLOOKUP('Données projet'!$B$14,Paramètres!$A$1:$I$89,3,0)*0.475*44/12</f>
        <v>0.16399941140031205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1.5807470191579238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139.10068703116426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1661.7006017181634</v>
      </c>
      <c r="H194" s="67">
        <f t="shared" si="110"/>
        <v>847.45140659599406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167.42995526007479</v>
      </c>
      <c r="T194" s="59">
        <f t="shared" si="142"/>
        <v>397.36718389105215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1.9621937915897376</v>
      </c>
      <c r="AA194" s="21">
        <f>EXP(-LN(2)/25)*AA193+(1-EXP(-LN(2)/25))/(LN(2)/25)*Calculateur!V194*Calculateur!X194*VLOOKUP('Données projet'!$B$9,Paramètres!$A$1:$I$89,3,0)*0.475*44/12</f>
        <v>0.2253467795030282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2.1875405710927658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127.55710992710948</v>
      </c>
      <c r="AO194" s="59">
        <f t="shared" si="144"/>
        <v>417.43085823929903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2.0616853077830197</v>
      </c>
      <c r="AV194" s="21">
        <f>EXP(-LN(2)/25)*AV193+(1-EXP(-LN(2)/25))/(LN(2)/25)*Calculateur!AQ194*Calculateur!AS194*VLOOKUP('Données projet'!$B$10,Paramètres!$A$1:$I$89,3,0)*0.475*44/12</f>
        <v>0.23677281339332201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2.298458121176342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123.48243581061803</v>
      </c>
      <c r="BJ194" s="59">
        <f t="shared" si="146"/>
        <v>405.05940798527138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2.0003256260037641</v>
      </c>
      <c r="BQ194" s="21">
        <f>EXP(-LN(2)/25)*BQ193+(1-EXP(-LN(2)/25))/(LN(2)/25)*Calculateur!BL194*Calculateur!BN194*VLOOKUP('Données projet'!$B$11,Paramètres!$A$1:$I$89,3,0)*0.475*44/12</f>
        <v>0.22972600347090161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2.2300516294746657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156.72204844493132</v>
      </c>
      <c r="CE194" s="59">
        <f t="shared" si="148"/>
        <v>377.72061016381247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1.8648737172181344</v>
      </c>
      <c r="CL194" s="21">
        <f>EXP(-LN(2)/25)*CL193+(1-EXP(-LN(2)/25))/(LN(2)/25)*Calculateur!CG194*Calculateur!CI194*VLOOKUP('Données projet'!$B$12,Paramètres!$A$1:$I$89,3,0)*0.475*44/12</f>
        <v>0.21417012333652968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2.0790438405546641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88.170414732964616</v>
      </c>
      <c r="CZ194" s="59">
        <f t="shared" si="150"/>
        <v>281.30515544919626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1.3889660513002</v>
      </c>
      <c r="DG194" s="21">
        <f>EXP(-LN(2)/25)*DG193+(1-EXP(-LN(2)/25))/(LN(2)/25)*Calculateur!DB194*Calculateur!DD194*VLOOKUP('Données projet'!$B$13,Paramètres!$A$1:$I$89,3,0)*0.475*44/12</f>
        <v>0.15951483887121629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1.5484808901714162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88.170414732964616</v>
      </c>
      <c r="DU194" s="59">
        <f t="shared" si="152"/>
        <v>281.30515544919626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1.3889660513002</v>
      </c>
      <c r="EB194" s="21">
        <f>EXP(-LN(2)/25)*EB193+(1-EXP(-LN(2)/25))/(LN(2)/25)*Calculateur!DW194*Calculateur!DY194*VLOOKUP('Données projet'!$B$14,Paramètres!$A$1:$I$89,3,0)*0.475*44/12</f>
        <v>0.15951483887121629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1.5484808901714162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139.11628810061097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1670.1016132601471</v>
      </c>
      <c r="H195" s="67">
        <f t="shared" si="110"/>
        <v>849.34688482515401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167.42995526007479</v>
      </c>
      <c r="T195" s="59">
        <f t="shared" si="142"/>
        <v>397.36718389105215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1.9237163681566996</v>
      </c>
      <c r="AA195" s="21">
        <f>EXP(-LN(2)/25)*AA194+(1-EXP(-LN(2)/25))/(LN(2)/25)*Calculateur!V195*Calculateur!X195*VLOOKUP('Données projet'!$B$9,Paramètres!$A$1:$I$89,3,0)*0.475*44/12</f>
        <v>0.21918465996704581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2.1429010281237453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127.55710992710948</v>
      </c>
      <c r="AO195" s="59">
        <f t="shared" si="144"/>
        <v>417.43085823929903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2.0212569164012644</v>
      </c>
      <c r="AV195" s="21">
        <f>EXP(-LN(2)/25)*AV194+(1-EXP(-LN(2)/25))/(LN(2)/25)*Calculateur!AQ195*Calculateur!AS195*VLOOKUP('Données projet'!$B$10,Paramètres!$A$1:$I$89,3,0)*0.475*44/12</f>
        <v>0.23029824835974053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2.251555164761005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123.48243581061803</v>
      </c>
      <c r="BJ195" s="59">
        <f t="shared" si="146"/>
        <v>405.05940798527138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1.9611004605559894</v>
      </c>
      <c r="BQ195" s="21">
        <f>EXP(-LN(2)/25)*BQ194+(1-EXP(-LN(2)/25))/(LN(2)/25)*Calculateur!BL195*Calculateur!BN195*VLOOKUP('Données projet'!$B$11,Paramètres!$A$1:$I$89,3,0)*0.475*44/12</f>
        <v>0.22344413382522432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2.1845445943812138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156.72204844493132</v>
      </c>
      <c r="CE195" s="59">
        <f t="shared" si="148"/>
        <v>377.72061016381247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1.8283046810841395</v>
      </c>
      <c r="CL195" s="21">
        <f>EXP(-LN(2)/25)*CL194+(1-EXP(-LN(2)/25))/(LN(2)/25)*Calculateur!CG195*Calculateur!CI195*VLOOKUP('Données projet'!$B$12,Paramètres!$A$1:$I$89,3,0)*0.475*44/12</f>
        <v>0.20831363005117498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2.0366183111353147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88.170414732964616</v>
      </c>
      <c r="CZ195" s="59">
        <f t="shared" si="150"/>
        <v>281.30515544919626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1.3617292742198417</v>
      </c>
      <c r="DG195" s="21">
        <f>EXP(-LN(2)/25)*DG194+(1-EXP(-LN(2)/25))/(LN(2)/25)*Calculateur!DB195*Calculateur!DD195*VLOOKUP('Données projet'!$B$13,Paramètres!$A$1:$I$89,3,0)*0.475*44/12</f>
        <v>0.15515289721376208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1.5168821714336038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88.170414732964616</v>
      </c>
      <c r="DU195" s="59">
        <f t="shared" si="152"/>
        <v>281.30515544919626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1.3617292742198417</v>
      </c>
      <c r="EB195" s="21">
        <f>EXP(-LN(2)/25)*EB194+(1-EXP(-LN(2)/25))/(LN(2)/25)*Calculateur!DW195*Calculateur!DY195*VLOOKUP('Données projet'!$B$14,Paramètres!$A$1:$I$89,3,0)*0.475*44/12</f>
        <v>0.15515289721376208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1.5168821714336038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139.13161852638154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1678.5016932668261</v>
      </c>
      <c r="H196" s="67">
        <f t="shared" ref="H196:H203" si="192">(B196+E196+F196)*44/12+(C196+D196)*0.475*44/12</f>
        <v>851.24215287666095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167.42995526007479</v>
      </c>
      <c r="T196" s="59">
        <f t="shared" si="142"/>
        <v>397.36718389105215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1.8859934635282725</v>
      </c>
      <c r="AA196" s="21">
        <f>EXP(-LN(2)/25)*AA195+(1-EXP(-LN(2)/25))/(LN(2)/25)*Calculateur!V196*Calculateur!X196*VLOOKUP('Données projet'!$B$9,Paramètres!$A$1:$I$89,3,0)*0.475*44/12</f>
        <v>0.21319104391382662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2.0991845074420992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127.55710992710948</v>
      </c>
      <c r="AO196" s="59">
        <f t="shared" si="144"/>
        <v>417.43085823929903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1.9816213011156212</v>
      </c>
      <c r="AV196" s="21">
        <f>EXP(-LN(2)/25)*AV195+(1-EXP(-LN(2)/25))/(LN(2)/25)*Calculateur!AQ196*Calculateur!AS196*VLOOKUP('Données projet'!$B$10,Paramètres!$A$1:$I$89,3,0)*0.475*44/12</f>
        <v>0.22400073064748488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2.2056220317631059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123.48243581061803</v>
      </c>
      <c r="BJ196" s="59">
        <f t="shared" si="146"/>
        <v>405.05940798527138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1.9226444766776571</v>
      </c>
      <c r="BQ196" s="21">
        <f>EXP(-LN(2)/25)*BQ195+(1-EXP(-LN(2)/25))/(LN(2)/25)*Calculateur!BL196*Calculateur!BN196*VLOOKUP('Données projet'!$B$11,Paramètres!$A$1:$I$89,3,0)*0.475*44/12</f>
        <v>0.21733404223535727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2.1399785189130145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156.72204844493132</v>
      </c>
      <c r="CE196" s="59">
        <f t="shared" si="148"/>
        <v>377.72061016381247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1.7924527414438225</v>
      </c>
      <c r="CL196" s="21">
        <f>EXP(-LN(2)/25)*CL195+(1-EXP(-LN(2)/25))/(LN(2)/25)*Calculateur!CG196*Calculateur!CI196*VLOOKUP('Données projet'!$B$12,Paramètres!$A$1:$I$89,3,0)*0.475*44/12</f>
        <v>0.2026172828826879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1.9950700243265105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88.170414732964616</v>
      </c>
      <c r="CZ196" s="59">
        <f t="shared" si="150"/>
        <v>281.30515544919626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1.3350265937252357</v>
      </c>
      <c r="DG196" s="21">
        <f>EXP(-LN(2)/25)*DG195+(1-EXP(-LN(2)/25))/(LN(2)/25)*Calculateur!DB196*Calculateur!DD196*VLOOKUP('Données projet'!$B$13,Paramètres!$A$1:$I$89,3,0)*0.475*44/12</f>
        <v>0.15091023308031548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1.4859368268055513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88.170414732964616</v>
      </c>
      <c r="DU196" s="59">
        <f t="shared" si="152"/>
        <v>281.30515544919626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1.3350265937252357</v>
      </c>
      <c r="EB196" s="21">
        <f>EXP(-LN(2)/25)*EB195+(1-EXP(-LN(2)/25))/(LN(2)/25)*Calculateur!DW196*Calculateur!DY196*VLOOKUP('Données projet'!$B$14,Paramètres!$A$1:$I$89,3,0)*0.475*44/12</f>
        <v>0.15091023308031548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1.4859368268055513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139.14668300353867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1686.9008471250499</v>
      </c>
      <c r="H197" s="67">
        <f t="shared" si="192"/>
        <v>853.13721196592269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167.42995526007479</v>
      </c>
      <c r="T197" s="59">
        <f t="shared" ref="T197:T203" si="204">$T$3</f>
        <v>397.36718389105215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1.8490102820509089</v>
      </c>
      <c r="AA197" s="21">
        <f>EXP(-LN(2)/25)*AA196+(1-EXP(-LN(2)/25))/(LN(2)/25)*Calculateur!V197*Calculateur!X197*VLOOKUP('Données projet'!$B$9,Paramètres!$A$1:$I$89,3,0)*0.475*44/12</f>
        <v>0.20736132360677328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2.0563716056576822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127.55710992710948</v>
      </c>
      <c r="AO197" s="59">
        <f t="shared" ref="AO197:AO203" si="205">$AO$3</f>
        <v>417.43085823929903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1.9427629160703914</v>
      </c>
      <c r="AV197" s="21">
        <f>EXP(-LN(2)/25)*AV196+(1-EXP(-LN(2)/25))/(LN(2)/25)*Calculateur!AQ197*Calculateur!AS197*VLOOKUP('Données projet'!$B$10,Paramètres!$A$1:$I$89,3,0)*0.475*44/12</f>
        <v>0.21787541888824294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2.1606383349586342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123.48243581061803</v>
      </c>
      <c r="BJ197" s="59">
        <f t="shared" ref="BJ197:BJ203" si="206">$BJ$3</f>
        <v>405.05940798527138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1.8849425911873448</v>
      </c>
      <c r="BQ197" s="21">
        <f>EXP(-LN(2)/25)*BQ196+(1-EXP(-LN(2)/25))/(LN(2)/25)*Calculateur!BL197*Calculateur!BN197*VLOOKUP('Données projet'!$B$11,Paramètres!$A$1:$I$89,3,0)*0.475*44/12</f>
        <v>0.21139103142133087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2.0963336226086757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156.72204844493132</v>
      </c>
      <c r="CE197" s="59">
        <f t="shared" ref="CE197:CE203" si="207">$CE$3</f>
        <v>377.72061016381247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1.7573038364723281</v>
      </c>
      <c r="CL197" s="21">
        <f>EXP(-LN(2)/25)*CL196+(1-EXP(-LN(2)/25))/(LN(2)/25)*Calculateur!CG197*Calculateur!CI197*VLOOKUP('Données projet'!$B$12,Paramètres!$A$1:$I$89,3,0)*0.475*44/12</f>
        <v>0.19707670262708099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1.9543805390994091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88.170414732964616</v>
      </c>
      <c r="CZ197" s="59">
        <f t="shared" ref="CZ197:CZ203" si="208">$CZ$3</f>
        <v>281.30515544919626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1.308847536508102</v>
      </c>
      <c r="DG197" s="21">
        <f>EXP(-LN(2)/25)*DG196+(1-EXP(-LN(2)/25))/(LN(2)/25)*Calculateur!DB197*Calculateur!DD197*VLOOKUP('Données projet'!$B$13,Paramètres!$A$1:$I$89,3,0)*0.475*44/12</f>
        <v>0.14678358482070999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1.455631121328812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88.170414732964616</v>
      </c>
      <c r="DU197" s="59">
        <f t="shared" ref="DU197:DU203" si="209">$DU$3</f>
        <v>281.30515544919626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1.308847536508102</v>
      </c>
      <c r="EB197" s="21">
        <f>EXP(-LN(2)/25)*EB196+(1-EXP(-LN(2)/25))/(LN(2)/25)*Calculateur!DW197*Calculateur!DY197*VLOOKUP('Données projet'!$B$14,Paramètres!$A$1:$I$89,3,0)*0.475*44/12</f>
        <v>0.14678358482070999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1.455631121328812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139.1614861456963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1695.299080162918</v>
      </c>
      <c r="H198" s="67">
        <f t="shared" si="192"/>
        <v>855.0320632950918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167.42995526007479</v>
      </c>
      <c r="T198" s="59">
        <f t="shared" si="204"/>
        <v>397.36718389105215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1.8127523182048031</v>
      </c>
      <c r="AA198" s="21">
        <f>EXP(-LN(2)/25)*AA197+(1-EXP(-LN(2)/25))/(LN(2)/25)*Calculateur!V198*Calculateur!X198*VLOOKUP('Données projet'!$B$9,Paramètres!$A$1:$I$89,3,0)*0.475*44/12</f>
        <v>0.201691017308088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2.0144433355128912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127.55710992710948</v>
      </c>
      <c r="AO198" s="59">
        <f t="shared" si="205"/>
        <v>417.43085823929903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1.904666520254624</v>
      </c>
      <c r="AV198" s="21">
        <f>EXP(-LN(2)/25)*AV197+(1-EXP(-LN(2)/25))/(LN(2)/25)*Calculateur!AQ198*Calculateur!AS198*VLOOKUP('Données projet'!$B$10,Paramètres!$A$1:$I$89,3,0)*0.475*44/12</f>
        <v>0.21191760410117361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2.1165841243557977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123.48243581061803</v>
      </c>
      <c r="BJ198" s="59">
        <f t="shared" si="206"/>
        <v>405.05940798527138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1.847980016675618</v>
      </c>
      <c r="BQ198" s="21">
        <f>EXP(-LN(2)/25)*BQ197+(1-EXP(-LN(2)/25))/(LN(2)/25)*Calculateur!BL198*Calculateur!BN198*VLOOKUP('Données projet'!$B$11,Paramètres!$A$1:$I$89,3,0)*0.475*44/12</f>
        <v>0.20561053255054337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2.0535905492261612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156.72204844493132</v>
      </c>
      <c r="CE198" s="59">
        <f t="shared" si="207"/>
        <v>377.72061016381247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1.7228441800886096</v>
      </c>
      <c r="CL198" s="21">
        <f>EXP(-LN(2)/25)*CL197+(1-EXP(-LN(2)/25))/(LN(2)/25)*Calculateur!CG198*Calculateur!CI198*VLOOKUP('Données projet'!$B$12,Paramètres!$A$1:$I$89,3,0)*0.475*44/12</f>
        <v>0.1916876298299301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1.9145318099185398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88.170414732964616</v>
      </c>
      <c r="CZ198" s="59">
        <f t="shared" si="208"/>
        <v>281.30515544919626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1.2831818346353481</v>
      </c>
      <c r="DG198" s="21">
        <f>EXP(-LN(2)/25)*DG197+(1-EXP(-LN(2)/25))/(LN(2)/25)*Calculateur!DB198*Calculateur!DD198*VLOOKUP('Données projet'!$B$13,Paramètres!$A$1:$I$89,3,0)*0.475*44/12</f>
        <v>0.14276977997477444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1.4259516146101225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88.170414732964616</v>
      </c>
      <c r="DU198" s="59">
        <f t="shared" si="209"/>
        <v>281.30515544919626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1.2831818346353481</v>
      </c>
      <c r="EB198" s="21">
        <f>EXP(-LN(2)/25)*EB197+(1-EXP(-LN(2)/25))/(LN(2)/25)*Calculateur!DW198*Calculateur!DY198*VLOOKUP('Données projet'!$B$14,Paramètres!$A$1:$I$89,3,0)*0.475*44/12</f>
        <v>0.14276977997477444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1.4259516146101225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139.17603248643232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1703.6963976507177</v>
      </c>
      <c r="H199" s="67">
        <f t="shared" si="192"/>
        <v>856.92670805327657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167.42995526007479</v>
      </c>
      <c r="T199" s="59">
        <f t="shared" si="204"/>
        <v>397.36718389105215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1.7772053509145451</v>
      </c>
      <c r="AA199" s="21">
        <f>EXP(-LN(2)/25)*AA198+(1-EXP(-LN(2)/25))/(LN(2)/25)*Calculateur!V199*Calculateur!X199*VLOOKUP('Données projet'!$B$9,Paramètres!$A$1:$I$89,3,0)*0.475*44/12</f>
        <v>0.19617576583332871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1.9733811167478739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127.55710992710948</v>
      </c>
      <c r="AO199" s="59">
        <f t="shared" si="205"/>
        <v>417.43085823929903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1.8673171715242967</v>
      </c>
      <c r="AV199" s="21">
        <f>EXP(-LN(2)/25)*AV198+(1-EXP(-LN(2)/25))/(LN(2)/25)*Calculateur!AQ199*Calculateur!AS199*VLOOKUP('Données projet'!$B$10,Paramètres!$A$1:$I$89,3,0)*0.475*44/12</f>
        <v>0.20612270607276456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2.0734398775970613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123.48243581061803</v>
      </c>
      <c r="BJ199" s="59">
        <f t="shared" si="206"/>
        <v>405.05940798527138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1.8117422557051217</v>
      </c>
      <c r="BQ199" s="21">
        <f>EXP(-LN(2)/25)*BQ198+(1-EXP(-LN(2)/25))/(LN(2)/25)*Calculateur!BL199*Calculateur!BN199*VLOOKUP('Données projet'!$B$11,Paramètres!$A$1:$I$89,3,0)*0.475*44/12</f>
        <v>0.1999881017253608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2.0117303574304826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156.72204844493132</v>
      </c>
      <c r="CE199" s="59">
        <f t="shared" si="207"/>
        <v>377.72061016381247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1.6890602565482609</v>
      </c>
      <c r="CL199" s="21">
        <f>EXP(-LN(2)/25)*CL198+(1-EXP(-LN(2)/25))/(LN(2)/25)*Calculateur!CG199*Calculateur!CI199*VLOOKUP('Données projet'!$B$12,Paramètres!$A$1:$I$89,3,0)*0.475*44/12</f>
        <v>0.1864459215118163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1.8755061780600772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88.170414732964616</v>
      </c>
      <c r="CZ199" s="59">
        <f t="shared" si="208"/>
        <v>281.30515544919626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1.2580194215217864</v>
      </c>
      <c r="DG199" s="21">
        <f>EXP(-LN(2)/25)*DG198+(1-EXP(-LN(2)/25))/(LN(2)/25)*Calculateur!DB199*Calculateur!DD199*VLOOKUP('Données projet'!$B$13,Paramètres!$A$1:$I$89,3,0)*0.475*44/12</f>
        <v>0.13886573283342782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1.3968851543552141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88.170414732964616</v>
      </c>
      <c r="DU199" s="59">
        <f t="shared" si="209"/>
        <v>281.30515544919626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1.2580194215217864</v>
      </c>
      <c r="EB199" s="21">
        <f>EXP(-LN(2)/25)*EB198+(1-EXP(-LN(2)/25))/(LN(2)/25)*Calculateur!DW199*Calculateur!DY199*VLOOKUP('Données projet'!$B$14,Paramètres!$A$1:$I$89,3,0)*0.475*44/12</f>
        <v>0.13886573283342782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1.3968851543552141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139.19032648067733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1712.0928048018436</v>
      </c>
      <c r="H200" s="67">
        <f t="shared" si="192"/>
        <v>858.82114741674945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167.42995526007479</v>
      </c>
      <c r="T200" s="59">
        <f t="shared" si="204"/>
        <v>397.36718389105215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1.74235543797134</v>
      </c>
      <c r="AA200" s="21">
        <f>EXP(-LN(2)/25)*AA199+(1-EXP(-LN(2)/25))/(LN(2)/25)*Calculateur!V200*Calculateur!X200*VLOOKUP('Données projet'!$B$9,Paramètres!$A$1:$I$89,3,0)*0.475*44/12</f>
        <v>0.19081132920018118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1.9331667671715211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127.55710992710948</v>
      </c>
      <c r="AO200" s="59">
        <f t="shared" si="205"/>
        <v>417.43085823929903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1.8307002207417178</v>
      </c>
      <c r="AV200" s="21">
        <f>EXP(-LN(2)/25)*AV199+(1-EXP(-LN(2)/25))/(LN(2)/25)*Calculateur!AQ200*Calculateur!AS200*VLOOKUP('Données projet'!$B$10,Paramètres!$A$1:$I$89,3,0)*0.475*44/12</f>
        <v>0.2004862698356828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2.0311864905774004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123.48243581061803</v>
      </c>
      <c r="BJ200" s="59">
        <f t="shared" si="206"/>
        <v>405.05940798527138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1.7762150951244053</v>
      </c>
      <c r="BQ200" s="21">
        <f>EXP(-LN(2)/25)*BQ199+(1-EXP(-LN(2)/25))/(LN(2)/25)*Calculateur!BL200*Calculateur!BN200*VLOOKUP('Données projet'!$B$11,Paramètres!$A$1:$I$89,3,0)*0.475*44/12</f>
        <v>0.19451941656676361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1.970734511691169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156.72204844493132</v>
      </c>
      <c r="CE200" s="59">
        <f t="shared" si="207"/>
        <v>377.72061016381247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1.6559388151423797</v>
      </c>
      <c r="CL200" s="21">
        <f>EXP(-LN(2)/25)*CL199+(1-EXP(-LN(2)/25))/(LN(2)/25)*Calculateur!CG200*Calculateur!CI200*VLOOKUP('Données projet'!$B$12,Paramètres!$A$1:$I$89,3,0)*0.475*44/12</f>
        <v>0.18134754798331079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1.8372863631256906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88.170414732964616</v>
      </c>
      <c r="CZ200" s="59">
        <f t="shared" si="208"/>
        <v>281.30515544919626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1.233350427981825</v>
      </c>
      <c r="DG200" s="21">
        <f>EXP(-LN(2)/25)*DG199+(1-EXP(-LN(2)/25))/(LN(2)/25)*Calculateur!DB200*Calculateur!DD200*VLOOKUP('Données projet'!$B$13,Paramètres!$A$1:$I$89,3,0)*0.475*44/12</f>
        <v>0.13506844206646623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1.3684188700482913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88.170414732964616</v>
      </c>
      <c r="DU200" s="59">
        <f t="shared" si="209"/>
        <v>281.30515544919626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1.233350427981825</v>
      </c>
      <c r="EB200" s="21">
        <f>EXP(-LN(2)/25)*EB199+(1-EXP(-LN(2)/25))/(LN(2)/25)*Calculateur!DW200*Calculateur!DY200*VLOOKUP('Données projet'!$B$14,Paramètres!$A$1:$I$89,3,0)*0.475*44/12</f>
        <v>0.13506844206646623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1.3684188700482913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139.20437250607876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1720.4883067737003</v>
      </c>
      <c r="H201" s="67">
        <f t="shared" si="192"/>
        <v>860.71538254914947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167.42995526007479</v>
      </c>
      <c r="T201" s="59">
        <f t="shared" si="204"/>
        <v>397.36718389105215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1.7081889105646031</v>
      </c>
      <c r="AA201" s="21">
        <f>EXP(-LN(2)/25)*AA200+(1-EXP(-LN(2)/25))/(LN(2)/25)*Calculateur!V201*Calculateur!X201*VLOOKUP('Données projet'!$B$9,Paramètres!$A$1:$I$89,3,0)*0.475*44/12</f>
        <v>0.18559358336887052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1.8937824939334735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127.55710992710948</v>
      </c>
      <c r="AO201" s="59">
        <f t="shared" si="205"/>
        <v>417.43085823929903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1.7948013060298507</v>
      </c>
      <c r="AV201" s="21">
        <f>EXP(-LN(2)/25)*AV200+(1-EXP(-LN(2)/25))/(LN(2)/25)*Calculateur!AQ201*Calculateur!AS201*VLOOKUP('Données projet'!$B$10,Paramètres!$A$1:$I$89,3,0)*0.475*44/12</f>
        <v>0.19500396224391134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1.9898052682737619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123.48243581061803</v>
      </c>
      <c r="BJ201" s="59">
        <f t="shared" si="206"/>
        <v>405.05940798527138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1.7413846004932485</v>
      </c>
      <c r="BQ201" s="21">
        <f>EXP(-LN(2)/25)*BQ200+(1-EXP(-LN(2)/25))/(LN(2)/25)*Calculateur!BL201*Calculateur!BN201*VLOOKUP('Données projet'!$B$11,Paramètres!$A$1:$I$89,3,0)*0.475*44/12</f>
        <v>0.18920027289141392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1.9305848733846624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156.72204844493132</v>
      </c>
      <c r="CE201" s="59">
        <f t="shared" si="207"/>
        <v>377.72061016381247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1.6234668650003834</v>
      </c>
      <c r="CL201" s="21">
        <f>EXP(-LN(2)/25)*CL200+(1-EXP(-LN(2)/25))/(LN(2)/25)*Calculateur!CG201*Calculateur!CI201*VLOOKUP('Données projet'!$B$12,Paramètres!$A$1:$I$89,3,0)*0.475*44/12</f>
        <v>0.1763885897470541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1.7998554547474375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88.170414732964616</v>
      </c>
      <c r="CZ201" s="59">
        <f t="shared" si="208"/>
        <v>281.30515544919626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1.2091651783585822</v>
      </c>
      <c r="DG201" s="21">
        <f>EXP(-LN(2)/25)*DG200+(1-EXP(-LN(2)/25))/(LN(2)/25)*Calculateur!DB201*Calculateur!DD201*VLOOKUP('Données projet'!$B$13,Paramètres!$A$1:$I$89,3,0)*0.475*44/12</f>
        <v>0.13137498841521805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1.3405401667738002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88.170414732964616</v>
      </c>
      <c r="DU201" s="59">
        <f t="shared" si="209"/>
        <v>281.30515544919626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1.2091651783585822</v>
      </c>
      <c r="EB201" s="21">
        <f>EXP(-LN(2)/25)*EB200+(1-EXP(-LN(2)/25))/(LN(2)/25)*Calculateur!DW201*Calculateur!DY201*VLOOKUP('Données projet'!$B$14,Paramètres!$A$1:$I$89,3,0)*0.475*44/12</f>
        <v>0.13137498841521805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1.3405401667738002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139.21817486434171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1728.8829086685787</v>
      </c>
      <c r="H202" s="67">
        <f t="shared" si="192"/>
        <v>862.60941460168146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167.42995526007479</v>
      </c>
      <c r="T202" s="59">
        <f t="shared" si="204"/>
        <v>397.36718389105215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1.6746923679207883</v>
      </c>
      <c r="AA202" s="21">
        <f>EXP(-LN(2)/25)*AA201+(1-EXP(-LN(2)/25))/(LN(2)/25)*Calculateur!V202*Calculateur!X202*VLOOKUP('Données projet'!$B$9,Paramètres!$A$1:$I$89,3,0)*0.475*44/12</f>
        <v>0.18051851707170638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1.8552108849924946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127.55710992710948</v>
      </c>
      <c r="AO202" s="59">
        <f t="shared" si="205"/>
        <v>417.43085823929903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1.7596063471393073</v>
      </c>
      <c r="AV202" s="21">
        <f>EXP(-LN(2)/25)*AV201+(1-EXP(-LN(2)/25))/(LN(2)/25)*Calculateur!AQ202*Calculateur!AS202*VLOOKUP('Données projet'!$B$10,Paramètres!$A$1:$I$89,3,0)*0.475*44/12</f>
        <v>0.18967156864153889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1.9492779157808462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123.48243581061803</v>
      </c>
      <c r="BJ202" s="59">
        <f t="shared" si="206"/>
        <v>405.05940798527138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1.7072371106173045</v>
      </c>
      <c r="BQ202" s="21">
        <f>EXP(-LN(2)/25)*BQ201+(1-EXP(-LN(2)/25))/(LN(2)/25)*Calculateur!BL202*Calculateur!BN202*VLOOKUP('Données projet'!$B$11,Paramètres!$A$1:$I$89,3,0)*0.475*44/12</f>
        <v>0.18402658147958828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1.8912636920968928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156.72204844493132</v>
      </c>
      <c r="CE202" s="59">
        <f t="shared" si="207"/>
        <v>377.72061016381247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1.5916316699947377</v>
      </c>
      <c r="CL202" s="21">
        <f>EXP(-LN(2)/25)*CL201+(1-EXP(-LN(2)/25))/(LN(2)/25)*Calculateur!CG202*Calculateur!CI202*VLOOKUP('Données projet'!$B$12,Paramètres!$A$1:$I$89,3,0)*0.475*44/12</f>
        <v>0.17156523448454811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1.7631969044792859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88.170414732964616</v>
      </c>
      <c r="CZ202" s="59">
        <f t="shared" si="208"/>
        <v>281.30515544919626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1.1854541867289052</v>
      </c>
      <c r="DG202" s="21">
        <f>EXP(-LN(2)/25)*DG201+(1-EXP(-LN(2)/25))/(LN(2)/25)*Calculateur!DB202*Calculateur!DD202*VLOOKUP('Données projet'!$B$13,Paramètres!$A$1:$I$89,3,0)*0.475*44/12</f>
        <v>0.12778253244829355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1.3132367191771988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88.170414732964616</v>
      </c>
      <c r="DU202" s="59">
        <f t="shared" si="209"/>
        <v>281.30515544919626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1.1854541867289052</v>
      </c>
      <c r="EB202" s="21">
        <f>EXP(-LN(2)/25)*EB201+(1-EXP(-LN(2)/25))/(LN(2)/25)*Calculateur!DW202*Calculateur!DY202*VLOOKUP('Données projet'!$B$14,Paramètres!$A$1:$I$89,3,0)*0.475*44/12</f>
        <v>0.12778253244829355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1.3132367191771988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139.23173778254622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115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1737.276615534523</v>
      </c>
      <c r="H203" s="67">
        <f t="shared" si="192"/>
        <v>864.5032447133101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167.42995526007479</v>
      </c>
      <c r="T203" s="59">
        <f t="shared" si="204"/>
        <v>397.36718389105215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1.6418526720473452</v>
      </c>
      <c r="AA203" s="21">
        <f>EXP(-LN(2)/25)*AA202+(1-EXP(-LN(2)/25))/(LN(2)/25)*Calculateur!V203*Calculateur!X203*VLOOKUP('Données projet'!$B$9,Paramètres!$A$1:$I$89,3,0)*0.475*44/12</f>
        <v>0.17558222872932433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1.8174349007766695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127.55710992710948</v>
      </c>
      <c r="AO203" s="59">
        <f t="shared" si="205"/>
        <v>417.43085823929903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1.7251015399258023</v>
      </c>
      <c r="AV203" s="21">
        <f>EXP(-LN(2)/25)*AV202+(1-EXP(-LN(2)/25))/(LN(2)/25)*Calculateur!AQ203*Calculateur!AS203*VLOOKUP('Données projet'!$B$10,Paramètres!$A$1:$I$89,3,0)*0.475*44/12</f>
        <v>0.1844849896226417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1.909586529548444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123.48243581061803</v>
      </c>
      <c r="BJ203" s="59">
        <f t="shared" si="206"/>
        <v>405.05940798527138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1.6737592321899157</v>
      </c>
      <c r="BQ203" s="21">
        <f>EXP(-LN(2)/25)*BQ202+(1-EXP(-LN(2)/25))/(LN(2)/25)*Calculateur!BL203*Calculateur!BN203*VLOOKUP('Données projet'!$B$11,Paramètres!$A$1:$I$89,3,0)*0.475*44/12</f>
        <v>0.17899436493149162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1.8527535971214073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156.72204844493132</v>
      </c>
      <c r="CE203" s="59">
        <f t="shared" si="207"/>
        <v>377.72061016381247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1.560420743745601</v>
      </c>
      <c r="CL203" s="21">
        <f>EXP(-LN(2)/25)*CL202+(1-EXP(-LN(2)/25))/(LN(2)/25)*Calculateur!CG203*Calculateur!CI203*VLOOKUP('Données projet'!$B$12,Paramètres!$A$1:$I$89,3,0)*0.475*44/12</f>
        <v>0.16687377412534457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1.7272945178709456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88.170414732964616</v>
      </c>
      <c r="CZ203" s="59">
        <f t="shared" si="208"/>
        <v>281.30515544919626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1.1622081531828095</v>
      </c>
      <c r="DG203" s="21">
        <f>EXP(-LN(2)/25)*DG202+(1-EXP(-LN(2)/25))/(LN(2)/25)*Calculateur!DB203*Calculateur!DD203*VLOOKUP('Données projet'!$B$13,Paramètres!$A$1:$I$89,3,0)*0.475*44/12</f>
        <v>0.12428831237870362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1.286496465561513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88.170414732964616</v>
      </c>
      <c r="DU203" s="59">
        <f t="shared" si="209"/>
        <v>281.30515544919626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1.1622081531828095</v>
      </c>
      <c r="EB203" s="21">
        <f>EXP(-LN(2)/25)*EB202+(1-EXP(-LN(2)/25))/(LN(2)/25)*Calculateur!DW203*Calculateur!DY203*VLOOKUP('Données projet'!$B$14,Paramètres!$A$1:$I$89,3,0)*0.475*44/12</f>
        <v>0.12428831237870362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1.286496465561513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139.24506541444202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1.2457309396155174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1.2968395546510096</v>
      </c>
      <c r="BA205" s="82">
        <f>EXP(LN('Données projet'!B88)/'Données projet'!A88)</f>
        <v>1.2968395546510096</v>
      </c>
      <c r="BV205" s="82">
        <f>EXP(LN('Données projet'!B114)/'Données projet'!A114)</f>
        <v>1.661000956165023</v>
      </c>
      <c r="CQ205" s="82">
        <f>EXP(LN('Données projet'!B140)/'Données projet'!A140)</f>
        <v>1.2968395546510096</v>
      </c>
      <c r="DL205" s="82">
        <f>EXP(LN('Données projet'!B166)/'Données projet'!A166)</f>
        <v>1.2968395546510096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5" style="4" bestFit="1" customWidth="1"/>
    <col min="7" max="7" width="11.5" style="4" bestFit="1" customWidth="1"/>
    <col min="8" max="8" width="39" style="4" bestFit="1" customWidth="1"/>
    <col min="9" max="9" width="16.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90" zoomScaleNormal="90" workbookViewId="0">
      <selection activeCell="L30" sqref="L30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Peuplier Dorskamp</v>
      </c>
      <c r="B6" s="146">
        <f>'Données projet'!D9</f>
        <v>2.2058106299999998</v>
      </c>
      <c r="C6" s="147">
        <f ca="1">IF(OR('Données projet'!B9="",'Données projet'!C9="",'Données projet'!C9=0%),0,Calculateur!S3)</f>
        <v>167.42995526007479</v>
      </c>
      <c r="D6" s="147">
        <f>IF(OR('Données projet'!B9="",'Données projet'!C9="",'Données projet'!C9=0%),0,Calculateur!T3)</f>
        <v>397.36718389105215</v>
      </c>
      <c r="E6" s="147">
        <f ca="1">MIN(C6,D6)</f>
        <v>167.42995526007479</v>
      </c>
      <c r="F6" s="147">
        <f ca="1">E6*B6</f>
        <v>369.31877509309737</v>
      </c>
      <c r="G6" s="147">
        <f ca="1">F6*(100%-'Données projet'!$C$24)*(100%-'Données projet'!$C$25)*(100%-'Données projet'!$C$26)*(100%-'Données projet'!$C$27)</f>
        <v>265.90951806703009</v>
      </c>
      <c r="H6" s="148">
        <f>IF(OR('Données projet'!B9="",'Données projet'!C9="",'Données projet'!C9=0%),0,AVERAGE(Calculateur!$AC$3:$AC$33)*B6)</f>
        <v>58.862215050612285</v>
      </c>
      <c r="I6" s="149">
        <f>H6*(100%-'Données projet'!$C$24)*(100%-'Données projet'!$C$25)*(100%-'Données projet'!$C$26)*(100%-'Données projet'!$C$27)</f>
        <v>42.380794836440849</v>
      </c>
      <c r="J6" s="150">
        <f>IF(OR('Données projet'!B9="",'Données projet'!C9="",'Données projet'!C9=0%),0,SUM(Calculateur!$V$3:$V$33)*VLOOKUP('Données projet'!$B$9,Paramètres!$A$1:$I$89,9,0)*B6)</f>
        <v>806.55465685950003</v>
      </c>
      <c r="K6" s="151">
        <f>J6*(100%-'Données projet'!$C$24)*(100%-'Données projet'!$C$25)*(100%-'Données projet'!$C$26)*(100%-'Données projet'!$C$27)</f>
        <v>580.71935293884007</v>
      </c>
      <c r="L6" s="152">
        <f ca="1">G6+I6+K6</f>
        <v>889.00966584231105</v>
      </c>
      <c r="M6" s="23" t="s">
        <v>324</v>
      </c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Peuplier Dorskamp</v>
      </c>
      <c r="B7" s="154">
        <f>'Données projet'!D10</f>
        <v>3.4312445099999995</v>
      </c>
      <c r="C7" s="147">
        <f ca="1">IF(OR('Données projet'!B10="",'Données projet'!C10="",'Données projet'!C10=0%),0,Calculateur!AN3)</f>
        <v>127.55710992710948</v>
      </c>
      <c r="D7" s="147">
        <f>IF(OR('Données projet'!B10="",'Données projet'!C10="",'Données projet'!C10=0%),0,Calculateur!AO3)</f>
        <v>417.43085823929903</v>
      </c>
      <c r="E7" s="147">
        <f t="shared" ref="E7:E15" ca="1" si="0">MIN(C7,D7)</f>
        <v>127.55710992710948</v>
      </c>
      <c r="F7" s="147">
        <f t="shared" ref="F7:F15" ca="1" si="1">E7*B7</f>
        <v>437.67963314886083</v>
      </c>
      <c r="G7" s="147">
        <f ca="1">F7*(100%-'Données projet'!$C$24)*(100%-'Données projet'!$C$25)*(100%-'Données projet'!$C$26)*(100%-'Données projet'!$C$27)</f>
        <v>315.12933586717986</v>
      </c>
      <c r="H7" s="155">
        <f>IF(OR('Données projet'!B10="",'Données projet'!C10="",'Données projet'!C10=0%),0,AVERAGE(Calculateur!$AX$3:$AX$33)*B7)</f>
        <v>96.205637427943998</v>
      </c>
      <c r="I7" s="149">
        <f>H7*(100%-'Données projet'!$C$24)*(100%-'Données projet'!$C$25)*(100%-'Données projet'!$C$26)*(100%-'Données projet'!$C$27)</f>
        <v>69.268058948119688</v>
      </c>
      <c r="J7" s="150">
        <f>IF(OR('Données projet'!B10="",'Données projet'!C10="",'Données projet'!C10=0%),0,SUM(Calculateur!$AQ$3:$AQ$33)*VLOOKUP('Données projet'!$B$10,Paramètres!$A$1:$I$89,9,0)*B7)</f>
        <v>1318.2498282968998</v>
      </c>
      <c r="K7" s="151">
        <f>J7*(100%-'Données projet'!$C$24)*(100%-'Données projet'!$C$25)*(100%-'Données projet'!$C$26)*(100%-'Données projet'!$C$27)</f>
        <v>949.13987637376795</v>
      </c>
      <c r="L7" s="152">
        <f t="shared" ref="L7:L15" ca="1" si="2">G7+I7+K7</f>
        <v>1333.5372711890675</v>
      </c>
      <c r="M7" s="23" t="s">
        <v>325</v>
      </c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Peuplier Koster</v>
      </c>
      <c r="B8" s="154">
        <f>'Données projet'!D11</f>
        <v>2.2058106299999998</v>
      </c>
      <c r="C8" s="147">
        <f ca="1">IF(OR('Données projet'!B11="",'Données projet'!C11="",'Données projet'!C11=0%),0,Calculateur!BI3)</f>
        <v>123.48243581061803</v>
      </c>
      <c r="D8" s="147">
        <f>IF(OR('Données projet'!B11="",'Données projet'!C11="",'Données projet'!C11=0%),0,Calculateur!BJ3)</f>
        <v>405.05940798527138</v>
      </c>
      <c r="E8" s="147">
        <f t="shared" ca="1" si="0"/>
        <v>123.48243581061803</v>
      </c>
      <c r="F8" s="147">
        <f t="shared" ca="1" si="1"/>
        <v>272.37886952935389</v>
      </c>
      <c r="G8" s="147">
        <f ca="1">F8*(100%-'Données projet'!$C$24)*(100%-'Données projet'!$C$25)*(100%-'Données projet'!$C$26)*(100%-'Données projet'!$C$27)</f>
        <v>196.11278606113481</v>
      </c>
      <c r="H8" s="155">
        <f>IF(OR('Données projet'!B11="",'Données projet'!C11="",'Données projet'!C11=0%),0,AVERAGE(Calculateur!$BS$3:$BS$33)*B8)</f>
        <v>60.006100148594513</v>
      </c>
      <c r="I8" s="149">
        <f>H8*(100%-'Données projet'!$C$24)*(100%-'Données projet'!$C$25)*(100%-'Données projet'!$C$26)*(100%-'Données projet'!$C$27)</f>
        <v>43.204392106988053</v>
      </c>
      <c r="J8" s="150">
        <f>IF(OR('Données projet'!B11="",'Données projet'!C11="",'Données projet'!C11=0%),0,SUM(Calculateur!$BL$3:$BL$33)*VLOOKUP('Données projet'!$B$11,Paramètres!$A$1:$I$89,9,0)*B8)</f>
        <v>847.45038593969991</v>
      </c>
      <c r="K8" s="151">
        <f>J8*(100%-'Données projet'!$C$24)*(100%-'Données projet'!$C$25)*(100%-'Données projet'!$C$26)*(100%-'Données projet'!$C$27)</f>
        <v>610.16427787658392</v>
      </c>
      <c r="L8" s="152">
        <f t="shared" ca="1" si="2"/>
        <v>849.48145604470676</v>
      </c>
      <c r="M8" s="23" t="s">
        <v>326</v>
      </c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Peuplier I-214</v>
      </c>
      <c r="B9" s="154">
        <f>'Données projet'!D12</f>
        <v>2.74500549</v>
      </c>
      <c r="C9" s="147">
        <f ca="1">IF(OR('Données projet'!B12="",'Données projet'!C12="",'Données projet'!C12=0%),0,Calculateur!CD3)</f>
        <v>156.72204844493132</v>
      </c>
      <c r="D9" s="147">
        <f>IF(OR('Données projet'!B12="",'Données projet'!C12="",'Données projet'!C12=0%),0,Calculateur!CE3)</f>
        <v>377.72061016381247</v>
      </c>
      <c r="E9" s="147">
        <f t="shared" ca="1" si="0"/>
        <v>156.72204844493132</v>
      </c>
      <c r="F9" s="147">
        <f t="shared" ca="1" si="1"/>
        <v>430.20288338538245</v>
      </c>
      <c r="G9" s="147">
        <f ca="1">F9*(100%-'Données projet'!$C$24)*(100%-'Données projet'!$C$25)*(100%-'Données projet'!$C$26)*(100%-'Données projet'!$C$27)</f>
        <v>309.7460760374754</v>
      </c>
      <c r="H9" s="155">
        <f>IF(OR('Données projet'!B12="",'Données projet'!C12="",'Données projet'!C12=0%),0,AVERAGE(Calculateur!$CN$3:$CN$33)*B9)</f>
        <v>69.61761230668607</v>
      </c>
      <c r="I9" s="149">
        <f>H9*(100%-'Données projet'!$C$24)*(100%-'Données projet'!$C$25)*(100%-'Données projet'!$C$26)*(100%-'Données projet'!$C$27)</f>
        <v>50.124680860813974</v>
      </c>
      <c r="J9" s="150">
        <f>IF(OR('Données projet'!B12="",'Données projet'!C12="",'Données projet'!C12=0%),0,SUM(Calculateur!$CG$3:$CG$33)*VLOOKUP('Données projet'!$B$12,Paramètres!$A$1:$I$89,9,0)*B9)</f>
        <v>1136.5969731893999</v>
      </c>
      <c r="K9" s="151">
        <f>J9*(100%-'Données projet'!$C$24)*(100%-'Données projet'!$C$25)*(100%-'Données projet'!$C$26)*(100%-'Données projet'!$C$27)</f>
        <v>818.34982069636806</v>
      </c>
      <c r="L9" s="152">
        <f t="shared" ca="1" si="2"/>
        <v>1178.2205775946575</v>
      </c>
      <c r="M9" s="23" t="s">
        <v>327</v>
      </c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Peuplier Koster</v>
      </c>
      <c r="B10" s="154">
        <f>'Données projet'!D13</f>
        <v>2.9410643699999999</v>
      </c>
      <c r="C10" s="147">
        <f ca="1">IF(OR('Données projet'!B13="",'Données projet'!C13="",'Données projet'!C13=0%),0,Calculateur!CY3)</f>
        <v>88.170414732964616</v>
      </c>
      <c r="D10" s="147">
        <f>IF(OR('Données projet'!B13="",'Données projet'!C13="",'Données projet'!C13=0%),0,Calculateur!CZ3)</f>
        <v>281.30515544919626</v>
      </c>
      <c r="E10" s="147">
        <f t="shared" ca="1" si="0"/>
        <v>88.170414732964616</v>
      </c>
      <c r="F10" s="147">
        <f t="shared" ca="1" si="1"/>
        <v>259.31486525924527</v>
      </c>
      <c r="G10" s="147">
        <f ca="1">F10*(100%-'Données projet'!$C$24)*(100%-'Données projet'!$C$25)*(100%-'Données projet'!$C$26)*(100%-'Données projet'!$C$27)</f>
        <v>186.70670298665661</v>
      </c>
      <c r="H10" s="155">
        <f>IF(OR('Données projet'!B13="",'Données projet'!C13="",'Données projet'!C13=0%),0,AVERAGE(Calculateur!$DI$3:$DI$33)*B10)</f>
        <v>55.554934426869792</v>
      </c>
      <c r="I10" s="149">
        <f>H10*(100%-'Données projet'!$C$24)*(100%-'Données projet'!$C$25)*(100%-'Données projet'!$C$26)*(100%-'Données projet'!$C$27)</f>
        <v>39.999552787346254</v>
      </c>
      <c r="J10" s="150">
        <f>IF(OR('Données projet'!B13="",'Données projet'!C13="",'Données projet'!C13=0%),0,SUM(Calculateur!$DB$3:$DB$33)*VLOOKUP('Données projet'!$B$13,Paramètres!$A$1:$I$89,9,0)*B10)</f>
        <v>784.58774198489994</v>
      </c>
      <c r="K10" s="151">
        <f>J10*(100%-'Données projet'!$C$24)*(100%-'Données projet'!$C$25)*(100%-'Données projet'!$C$26)*(100%-'Données projet'!$C$27)</f>
        <v>564.90317422912801</v>
      </c>
      <c r="L10" s="152">
        <f t="shared" ca="1" si="2"/>
        <v>791.60943000313091</v>
      </c>
      <c r="M10" s="23" t="s">
        <v>328</v>
      </c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Peuplier Koster</v>
      </c>
      <c r="B11" s="154">
        <f>'Données projet'!D14</f>
        <v>2.9410643699999999</v>
      </c>
      <c r="C11" s="147">
        <f ca="1">IF(OR('Données projet'!B14="",'Données projet'!C14="",'Données projet'!C14=0%),0,Calculateur!DT3)</f>
        <v>88.170414732964616</v>
      </c>
      <c r="D11" s="147">
        <f>IF(OR('Données projet'!B14="",'Données projet'!C14="",'Données projet'!C14=0%),0,Calculateur!DU3)</f>
        <v>281.30515544919626</v>
      </c>
      <c r="E11" s="147">
        <f t="shared" ca="1" si="0"/>
        <v>88.170414732964616</v>
      </c>
      <c r="F11" s="147">
        <f t="shared" ca="1" si="1"/>
        <v>259.31486525924527</v>
      </c>
      <c r="G11" s="147">
        <f ca="1">F11*(100%-'Données projet'!$C$24)*(100%-'Données projet'!$C$25)*(100%-'Données projet'!$C$26)*(100%-'Données projet'!$C$27)</f>
        <v>186.70670298665661</v>
      </c>
      <c r="H11" s="155">
        <f>IF(OR('Données projet'!B14="",'Données projet'!C14="",'Données projet'!C14=0%),0,AVERAGE(Calculateur!$ED$3:$ED$33)*B11)</f>
        <v>55.554934426869792</v>
      </c>
      <c r="I11" s="149">
        <f>H11*(100%-'Données projet'!$C$24)*(100%-'Données projet'!$C$25)*(100%-'Données projet'!$C$26)*(100%-'Données projet'!$C$27)</f>
        <v>39.999552787346254</v>
      </c>
      <c r="J11" s="150">
        <f>IF(OR('Données projet'!B14="",'Données projet'!C14="",'Données projet'!C14=0%),0,SUM(Calculateur!$DW$3:$DW$33)*VLOOKUP('Données projet'!$B$14,Paramètres!$A$1:$I$89,9,0)*B11)</f>
        <v>784.58774198489994</v>
      </c>
      <c r="K11" s="151">
        <f>J11*(100%-'Données projet'!$C$24)*(100%-'Données projet'!$C$25)*(100%-'Données projet'!$C$26)*(100%-'Données projet'!$C$27)</f>
        <v>564.90317422912801</v>
      </c>
      <c r="L11" s="152">
        <f t="shared" ca="1" si="2"/>
        <v>791.60943000313091</v>
      </c>
      <c r="M11" s="23" t="s">
        <v>329</v>
      </c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2028.2098916751852</v>
      </c>
      <c r="G16" s="166">
        <f t="shared" ca="1" si="3"/>
        <v>1460.3111220061335</v>
      </c>
      <c r="H16" s="167">
        <f t="shared" si="3"/>
        <v>395.80143378757646</v>
      </c>
      <c r="I16" s="167">
        <f t="shared" si="3"/>
        <v>284.9770323270551</v>
      </c>
      <c r="J16" s="168">
        <f t="shared" si="3"/>
        <v>5678.0273282553007</v>
      </c>
      <c r="K16" s="168">
        <f t="shared" si="3"/>
        <v>4088.1796763438165</v>
      </c>
      <c r="L16" s="169">
        <f t="shared" ca="1" si="3"/>
        <v>5833.4678306770047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Peuplier Dorskamp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Peuplier Dorskamp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Peuplier I-214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Peuplier Koster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Peuplier Koster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125" zoomScaleNormal="80" workbookViewId="0">
      <selection activeCell="P21" sqref="P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Dorskamp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2.2058106299999998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Peuplier Dorskamp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3.4312445099999995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Peuplier Koster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2.2058106299999998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Peuplier I-214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2.74500549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Peuplier Dorskamp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Peuplier Koster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2.9410643699999999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Peuplier Koster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2.9410643699999999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6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7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8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9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10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11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12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13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14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15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16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17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18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19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20</v>
      </c>
      <c r="B38" s="181">
        <f>'Données projet'!D51</f>
        <v>355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Peuplier Dorskamp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8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9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10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11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12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13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14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15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16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17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18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19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20</v>
      </c>
      <c r="B66" s="181">
        <f>'Données projet'!D74</f>
        <v>373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8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9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10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11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12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13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14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15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16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17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18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19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20</v>
      </c>
      <c r="B97" s="181">
        <f>'Données projet'!D100</f>
        <v>373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Peuplier I-214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6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7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8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9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10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11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12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13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14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15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16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17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18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19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20</v>
      </c>
      <c r="B130" s="181">
        <f>'Données projet'!D128</f>
        <v>402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Peuplier Koster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8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9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10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11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12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13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14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15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16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17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18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19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20</v>
      </c>
      <c r="B159" s="175">
        <f>'Données projet'!D152</f>
        <v>259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Peuplier Koster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/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/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/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/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/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8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9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10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11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12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13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14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15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16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17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18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19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20</v>
      </c>
      <c r="B190" s="181">
        <f>'Données projet'!D178</f>
        <v>259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/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2024-01-12T15:00:59Z</dcterms:modified>
</cp:coreProperties>
</file>