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iaLINK\Desktop\Maxime Pastaud\Cabanac-et-Villagrains\"/>
    </mc:Choice>
  </mc:AlternateContent>
  <xr:revisionPtr revIDLastSave="0" documentId="8_{A48C41DF-7A1D-42E5-9802-88D03794EB4C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GL4" i="2"/>
  <c r="BQ4" i="2"/>
  <c r="EC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C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FS113" i="2"/>
  <c r="HG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V114" i="2"/>
  <c r="HG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EB130" i="2"/>
  <c r="EX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G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A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X156" i="2"/>
  <c r="DH156" i="2"/>
  <c r="FS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G164" i="2"/>
  <c r="HH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HG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H201" i="2" l="1"/>
  <c r="FS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57" i="2" a="1"/>
  <c r="FY57" i="2" s="1"/>
  <c r="FY18" i="2" a="1"/>
  <c r="FY18" i="2" s="1"/>
  <c r="FY71" i="2" a="1"/>
  <c r="FY71" i="2" s="1"/>
  <c r="FY120" i="2" a="1"/>
  <c r="FY120" i="2" s="1"/>
  <c r="FY186" i="2" a="1"/>
  <c r="FY186" i="2" s="1"/>
  <c r="FY152" i="2" a="1"/>
  <c r="FY152" i="2" s="1"/>
  <c r="FY73" i="2" a="1"/>
  <c r="FY73" i="2" s="1"/>
  <c r="FY55" i="2" a="1"/>
  <c r="FY55" i="2" s="1"/>
  <c r="FY178" i="2" a="1"/>
  <c r="FY178" i="2" s="1"/>
  <c r="AH92" i="2" a="1"/>
  <c r="AH92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DN152" i="2" a="1"/>
  <c r="DN152" i="2" s="1"/>
  <c r="DN184" i="2" a="1"/>
  <c r="DN184" i="2" s="1"/>
  <c r="DN66" i="2" a="1"/>
  <c r="DN66" i="2" s="1"/>
  <c r="DN192" i="2" a="1"/>
  <c r="DN192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CS38" i="2" a="1"/>
  <c r="CS38" i="2" s="1"/>
  <c r="FY182" i="2" a="1"/>
  <c r="FY182" i="2" s="1"/>
  <c r="FY82" i="2" a="1"/>
  <c r="FY82" i="2" s="1"/>
  <c r="FY196" i="2" a="1"/>
  <c r="FY196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5" i="2" a="1"/>
  <c r="EI165" i="2" s="1"/>
  <c r="DN168" i="2" a="1"/>
  <c r="DN168" i="2" s="1"/>
  <c r="CS185" i="2" a="1"/>
  <c r="CS185" i="2" s="1"/>
  <c r="DN31" i="2" a="1"/>
  <c r="DN31" i="2" s="1"/>
  <c r="DN110" i="2" a="1"/>
  <c r="DN110" i="2" s="1"/>
  <c r="DN6" i="2" a="1"/>
  <c r="DN6" i="2" s="1"/>
  <c r="DO6" i="2" s="1"/>
  <c r="CS24" i="2" a="1"/>
  <c r="CS24" i="2" s="1"/>
  <c r="CS134" i="2" a="1"/>
  <c r="CS134" i="2" s="1"/>
  <c r="FD82" i="2" a="1"/>
  <c r="FD82" i="2" s="1"/>
  <c r="HJ202" i="2"/>
  <c r="EY202" i="2"/>
  <c r="AX200" i="2"/>
  <c r="EI37" i="2" l="1" a="1"/>
  <c r="EI37" i="2" s="1"/>
  <c r="DN188" i="2" a="1"/>
  <c r="DN188" i="2" s="1"/>
  <c r="DN30" i="2" a="1"/>
  <c r="DN30" i="2" s="1"/>
  <c r="DN86" i="2" a="1"/>
  <c r="DN86" i="2" s="1"/>
  <c r="FY173" i="2" a="1"/>
  <c r="FY173" i="2" s="1"/>
  <c r="EI139" i="2" a="1"/>
  <c r="EI139" i="2" s="1"/>
  <c r="DN177" i="2" a="1"/>
  <c r="DN177" i="2" s="1"/>
  <c r="FY79" i="2" a="1"/>
  <c r="FY79" i="2" s="1"/>
  <c r="DN167" i="2" a="1"/>
  <c r="DN167" i="2" s="1"/>
  <c r="DN16" i="2" a="1"/>
  <c r="DN16" i="2" s="1"/>
  <c r="FY34" i="2" a="1"/>
  <c r="FY34" i="2" s="1"/>
  <c r="EI87" i="2" a="1"/>
  <c r="EI87" i="2" s="1"/>
  <c r="FY86" i="2" a="1"/>
  <c r="FY86" i="2" s="1"/>
  <c r="EI150" i="2" a="1"/>
  <c r="EI150" i="2" s="1"/>
  <c r="FY159" i="2" a="1"/>
  <c r="FY159" i="2" s="1"/>
  <c r="FY58" i="2" a="1"/>
  <c r="FY58" i="2" s="1"/>
  <c r="DN186" i="2" a="1"/>
  <c r="DN186" i="2" s="1"/>
  <c r="FY35" i="2" a="1"/>
  <c r="FY35" i="2" s="1"/>
  <c r="DN187" i="2" a="1"/>
  <c r="DN187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EI153" i="2" a="1"/>
  <c r="EI153" i="2" s="1"/>
  <c r="FY124" i="2" a="1"/>
  <c r="FY124" i="2" s="1"/>
  <c r="FY174" i="2" a="1"/>
  <c r="FY174" i="2" s="1"/>
  <c r="FY110" i="2" a="1"/>
  <c r="FY110" i="2" s="1"/>
  <c r="FY165" i="2" a="1"/>
  <c r="FY165" i="2" s="1"/>
  <c r="DN132" i="2" a="1"/>
  <c r="DN132" i="2" s="1"/>
  <c r="EI145" i="2" a="1"/>
  <c r="EI145" i="2" s="1"/>
  <c r="EI36" i="2" a="1"/>
  <c r="EI36" i="2" s="1"/>
  <c r="FY115" i="2" a="1"/>
  <c r="FY115" i="2" s="1"/>
  <c r="EI162" i="2" a="1"/>
  <c r="EI162" i="2" s="1"/>
  <c r="FY126" i="2" a="1"/>
  <c r="FY126" i="2" s="1"/>
  <c r="FY109" i="2" a="1"/>
  <c r="FY109" i="2" s="1"/>
  <c r="DN46" i="2" a="1"/>
  <c r="DN46" i="2" s="1"/>
  <c r="DN114" i="2" a="1"/>
  <c r="DN114" i="2" s="1"/>
  <c r="FY188" i="2" a="1"/>
  <c r="FY188" i="2" s="1"/>
  <c r="DN49" i="2" a="1"/>
  <c r="DN49" i="2" s="1"/>
  <c r="EI109" i="2" a="1"/>
  <c r="EI109" i="2" s="1"/>
  <c r="DN103" i="2" a="1"/>
  <c r="DN103" i="2" s="1"/>
  <c r="EI29" i="2" a="1"/>
  <c r="EI29" i="2" s="1"/>
  <c r="FY149" i="2" a="1"/>
  <c r="FY149" i="2" s="1"/>
  <c r="FY143" i="2" a="1"/>
  <c r="FY143" i="2" s="1"/>
  <c r="FY47" i="2" a="1"/>
  <c r="FY47" i="2" s="1"/>
  <c r="DN164" i="2" a="1"/>
  <c r="DN164" i="2" s="1"/>
  <c r="EI38" i="2" a="1"/>
  <c r="EI38" i="2" s="1"/>
  <c r="EI106" i="2" a="1"/>
  <c r="EI106" i="2" s="1"/>
  <c r="FY191" i="2" a="1"/>
  <c r="FY191" i="2" s="1"/>
  <c r="DN135" i="2" a="1"/>
  <c r="DN135" i="2" s="1"/>
  <c r="DN133" i="2" a="1"/>
  <c r="DN133" i="2" s="1"/>
  <c r="EI113" i="2" a="1"/>
  <c r="EI113" i="2" s="1"/>
  <c r="CS161" i="2" a="1"/>
  <c r="CS161" i="2" s="1"/>
  <c r="DN129" i="2" a="1"/>
  <c r="DN129" i="2" s="1"/>
  <c r="EI166" i="2" a="1"/>
  <c r="EI166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DN65" i="2" a="1"/>
  <c r="DN65" i="2" s="1"/>
  <c r="CS114" i="2" a="1"/>
  <c r="CS114" i="2" s="1"/>
  <c r="EI128" i="2" a="1"/>
  <c r="EI128" i="2" s="1"/>
  <c r="CS120" i="2" a="1"/>
  <c r="CS120" i="2" s="1"/>
  <c r="FY80" i="2" a="1"/>
  <c r="FY80" i="2" s="1"/>
  <c r="AH163" i="2" a="1"/>
  <c r="AH163" i="2" s="1"/>
  <c r="EI195" i="2" a="1"/>
  <c r="EI195" i="2" s="1"/>
  <c r="DN50" i="2" a="1"/>
  <c r="DN50" i="2" s="1"/>
  <c r="DN124" i="2" a="1"/>
  <c r="DN124" i="2" s="1"/>
  <c r="EI198" i="2" a="1"/>
  <c r="EI198" i="2" s="1"/>
  <c r="FY62" i="2" a="1"/>
  <c r="FY62" i="2" s="1"/>
  <c r="FY116" i="2" a="1"/>
  <c r="FY116" i="2" s="1"/>
  <c r="FY102" i="2" a="1"/>
  <c r="FY102" i="2" s="1"/>
  <c r="FY32" i="2" a="1"/>
  <c r="FY32" i="2" s="1"/>
  <c r="FS203" i="2"/>
  <c r="FY121" i="2" a="1"/>
  <c r="FY121" i="2" s="1"/>
  <c r="DN153" i="2" a="1"/>
  <c r="DN153" i="2" s="1"/>
  <c r="FY24" i="2" a="1"/>
  <c r="FY24" i="2" s="1"/>
  <c r="EI16" i="2" a="1"/>
  <c r="EI16" i="2" s="1"/>
  <c r="FY142" i="2" a="1"/>
  <c r="FY142" i="2" s="1"/>
  <c r="CS52" i="2" a="1"/>
  <c r="CS52" i="2" s="1"/>
  <c r="DN70" i="2" a="1"/>
  <c r="DN70" i="2" s="1"/>
  <c r="EI20" i="2" a="1"/>
  <c r="EI20" i="2" s="1"/>
  <c r="DN63" i="2" a="1"/>
  <c r="DN63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EI71" i="2" a="1"/>
  <c r="EI71" i="2" s="1"/>
  <c r="EI178" i="2" a="1"/>
  <c r="EI178" i="2" s="1"/>
  <c r="EI57" i="2" a="1"/>
  <c r="EI57" i="2" s="1"/>
  <c r="DN29" i="2" a="1"/>
  <c r="DN29" i="2" s="1"/>
  <c r="EI35" i="2" a="1"/>
  <c r="EI35" i="2" s="1"/>
  <c r="DN41" i="2" a="1"/>
  <c r="DN41" i="2" s="1"/>
  <c r="FY133" i="2" a="1"/>
  <c r="FY133" i="2" s="1"/>
  <c r="DN162" i="2" a="1"/>
  <c r="DN162" i="2" s="1"/>
  <c r="DN43" i="2" a="1"/>
  <c r="DN43" i="2" s="1"/>
  <c r="FY164" i="2" a="1"/>
  <c r="FY164" i="2" s="1"/>
  <c r="FY140" i="2" a="1"/>
  <c r="FY140" i="2" s="1"/>
  <c r="EI67" i="2" a="1"/>
  <c r="EI67" i="2" s="1"/>
  <c r="DN115" i="2" a="1"/>
  <c r="DN115" i="2" s="1"/>
  <c r="FY28" i="2" a="1"/>
  <c r="FY28" i="2" s="1"/>
  <c r="FY29" i="2" a="1"/>
  <c r="FY29" i="2" s="1"/>
  <c r="DN176" i="2" a="1"/>
  <c r="DN176" i="2" s="1"/>
  <c r="EI170" i="2" a="1"/>
  <c r="EI170" i="2" s="1"/>
  <c r="DN137" i="2" a="1"/>
  <c r="DN137" i="2" s="1"/>
  <c r="FY78" i="2" a="1"/>
  <c r="FY78" i="2" s="1"/>
  <c r="DN190" i="2" a="1"/>
  <c r="DN190" i="2" s="1"/>
  <c r="DN38" i="2" a="1"/>
  <c r="DN38" i="2" s="1"/>
  <c r="DN123" i="2" a="1"/>
  <c r="DN123" i="2" s="1"/>
  <c r="CS72" i="2" a="1"/>
  <c r="CS72" i="2" s="1"/>
  <c r="CS56" i="2" a="1"/>
  <c r="CS56" i="2" s="1"/>
  <c r="FY30" i="2" a="1"/>
  <c r="FY30" i="2" s="1"/>
  <c r="DN45" i="2" a="1"/>
  <c r="DN45" i="2" s="1"/>
  <c r="DN55" i="2" a="1"/>
  <c r="DN55" i="2" s="1"/>
  <c r="DN80" i="2" a="1"/>
  <c r="DN80" i="2" s="1"/>
  <c r="EI34" i="2" a="1"/>
  <c r="EI3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<sst xmlns="http://schemas.openxmlformats.org/spreadsheetml/2006/main" count="1170" uniqueCount="324">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</sst>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2.1670001558783802</c:v>
                </c:pt>
                <c:pt idx="2">
                  <c:v>3.0285463901695064</c:v>
                </c:pt>
                <c:pt idx="3">
                  <c:v>4.2341061901380419</c:v>
                </c:pt>
                <c:pt idx="4">
                  <c:v>5.9216007984290178</c:v>
                </c:pt>
                <c:pt idx="5">
                  <c:v>8.2844550223176778</c:v>
                </c:pt>
                <c:pt idx="6">
                  <c:v>11.594011145291221</c:v>
                </c:pt>
                <c:pt idx="7">
                  <c:v>16.231023023798841</c:v>
                </c:pt>
                <c:pt idx="8">
                  <c:v>22.729919532552</c:v>
                </c:pt>
                <c:pt idx="9">
                  <c:v>31.841029309463295</c:v>
                </c:pt>
                <c:pt idx="10">
                  <c:v>44.618075146112467</c:v>
                </c:pt>
                <c:pt idx="11">
                  <c:v>62.541227444254339</c:v>
                </c:pt>
                <c:pt idx="12">
                  <c:v>87.690205912341938</c:v>
                </c:pt>
                <c:pt idx="13">
                  <c:v>122.98783629846871</c:v>
                </c:pt>
                <c:pt idx="14">
                  <c:v>172.5428084747405</c:v>
                </c:pt>
                <c:pt idx="15">
                  <c:v>242.13213665127162</c:v>
                </c:pt>
                <c:pt idx="16">
                  <c:v>189.58809661162073</c:v>
                </c:pt>
                <c:pt idx="17">
                  <c:v>220.59660711460606</c:v>
                </c:pt>
                <c:pt idx="18">
                  <c:v>251.50493417060102</c:v>
                </c:pt>
                <c:pt idx="19">
                  <c:v>282.32712307677639</c:v>
                </c:pt>
                <c:pt idx="20">
                  <c:v>313.07389623250668</c:v>
                </c:pt>
                <c:pt idx="21">
                  <c:v>263.65920512157243</c:v>
                </c:pt>
                <c:pt idx="22">
                  <c:v>295.46444635907523</c:v>
                </c:pt>
                <c:pt idx="23">
                  <c:v>327.19330217864905</c:v>
                </c:pt>
                <c:pt idx="24">
                  <c:v>358.85421497383328</c:v>
                </c:pt>
                <c:pt idx="25">
                  <c:v>390.45401554897381</c:v>
                </c:pt>
                <c:pt idx="26">
                  <c:v>421.99833908661282</c:v>
                </c:pt>
                <c:pt idx="27">
                  <c:v>376.34578440942164</c:v>
                </c:pt>
                <c:pt idx="28">
                  <c:v>408.44643968066379</c:v>
                </c:pt>
                <c:pt idx="29">
                  <c:v>440.49261364343562</c:v>
                </c:pt>
                <c:pt idx="30">
                  <c:v>472.48882157998918</c:v>
                </c:pt>
                <c:pt idx="31">
                  <c:v>504.43891788750688</c:v>
                </c:pt>
                <c:pt idx="32">
                  <c:v>536.3462293889155</c:v>
                </c:pt>
                <c:pt idx="33">
                  <c:v>459.82359941488511</c:v>
                </c:pt>
                <c:pt idx="34">
                  <c:v>489.58775225704329</c:v>
                </c:pt>
                <c:pt idx="35">
                  <c:v>519.31353393124755</c:v>
                </c:pt>
                <c:pt idx="36">
                  <c:v>549.00344654997537</c:v>
                </c:pt>
                <c:pt idx="37">
                  <c:v>578.65969985048025</c:v>
                </c:pt>
                <c:pt idx="38">
                  <c:v>608.28425889018115</c:v>
                </c:pt>
                <c:pt idx="39">
                  <c:v>637.87888197223367</c:v>
                </c:pt>
                <c:pt idx="40">
                  <c:v>667.44515117159779</c:v>
                </c:pt>
                <c:pt idx="41">
                  <c:v>540.41213636827149</c:v>
                </c:pt>
                <c:pt idx="42">
                  <c:v>565.40701432841411</c:v>
                </c:pt>
                <c:pt idx="43">
                  <c:v>590.37879677685305</c:v>
                </c:pt>
                <c:pt idx="44">
                  <c:v>615.32859684420794</c:v>
                </c:pt>
                <c:pt idx="45">
                  <c:v>640.25743013887643</c:v>
                </c:pt>
                <c:pt idx="46">
                  <c:v>665.16622683096546</c:v>
                </c:pt>
                <c:pt idx="47">
                  <c:v>690.05584183363806</c:v>
                </c:pt>
                <c:pt idx="48">
                  <c:v>714.92706344056614</c:v>
                </c:pt>
                <c:pt idx="49">
                  <c:v>598.4606611184978</c:v>
                </c:pt>
                <c:pt idx="50">
                  <c:v>619.51215329711385</c:v>
                </c:pt>
                <c:pt idx="51">
                  <c:v>640.54882910526499</c:v>
                </c:pt>
                <c:pt idx="52">
                  <c:v>661.57124312673454</c:v>
                </c:pt>
                <c:pt idx="53">
                  <c:v>682.57991186328354</c:v>
                </c:pt>
                <c:pt idx="54">
                  <c:v>703.57531746482061</c:v>
                </c:pt>
                <c:pt idx="55">
                  <c:v>724.55791099159148</c:v>
                </c:pt>
                <c:pt idx="56">
                  <c:v>745.52811527921983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80" zoomScaleNormal="80" workbookViewId="0">
      <selection activeCell="A36" sqref="A36:H43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6.2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6.2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6.2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183.53</v>
      </c>
      <c r="C36" s="60">
        <v>1</v>
      </c>
      <c r="D36" s="60">
        <v>64.72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12.235333333333333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238.82</v>
      </c>
      <c r="C37" s="60">
        <v>2</v>
      </c>
      <c r="D37" s="60">
        <v>63.34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24.001999999999999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324.24</v>
      </c>
      <c r="C38" s="60">
        <v>3</v>
      </c>
      <c r="D38" s="60">
        <v>61.08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24.793333333333337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414.43</v>
      </c>
      <c r="C39" s="60">
        <v>4</v>
      </c>
      <c r="D39" s="60">
        <v>83.88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25.211666666666662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518.33000000000004</v>
      </c>
      <c r="C40" s="60">
        <v>5</v>
      </c>
      <c r="D40" s="60">
        <v>120.46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23.472500000000004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556.07000000000005</v>
      </c>
      <c r="C41" s="60">
        <v>6</v>
      </c>
      <c r="D41" s="60">
        <v>109.16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19.774999999999999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580.41999999999996</v>
      </c>
      <c r="C42" s="60">
        <v>7</v>
      </c>
      <c r="D42" s="60">
        <v>580.41999999999996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16.688749999999985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0" sqref="B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373.78622001879341</v>
      </c>
      <c r="T3" s="59">
        <f>IF('Données projet'!E9&gt;30,$R$33-$H$33,LOOKUP('Données projet'!$E$9,$A$3:$A$203,R3:R203)-LOOKUP('Données projet'!$E$9,$A$3:$A$203,$H$3:$H$203))</f>
        <v>471.13220915651465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12.235333333333333</v>
      </c>
      <c r="N4" s="13">
        <f>IF('Données projet'!$A$36&gt;35,N3+M4-V3,IF(A4&lt;'Données projet'!$A$36,$K$205^A4,IF(A4='Données projet'!$A$36,'Données projet'!$B$36,N3+M4-V3)))</f>
        <v>1.415512811118399</v>
      </c>
      <c r="O4" s="13">
        <f>N4*VLOOKUP('Données projet'!$B$9,Paramètres!$A$1:$I$89,3,0)*VLOOKUP('Données projet'!$B$9,Paramètres!$A$1:$I$89,5,0)</f>
        <v>0.84647666104880259</v>
      </c>
      <c r="P4" s="13">
        <f>EXP(-1.0587+0.8836*LN(O4)+0.284)</f>
        <v>0.39773395476653539</v>
      </c>
      <c r="Q4" s="20">
        <f t="shared" ref="Q4:Q34" si="2">(O4+P4)*0.475*44/12</f>
        <v>2.1670001558783802</v>
      </c>
      <c r="R4" s="59">
        <f t="shared" si="0"/>
        <v>260.05588904476724</v>
      </c>
      <c r="S4" s="59">
        <f ca="1">AVERAGE(OFFSET($R$3,0,0,'Données projet'!$E$9+1,1))-AVERAGE(OFFSET($H$3,0,0,'Données projet'!$E$9+1,1))</f>
        <v>373.78622001879341</v>
      </c>
      <c r="T4" s="59">
        <f>$T$3</f>
        <v>471.13220915651465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12.235333333333333</v>
      </c>
      <c r="N5" s="13">
        <f>IF('Données projet'!$A$36&gt;35,N4+M5-V4,IF(A5&lt;'Données projet'!$A$36,$K$205^A5,IF(A5='Données projet'!$A$36,'Données projet'!$B$36,N4+M5-V4)))</f>
        <v>2.0036765184403125</v>
      </c>
      <c r="O5" s="13">
        <f>N5*VLOOKUP('Données projet'!$B$9,Paramètres!$A$1:$I$89,3,0)*VLOOKUP('Données projet'!$B$9,Paramètres!$A$1:$I$89,5,0)</f>
        <v>1.1981985580273069</v>
      </c>
      <c r="P5" s="13">
        <f t="shared" ref="P5:P68" si="33">EXP(-1.0587+0.8836*LN(O5)+0.284)</f>
        <v>0.54067975211786445</v>
      </c>
      <c r="Q5" s="20">
        <f t="shared" si="2"/>
        <v>3.0285463901695064</v>
      </c>
      <c r="R5" s="59">
        <f t="shared" si="0"/>
        <v>262.13965750128062</v>
      </c>
      <c r="S5" s="59">
        <f ca="1">AVERAGE(OFFSET($R$3,0,0,'Données projet'!$E$9+1,1))-AVERAGE(OFFSET($H$3,0,0,'Données projet'!$E$9+1,1))</f>
        <v>373.78622001879341</v>
      </c>
      <c r="T5" s="59">
        <f t="shared" ref="T5:T68" si="34">$T$3</f>
        <v>471.13220915651465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12.235333333333333</v>
      </c>
      <c r="N6" s="13">
        <f>IF('Données projet'!$A$36&gt;35,N5+M6-V5,IF(A6&lt;'Données projet'!$A$36,$K$205^A6,IF(A6='Données projet'!$A$36,'Données projet'!$B$36,N5+M6-V5)))</f>
        <v>2.8362297811893735</v>
      </c>
      <c r="O6" s="13">
        <f>N6*VLOOKUP('Données projet'!$B$9,Paramètres!$A$1:$I$89,3,0)*VLOOKUP('Données projet'!$B$9,Paramètres!$A$1:$I$89,5,0)</f>
        <v>1.6960654091512457</v>
      </c>
      <c r="P6" s="13">
        <f t="shared" si="33"/>
        <v>0.73500034595193653</v>
      </c>
      <c r="Q6" s="20">
        <f t="shared" si="2"/>
        <v>4.2341061901380419</v>
      </c>
      <c r="R6" s="59">
        <f t="shared" si="0"/>
        <v>264.56743952347136</v>
      </c>
      <c r="S6" s="59">
        <f ca="1">AVERAGE(OFFSET($R$3,0,0,'Données projet'!$E$9+1,1))-AVERAGE(OFFSET($H$3,0,0,'Données projet'!$E$9+1,1))</f>
        <v>373.78622001879341</v>
      </c>
      <c r="T6" s="59">
        <f t="shared" si="34"/>
        <v>471.13220915651465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12.235333333333333</v>
      </c>
      <c r="N7" s="13">
        <f>IF('Données projet'!$A$36&gt;35,N6+M7-V6,IF(A7&lt;'Données projet'!$A$36,$K$205^A7,IF(A7='Données projet'!$A$36,'Données projet'!$B$36,N6+M7-V6)))</f>
        <v>4.0147195905490918</v>
      </c>
      <c r="O7" s="13">
        <f>N7*VLOOKUP('Données projet'!$B$9,Paramètres!$A$1:$I$89,3,0)*VLOOKUP('Données projet'!$B$9,Paramètres!$A$1:$I$89,5,0)</f>
        <v>2.4008023151483573</v>
      </c>
      <c r="P7" s="13">
        <f t="shared" si="33"/>
        <v>0.99915986576782501</v>
      </c>
      <c r="Q7" s="20">
        <f t="shared" si="2"/>
        <v>5.9216007984290178</v>
      </c>
      <c r="R7" s="59">
        <f t="shared" si="0"/>
        <v>267.47715635398458</v>
      </c>
      <c r="S7" s="59">
        <f ca="1">AVERAGE(OFFSET($R$3,0,0,'Données projet'!$E$9+1,1))-AVERAGE(OFFSET($H$3,0,0,'Données projet'!$E$9+1,1))</f>
        <v>373.78622001879341</v>
      </c>
      <c r="T7" s="59">
        <f t="shared" si="34"/>
        <v>471.13220915651465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12.235333333333333</v>
      </c>
      <c r="N8" s="13">
        <f>IF('Données projet'!$A$36&gt;35,N7+M8-V7,IF(A8&lt;'Données projet'!$A$36,$K$205^A8,IF(A8='Données projet'!$A$36,'Données projet'!$B$36,N7+M8-V7)))</f>
        <v>5.6828870134702525</v>
      </c>
      <c r="O8" s="13">
        <f>N8*VLOOKUP('Données projet'!$B$9,Paramètres!$A$1:$I$89,3,0)*VLOOKUP('Données projet'!$B$9,Paramètres!$A$1:$I$89,5,0)</f>
        <v>3.3983664340552111</v>
      </c>
      <c r="P8" s="13">
        <f t="shared" si="33"/>
        <v>1.3582584591415423</v>
      </c>
      <c r="Q8" s="20">
        <f t="shared" si="2"/>
        <v>8.2844550223176778</v>
      </c>
      <c r="R8" s="59">
        <f t="shared" si="0"/>
        <v>271.06223280009544</v>
      </c>
      <c r="S8" s="59">
        <f ca="1">AVERAGE(OFFSET($R$3,0,0,'Données projet'!$E$9+1,1))-AVERAGE(OFFSET($H$3,0,0,'Données projet'!$E$9+1,1))</f>
        <v>373.78622001879341</v>
      </c>
      <c r="T8" s="59">
        <f t="shared" si="34"/>
        <v>471.13220915651465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12.235333333333333</v>
      </c>
      <c r="N9" s="13">
        <f>IF('Données projet'!$A$36&gt;35,N8+M9-V8,IF(A9&lt;'Données projet'!$A$36,$K$205^A9,IF(A9='Données projet'!$A$36,'Données projet'!$B$36,N8+M9-V8)))</f>
        <v>8.0441993717055205</v>
      </c>
      <c r="O9" s="13">
        <f>N9*VLOOKUP('Données projet'!$B$9,Paramètres!$A$1:$I$89,3,0)*VLOOKUP('Données projet'!$B$9,Paramètres!$A$1:$I$89,5,0)</f>
        <v>4.8104312242799017</v>
      </c>
      <c r="P9" s="13">
        <f t="shared" si="33"/>
        <v>1.8464172801935277</v>
      </c>
      <c r="Q9" s="20">
        <f t="shared" si="2"/>
        <v>11.594011145291221</v>
      </c>
      <c r="R9" s="59">
        <f t="shared" si="0"/>
        <v>275.59401114529123</v>
      </c>
      <c r="S9" s="59">
        <f ca="1">AVERAGE(OFFSET($R$3,0,0,'Données projet'!$E$9+1,1))-AVERAGE(OFFSET($H$3,0,0,'Données projet'!$E$9+1,1))</f>
        <v>373.78622001879341</v>
      </c>
      <c r="T9" s="59">
        <f t="shared" si="34"/>
        <v>471.13220915651465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12.235333333333333</v>
      </c>
      <c r="N10" s="13">
        <f>IF('Données projet'!$A$36&gt;35,N9+M10-V9,IF(A10&lt;'Données projet'!$A$36,$K$205^A10,IF(A10='Données projet'!$A$36,'Données projet'!$B$36,N9+M10-V9)))</f>
        <v>11.386667265839742</v>
      </c>
      <c r="O10" s="13">
        <f>N10*VLOOKUP('Données projet'!$B$9,Paramètres!$A$1:$I$89,3,0)*VLOOKUP('Données projet'!$B$9,Paramètres!$A$1:$I$89,5,0)</f>
        <v>6.8092270249721656</v>
      </c>
      <c r="P10" s="13">
        <f t="shared" si="33"/>
        <v>2.5100206441946327</v>
      </c>
      <c r="Q10" s="20">
        <f t="shared" si="2"/>
        <v>16.231023023798841</v>
      </c>
      <c r="R10" s="59">
        <f t="shared" si="0"/>
        <v>281.45324524602108</v>
      </c>
      <c r="S10" s="59">
        <f ca="1">AVERAGE(OFFSET($R$3,0,0,'Données projet'!$E$9+1,1))-AVERAGE(OFFSET($H$3,0,0,'Données projet'!$E$9+1,1))</f>
        <v>373.78622001879341</v>
      </c>
      <c r="T10" s="59">
        <f t="shared" si="34"/>
        <v>471.13220915651465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12.235333333333333</v>
      </c>
      <c r="N11" s="13">
        <f>IF('Données projet'!$A$36&gt;35,N10+M11-V10,IF(A11&lt;'Données projet'!$A$36,$K$205^A11,IF(A11='Données projet'!$A$36,'Données projet'!$B$36,N10+M11-V10)))</f>
        <v>16.117973390738666</v>
      </c>
      <c r="O11" s="13">
        <f>N11*VLOOKUP('Données projet'!$B$9,Paramètres!$A$1:$I$89,3,0)*VLOOKUP('Données projet'!$B$9,Paramètres!$A$1:$I$89,5,0)</f>
        <v>9.6385480876617233</v>
      </c>
      <c r="P11" s="13">
        <f t="shared" si="33"/>
        <v>3.4121234142820085</v>
      </c>
      <c r="Q11" s="20">
        <f t="shared" si="2"/>
        <v>22.729919532552</v>
      </c>
      <c r="R11" s="59">
        <f t="shared" si="0"/>
        <v>289.17436397699646</v>
      </c>
      <c r="S11" s="59">
        <f ca="1">AVERAGE(OFFSET($R$3,0,0,'Données projet'!$E$9+1,1))-AVERAGE(OFFSET($H$3,0,0,'Données projet'!$E$9+1,1))</f>
        <v>373.78622001879341</v>
      </c>
      <c r="T11" s="59">
        <f t="shared" si="34"/>
        <v>471.13220915651465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12.235333333333333</v>
      </c>
      <c r="N12" s="13">
        <f>IF('Données projet'!$A$36&gt;35,N11+M12-V11,IF(A12&lt;'Données projet'!$A$36,$K$205^A12,IF(A12='Données projet'!$A$36,'Données projet'!$B$36,N11+M12-V11)))</f>
        <v>22.815197823856042</v>
      </c>
      <c r="O12" s="13">
        <f>N12*VLOOKUP('Données projet'!$B$9,Paramètres!$A$1:$I$89,3,0)*VLOOKUP('Données projet'!$B$9,Paramètres!$A$1:$I$89,5,0)</f>
        <v>13.643488298665915</v>
      </c>
      <c r="P12" s="13">
        <f t="shared" si="33"/>
        <v>4.6384424053321505</v>
      </c>
      <c r="Q12" s="20">
        <f t="shared" si="2"/>
        <v>31.841029309463295</v>
      </c>
      <c r="R12" s="59">
        <f t="shared" si="0"/>
        <v>299.50769597612998</v>
      </c>
      <c r="S12" s="59">
        <f ca="1">AVERAGE(OFFSET($R$3,0,0,'Données projet'!$E$9+1,1))-AVERAGE(OFFSET($H$3,0,0,'Données projet'!$E$9+1,1))</f>
        <v>373.78622001879341</v>
      </c>
      <c r="T12" s="59">
        <f t="shared" si="34"/>
        <v>471.13220915651465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12.235333333333333</v>
      </c>
      <c r="N13" s="13">
        <f>IF('Données projet'!$A$36&gt;35,N12+M13-V12,IF(A13&lt;'Données projet'!$A$36,$K$205^A13,IF(A13='Données projet'!$A$36,'Données projet'!$B$36,N12+M13-V12)))</f>
        <v>32.295204807868849</v>
      </c>
      <c r="O13" s="13">
        <f>N13*VLOOKUP('Données projet'!$B$9,Paramètres!$A$1:$I$89,3,0)*VLOOKUP('Données projet'!$B$9,Paramètres!$A$1:$I$89,5,0)</f>
        <v>19.312532475105574</v>
      </c>
      <c r="P13" s="13">
        <f t="shared" si="33"/>
        <v>6.3055011016097158</v>
      </c>
      <c r="Q13" s="20">
        <f t="shared" si="2"/>
        <v>44.618075146112467</v>
      </c>
      <c r="R13" s="59">
        <f t="shared" si="0"/>
        <v>313.50696403500132</v>
      </c>
      <c r="S13" s="59">
        <f ca="1">AVERAGE(OFFSET($R$3,0,0,'Données projet'!$E$9+1,1))-AVERAGE(OFFSET($H$3,0,0,'Données projet'!$E$9+1,1))</f>
        <v>373.78622001879341</v>
      </c>
      <c r="T13" s="59">
        <f t="shared" si="34"/>
        <v>471.13220915651465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12.235333333333333</v>
      </c>
      <c r="N14" s="13">
        <f>IF('Données projet'!$A$36&gt;35,N13+M14-V13,IF(A14&lt;'Données projet'!$A$36,$K$205^A14,IF(A14='Données projet'!$A$36,'Données projet'!$B$36,N13+M14-V13)))</f>
        <v>45.714276143230869</v>
      </c>
      <c r="O14" s="13">
        <f>N14*VLOOKUP('Données projet'!$B$9,Paramètres!$A$1:$I$89,3,0)*VLOOKUP('Données projet'!$B$9,Paramètres!$A$1:$I$89,5,0)</f>
        <v>27.33713713365206</v>
      </c>
      <c r="P14" s="13">
        <f t="shared" si="33"/>
        <v>8.5717015903217302</v>
      </c>
      <c r="Q14" s="20">
        <f t="shared" si="2"/>
        <v>62.541227444254339</v>
      </c>
      <c r="R14" s="59">
        <f t="shared" si="0"/>
        <v>332.65233855536547</v>
      </c>
      <c r="S14" s="59">
        <f ca="1">AVERAGE(OFFSET($R$3,0,0,'Données projet'!$E$9+1,1))-AVERAGE(OFFSET($H$3,0,0,'Données projet'!$E$9+1,1))</f>
        <v>373.78622001879341</v>
      </c>
      <c r="T14" s="59">
        <f t="shared" si="34"/>
        <v>471.13220915651465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12.235333333333333</v>
      </c>
      <c r="N15" s="13">
        <f>IF('Données projet'!$A$36&gt;35,N14+M15-V14,IF(A15&lt;'Données projet'!$A$36,$K$205^A15,IF(A15='Données projet'!$A$36,'Données projet'!$B$36,N14+M15-V14)))</f>
        <v>64.709143531747486</v>
      </c>
      <c r="O15" s="13">
        <f>N15*VLOOKUP('Données projet'!$B$9,Paramètres!$A$1:$I$89,3,0)*VLOOKUP('Données projet'!$B$9,Paramètres!$A$1:$I$89,5,0)</f>
        <v>38.696067831985005</v>
      </c>
      <c r="P15" s="13">
        <f t="shared" si="33"/>
        <v>11.652375754048647</v>
      </c>
      <c r="Q15" s="20">
        <f t="shared" si="2"/>
        <v>87.690205912341938</v>
      </c>
      <c r="R15" s="59">
        <f t="shared" si="0"/>
        <v>359.02353924567524</v>
      </c>
      <c r="S15" s="59">
        <f ca="1">AVERAGE(OFFSET($R$3,0,0,'Données projet'!$E$9+1,1))-AVERAGE(OFFSET($H$3,0,0,'Données projet'!$E$9+1,1))</f>
        <v>373.78622001879341</v>
      </c>
      <c r="T15" s="59">
        <f t="shared" si="34"/>
        <v>471.13220915651465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12.235333333333333</v>
      </c>
      <c r="N16" s="13">
        <f>IF('Données projet'!$A$36&gt;35,N15+M16-V15,IF(A16&lt;'Données projet'!$A$36,$K$205^A16,IF(A16='Données projet'!$A$36,'Données projet'!$B$36,N15+M16-V15)))</f>
        <v>91.596621665687849</v>
      </c>
      <c r="O16" s="13">
        <f>N16*VLOOKUP('Données projet'!$B$9,Paramètres!$A$1:$I$89,3,0)*VLOOKUP('Données projet'!$B$9,Paramètres!$A$1:$I$89,5,0)</f>
        <v>54.774779756081337</v>
      </c>
      <c r="P16" s="13">
        <f t="shared" si="33"/>
        <v>15.840245869833698</v>
      </c>
      <c r="Q16" s="20">
        <f t="shared" si="2"/>
        <v>122.98783629846871</v>
      </c>
      <c r="R16" s="59">
        <f t="shared" si="0"/>
        <v>395.54339185402426</v>
      </c>
      <c r="S16" s="59">
        <f ca="1">AVERAGE(OFFSET($R$3,0,0,'Données projet'!$E$9+1,1))-AVERAGE(OFFSET($H$3,0,0,'Données projet'!$E$9+1,1))</f>
        <v>373.78622001879341</v>
      </c>
      <c r="T16" s="59">
        <f t="shared" si="34"/>
        <v>471.13220915651465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12.235333333333333</v>
      </c>
      <c r="N17" s="13">
        <f>IF('Données projet'!$A$36&gt;35,N16+M17-V16,IF(A17&lt;'Données projet'!$A$36,$K$205^A17,IF(A17='Données projet'!$A$36,'Données projet'!$B$36,N16+M17-V16)))</f>
        <v>129.65619142294628</v>
      </c>
      <c r="O17" s="13">
        <f>N17*VLOOKUP('Données projet'!$B$9,Paramètres!$A$1:$I$89,3,0)*VLOOKUP('Données projet'!$B$9,Paramètres!$A$1:$I$89,5,0)</f>
        <v>77.534402470921876</v>
      </c>
      <c r="P17" s="13">
        <f t="shared" si="33"/>
        <v>21.533238758594202</v>
      </c>
      <c r="Q17" s="20">
        <f t="shared" si="2"/>
        <v>172.5428084747405</v>
      </c>
      <c r="R17" s="59">
        <f t="shared" si="0"/>
        <v>446.3205862525183</v>
      </c>
      <c r="S17" s="59">
        <f ca="1">AVERAGE(OFFSET($R$3,0,0,'Données projet'!$E$9+1,1))-AVERAGE(OFFSET($H$3,0,0,'Données projet'!$E$9+1,1))</f>
        <v>373.78622001879341</v>
      </c>
      <c r="T17" s="59">
        <f t="shared" si="34"/>
        <v>471.13220915651465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183.53</v>
      </c>
      <c r="L18" s="12">
        <f>VLOOKUP(A18,'Données projet'!$A$35:$I$55,9,0)</f>
        <v>12.235333333333333</v>
      </c>
      <c r="M18" s="12">
        <f t="array" ref="M18">INDEX(L:L,MIN(IF(ISNUMBER(L18:L214),ROW(L18:L214),"")))</f>
        <v>12.235333333333333</v>
      </c>
      <c r="N18" s="13">
        <f>IF('Données projet'!$A$36&gt;35,N17+M18-V17,IF(A18&lt;'Données projet'!$A$36,$K$205^A18,IF(A18='Données projet'!$A$36,'Données projet'!$B$36,N17+M18-V17)))</f>
        <v>183.53</v>
      </c>
      <c r="O18" s="13">
        <f>N18*VLOOKUP('Données projet'!$B$9,Paramètres!$A$1:$I$89,3,0)*VLOOKUP('Données projet'!$B$9,Paramètres!$A$1:$I$89,5,0)</f>
        <v>109.75094</v>
      </c>
      <c r="P18" s="13">
        <f t="shared" si="33"/>
        <v>29.272296354797131</v>
      </c>
      <c r="Q18" s="20">
        <f t="shared" si="2"/>
        <v>242.13213665127162</v>
      </c>
      <c r="R18" s="59">
        <f t="shared" si="0"/>
        <v>517.13213665127159</v>
      </c>
      <c r="S18" s="59">
        <f ca="1">AVERAGE(OFFSET($R$3,0,0,'Données projet'!$E$9+1,1))-AVERAGE(OFFSET($H$3,0,0,'Données projet'!$E$9+1,1))</f>
        <v>373.78622001879341</v>
      </c>
      <c r="T18" s="59">
        <f t="shared" si="34"/>
        <v>471.13220915651465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64.72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12.887100983463514</v>
      </c>
      <c r="AB18" s="21">
        <f>EXP(-LN(2)/2)*AB17+(1-EXP(-LN(2)/2))/(LN(2)/2)*V18*Y18*VLOOKUP('Données projet'!$B$9,Paramètres!$A$1:$I$89,3,0)*0.475*44/12</f>
        <v>19.280926908740593</v>
      </c>
      <c r="AC18" s="22">
        <f t="shared" si="3"/>
        <v>32.168027892204108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24.001999999999999</v>
      </c>
      <c r="N19" s="13">
        <f>IF('Données projet'!$A$36&gt;35,N18+M19-V18,IF(A19&lt;'Données projet'!$A$36,$K$205^A19,IF(A19='Données projet'!$A$36,'Données projet'!$B$36,N18+M19-V18)))</f>
        <v>142.81200000000001</v>
      </c>
      <c r="O19" s="13">
        <f>N19*VLOOKUP('Données projet'!$B$9,Paramètres!$A$1:$I$89,3,0)*VLOOKUP('Données projet'!$B$9,Paramètres!$A$1:$I$89,5,0)</f>
        <v>85.401576000000006</v>
      </c>
      <c r="P19" s="13">
        <f t="shared" si="33"/>
        <v>23.452833537772666</v>
      </c>
      <c r="Q19" s="20">
        <f t="shared" si="2"/>
        <v>189.58809661162073</v>
      </c>
      <c r="R19" s="59">
        <f t="shared" si="0"/>
        <v>465.81031883384298</v>
      </c>
      <c r="S19" s="59">
        <f ca="1">AVERAGE(OFFSET($R$3,0,0,'Données projet'!$E$9+1,1))-AVERAGE(OFFSET($H$3,0,0,'Données projet'!$E$9+1,1))</f>
        <v>373.78622001879341</v>
      </c>
      <c r="T19" s="59">
        <f t="shared" si="34"/>
        <v>471.13220915651465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12.534702529367516</v>
      </c>
      <c r="AB19" s="21">
        <f>EXP(-LN(2)/2)*AB18+(1-EXP(-LN(2)/2))/(LN(2)/2)*V19*Y19*VLOOKUP('Données projet'!$B$9,Paramètres!$A$1:$I$89,3,0)*0.475*44/12</f>
        <v>13.633674164732652</v>
      </c>
      <c r="AC19" s="22">
        <f t="shared" si="3"/>
        <v>26.168376694100168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24.001999999999999</v>
      </c>
      <c r="N20" s="13">
        <f>IF('Données projet'!$A$36&gt;35,N19+M20-V19,IF(A20&lt;'Données projet'!$A$36,$K$205^A20,IF(A20='Données projet'!$A$36,'Données projet'!$B$36,N19+M20-V19)))</f>
        <v>166.81400000000002</v>
      </c>
      <c r="O20" s="13">
        <f>N20*VLOOKUP('Données projet'!$B$9,Paramètres!$A$1:$I$89,3,0)*VLOOKUP('Données projet'!$B$9,Paramètres!$A$1:$I$89,5,0)</f>
        <v>99.754772000000017</v>
      </c>
      <c r="P20" s="13">
        <f t="shared" si="33"/>
        <v>26.903567013170932</v>
      </c>
      <c r="Q20" s="20">
        <f t="shared" si="2"/>
        <v>220.59660711460606</v>
      </c>
      <c r="R20" s="59">
        <f t="shared" si="0"/>
        <v>498.04105155905052</v>
      </c>
      <c r="S20" s="59">
        <f ca="1">AVERAGE(OFFSET($R$3,0,0,'Données projet'!$E$9+1,1))-AVERAGE(OFFSET($H$3,0,0,'Données projet'!$E$9+1,1))</f>
        <v>373.78622001879341</v>
      </c>
      <c r="T20" s="59">
        <f t="shared" si="34"/>
        <v>471.13220915651465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12.191940429530604</v>
      </c>
      <c r="AB20" s="21">
        <f>EXP(-LN(2)/2)*AB19+(1-EXP(-LN(2)/2))/(LN(2)/2)*V20*Y20*VLOOKUP('Données projet'!$B$9,Paramètres!$A$1:$I$89,3,0)*0.475*44/12</f>
        <v>9.6404634543702983</v>
      </c>
      <c r="AC20" s="22">
        <f t="shared" si="3"/>
        <v>21.832403883900902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24.001999999999999</v>
      </c>
      <c r="N21" s="13">
        <f>IF('Données projet'!$A$36&gt;35,N20+M21-V20,IF(A21&lt;'Données projet'!$A$36,$K$205^A21,IF(A21='Données projet'!$A$36,'Données projet'!$B$36,N20+M21-V20)))</f>
        <v>190.81600000000003</v>
      </c>
      <c r="O21" s="13">
        <f>N21*VLOOKUP('Données projet'!$B$9,Paramètres!$A$1:$I$89,3,0)*VLOOKUP('Données projet'!$B$9,Paramètres!$A$1:$I$89,5,0)</f>
        <v>114.10796800000003</v>
      </c>
      <c r="P21" s="13">
        <f t="shared" si="33"/>
        <v>30.296778892211066</v>
      </c>
      <c r="Q21" s="20">
        <f t="shared" si="2"/>
        <v>251.50493417060102</v>
      </c>
      <c r="R21" s="59">
        <f t="shared" si="0"/>
        <v>530.17160083726776</v>
      </c>
      <c r="S21" s="59">
        <f ca="1">AVERAGE(OFFSET($R$3,0,0,'Données projet'!$E$9+1,1))-AVERAGE(OFFSET($H$3,0,0,'Données projet'!$E$9+1,1))</f>
        <v>373.78622001879341</v>
      </c>
      <c r="T21" s="59">
        <f t="shared" si="34"/>
        <v>471.13220915651465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11.858551177338807</v>
      </c>
      <c r="AB21" s="21">
        <f>EXP(-LN(2)/2)*AB20+(1-EXP(-LN(2)/2))/(LN(2)/2)*V21*Y21*VLOOKUP('Données projet'!$B$9,Paramètres!$A$1:$I$89,3,0)*0.475*44/12</f>
        <v>6.8168370823663267</v>
      </c>
      <c r="AC21" s="22">
        <f t="shared" si="3"/>
        <v>18.675388259705134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24.001999999999999</v>
      </c>
      <c r="N22" s="13">
        <f>IF('Données projet'!$A$36&gt;35,N21+M22-V21,IF(A22&lt;'Données projet'!$A$36,$K$205^A22,IF(A22='Données projet'!$A$36,'Données projet'!$B$36,N21+M22-V21)))</f>
        <v>214.81800000000004</v>
      </c>
      <c r="O22" s="13">
        <f>N22*VLOOKUP('Données projet'!$B$9,Paramètres!$A$1:$I$89,3,0)*VLOOKUP('Données projet'!$B$9,Paramètres!$A$1:$I$89,5,0)</f>
        <v>128.46116400000002</v>
      </c>
      <c r="P22" s="13">
        <f t="shared" si="33"/>
        <v>33.640533460350063</v>
      </c>
      <c r="Q22" s="20">
        <f t="shared" si="2"/>
        <v>282.32712307677639</v>
      </c>
      <c r="R22" s="59">
        <f t="shared" si="0"/>
        <v>562.2160119656653</v>
      </c>
      <c r="S22" s="59">
        <f ca="1">AVERAGE(OFFSET($R$3,0,0,'Données projet'!$E$9+1,1))-AVERAGE(OFFSET($H$3,0,0,'Données projet'!$E$9+1,1))</f>
        <v>373.78622001879341</v>
      </c>
      <c r="T22" s="59">
        <f t="shared" si="34"/>
        <v>471.13220915651465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11.534278471780373</v>
      </c>
      <c r="AB22" s="21">
        <f>EXP(-LN(2)/2)*AB21+(1-EXP(-LN(2)/2))/(LN(2)/2)*V22*Y22*VLOOKUP('Données projet'!$B$9,Paramètres!$A$1:$I$89,3,0)*0.475*44/12</f>
        <v>4.8202317271851491</v>
      </c>
      <c r="AC22" s="22">
        <f t="shared" si="3"/>
        <v>16.354510198965521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238.82</v>
      </c>
      <c r="L23" s="12">
        <f>VLOOKUP(A23,'Données projet'!$A$35:$I$55,9,0)</f>
        <v>24.001999999999999</v>
      </c>
      <c r="M23" s="12">
        <f t="array" ref="M23">INDEX(L:L,MIN(IF(ISNUMBER(L23:L219),ROW(L23:L219),"")))</f>
        <v>24.001999999999999</v>
      </c>
      <c r="N23" s="13">
        <f>IF('Données projet'!$A$36&gt;35,N22+M23-V22,IF(A23&lt;'Données projet'!$A$36,$K$205^A23,IF(A23='Données projet'!$A$36,'Données projet'!$B$36,N22+M23-V22)))</f>
        <v>238.82000000000005</v>
      </c>
      <c r="O23" s="13">
        <f>N23*VLOOKUP('Données projet'!$B$9,Paramètres!$A$1:$I$89,3,0)*VLOOKUP('Données projet'!$B$9,Paramètres!$A$1:$I$89,5,0)</f>
        <v>142.81436000000005</v>
      </c>
      <c r="P23" s="13">
        <f t="shared" si="33"/>
        <v>36.940987119142555</v>
      </c>
      <c r="Q23" s="20">
        <f t="shared" si="2"/>
        <v>313.07389623250668</v>
      </c>
      <c r="R23" s="59">
        <f t="shared" si="0"/>
        <v>594.18500734361783</v>
      </c>
      <c r="S23" s="59">
        <f ca="1">AVERAGE(OFFSET($R$3,0,0,'Données projet'!$E$9+1,1))-AVERAGE(OFFSET($H$3,0,0,'Données projet'!$E$9+1,1))</f>
        <v>373.78622001879341</v>
      </c>
      <c r="T23" s="59">
        <f t="shared" si="34"/>
        <v>471.13220915651465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63.34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23.831187240009235</v>
      </c>
      <c r="AB23" s="21">
        <f>EXP(-LN(2)/2)*AB22+(1-EXP(-LN(2)/2))/(LN(2)/2)*V23*Y23*VLOOKUP('Données projet'!$B$9,Paramètres!$A$1:$I$89,3,0)*0.475*44/12</f>
        <v>22.278225562191032</v>
      </c>
      <c r="AC23" s="22">
        <f t="shared" si="3"/>
        <v>46.109412802200268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24.793333333333337</v>
      </c>
      <c r="N24" s="13">
        <f>IF('Données projet'!$A$36&gt;35,N23+M24-V23,IF(A24&lt;'Données projet'!$A$36,$K$205^A24,IF(A24='Données projet'!$A$36,'Données projet'!$B$36,N23+M24-V23)))</f>
        <v>200.2733333333334</v>
      </c>
      <c r="O24" s="13">
        <f>N24*VLOOKUP('Données projet'!$B$9,Paramètres!$A$1:$I$89,3,0)*VLOOKUP('Données projet'!$B$9,Paramètres!$A$1:$I$89,5,0)</f>
        <v>119.76345333333339</v>
      </c>
      <c r="P24" s="13">
        <f t="shared" si="33"/>
        <v>31.619822334555099</v>
      </c>
      <c r="Q24" s="20">
        <f t="shared" si="2"/>
        <v>263.65920512157243</v>
      </c>
      <c r="R24" s="59">
        <f t="shared" si="0"/>
        <v>545.9925384549058</v>
      </c>
      <c r="S24" s="59">
        <f ca="1">AVERAGE(OFFSET($R$3,0,0,'Données projet'!$E$9+1,1))-AVERAGE(OFFSET($H$3,0,0,'Données projet'!$E$9+1,1))</f>
        <v>373.78622001879341</v>
      </c>
      <c r="T24" s="59">
        <f t="shared" si="34"/>
        <v>471.13220915651465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23.179522171703514</v>
      </c>
      <c r="AB24" s="21">
        <f>EXP(-LN(2)/2)*AB23+(1-EXP(-LN(2)/2))/(LN(2)/2)*V24*Y24*VLOOKUP('Données projet'!$B$9,Paramètres!$A$1:$I$89,3,0)*0.475*44/12</f>
        <v>15.753084367828764</v>
      </c>
      <c r="AC24" s="22">
        <f t="shared" si="3"/>
        <v>38.93260653953228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24.793333333333337</v>
      </c>
      <c r="N25" s="13">
        <f>IF('Données projet'!$A$36&gt;35,N24+M25-V24,IF(A25&lt;'Données projet'!$A$36,$K$205^A25,IF(A25='Données projet'!$A$36,'Données projet'!$B$36,N24+M25-V24)))</f>
        <v>225.06666666666672</v>
      </c>
      <c r="O25" s="13">
        <f>N25*VLOOKUP('Données projet'!$B$9,Paramètres!$A$1:$I$89,3,0)*VLOOKUP('Données projet'!$B$9,Paramètres!$A$1:$I$89,5,0)</f>
        <v>134.58986666666669</v>
      </c>
      <c r="P25" s="13">
        <f t="shared" si="33"/>
        <v>35.054791529931514</v>
      </c>
      <c r="Q25" s="20">
        <f t="shared" si="2"/>
        <v>295.46444635907523</v>
      </c>
      <c r="R25" s="59">
        <f t="shared" si="0"/>
        <v>579.02000191463071</v>
      </c>
      <c r="S25" s="59">
        <f ca="1">AVERAGE(OFFSET($R$3,0,0,'Données projet'!$E$9+1,1))-AVERAGE(OFFSET($H$3,0,0,'Données projet'!$E$9+1,1))</f>
        <v>373.78622001879341</v>
      </c>
      <c r="T25" s="59">
        <f t="shared" si="34"/>
        <v>471.13220915651465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22.545676918960186</v>
      </c>
      <c r="AB25" s="21">
        <f>EXP(-LN(2)/2)*AB24+(1-EXP(-LN(2)/2))/(LN(2)/2)*V25*Y25*VLOOKUP('Données projet'!$B$9,Paramètres!$A$1:$I$89,3,0)*0.475*44/12</f>
        <v>11.139112781095518</v>
      </c>
      <c r="AC25" s="22">
        <f t="shared" si="3"/>
        <v>33.684789700055703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24.793333333333337</v>
      </c>
      <c r="N26" s="13">
        <f>IF('Données projet'!$A$36&gt;35,N25+M26-V25,IF(A26&lt;'Données projet'!$A$36,$K$205^A26,IF(A26='Données projet'!$A$36,'Données projet'!$B$36,N25+M26-V25)))</f>
        <v>249.86000000000007</v>
      </c>
      <c r="O26" s="13">
        <f>N26*VLOOKUP('Données projet'!$B$9,Paramètres!$A$1:$I$89,3,0)*VLOOKUP('Données projet'!$B$9,Paramètres!$A$1:$I$89,5,0)</f>
        <v>149.41628000000006</v>
      </c>
      <c r="P26" s="13">
        <f t="shared" si="33"/>
        <v>38.445903069080757</v>
      </c>
      <c r="Q26" s="20">
        <f t="shared" si="2"/>
        <v>327.19330217864905</v>
      </c>
      <c r="R26" s="59">
        <f t="shared" si="0"/>
        <v>611.97107995642682</v>
      </c>
      <c r="S26" s="59">
        <f ca="1">AVERAGE(OFFSET($R$3,0,0,'Données projet'!$E$9+1,1))-AVERAGE(OFFSET($H$3,0,0,'Données projet'!$E$9+1,1))</f>
        <v>373.78622001879341</v>
      </c>
      <c r="T26" s="59">
        <f t="shared" si="34"/>
        <v>471.13220915651465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21.9291641979856</v>
      </c>
      <c r="AB26" s="21">
        <f>EXP(-LN(2)/2)*AB25+(1-EXP(-LN(2)/2))/(LN(2)/2)*V26*Y26*VLOOKUP('Données projet'!$B$9,Paramètres!$A$1:$I$89,3,0)*0.475*44/12</f>
        <v>7.8765421839143839</v>
      </c>
      <c r="AC26" s="22">
        <f t="shared" si="3"/>
        <v>29.805706381899984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24.793333333333337</v>
      </c>
      <c r="N27" s="13">
        <f>IF('Données projet'!$A$36&gt;35,N26+M27-V26,IF(A27&lt;'Données projet'!$A$36,$K$205^A27,IF(A27='Données projet'!$A$36,'Données projet'!$B$36,N26+M27-V26)))</f>
        <v>274.65333333333342</v>
      </c>
      <c r="O27" s="13">
        <f>N27*VLOOKUP('Données projet'!$B$9,Paramètres!$A$1:$I$89,3,0)*VLOOKUP('Données projet'!$B$9,Paramètres!$A$1:$I$89,5,0)</f>
        <v>164.24269333333339</v>
      </c>
      <c r="P27" s="13">
        <f t="shared" si="33"/>
        <v>41.798004259298146</v>
      </c>
      <c r="Q27" s="20">
        <f t="shared" si="2"/>
        <v>358.85421497383328</v>
      </c>
      <c r="R27" s="59">
        <f t="shared" si="0"/>
        <v>644.85421497383322</v>
      </c>
      <c r="S27" s="59">
        <f ca="1">AVERAGE(OFFSET($R$3,0,0,'Données projet'!$E$9+1,1))-AVERAGE(OFFSET($H$3,0,0,'Données projet'!$E$9+1,1))</f>
        <v>373.78622001879341</v>
      </c>
      <c r="T27" s="59">
        <f t="shared" si="34"/>
        <v>471.13220915651465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21.329510049787057</v>
      </c>
      <c r="AB27" s="21">
        <f>EXP(-LN(2)/2)*AB26+(1-EXP(-LN(2)/2))/(LN(2)/2)*V27*Y27*VLOOKUP('Données projet'!$B$9,Paramètres!$A$1:$I$89,3,0)*0.475*44/12</f>
        <v>5.5695563905477599</v>
      </c>
      <c r="AC27" s="22">
        <f t="shared" si="3"/>
        <v>26.899066440334817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24.793333333333337</v>
      </c>
      <c r="N28" s="13">
        <f>IF('Données projet'!$A$36&gt;35,N27+M28-V27,IF(A28&lt;'Données projet'!$A$36,$K$205^A28,IF(A28='Données projet'!$A$36,'Données projet'!$B$36,N27+M28-V27)))</f>
        <v>299.44666666666677</v>
      </c>
      <c r="O28" s="13">
        <f>N28*VLOOKUP('Données projet'!$B$9,Paramètres!$A$1:$I$89,3,0)*VLOOKUP('Données projet'!$B$9,Paramètres!$A$1:$I$89,5,0)</f>
        <v>179.06910666666673</v>
      </c>
      <c r="P28" s="13">
        <f t="shared" si="33"/>
        <v>45.115017093509643</v>
      </c>
      <c r="Q28" s="20">
        <f t="shared" si="2"/>
        <v>390.45401554897381</v>
      </c>
      <c r="R28" s="59">
        <f t="shared" si="0"/>
        <v>677.67623777119604</v>
      </c>
      <c r="S28" s="59">
        <f ca="1">AVERAGE(OFFSET($R$3,0,0,'Données projet'!$E$9+1,1))-AVERAGE(OFFSET($H$3,0,0,'Données projet'!$E$9+1,1))</f>
        <v>373.78622001879341</v>
      </c>
      <c r="T28" s="59">
        <f t="shared" si="34"/>
        <v>471.13220915651465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20.746253475805446</v>
      </c>
      <c r="AB28" s="21">
        <f>EXP(-LN(2)/2)*AB27+(1-EXP(-LN(2)/2))/(LN(2)/2)*V28*Y28*VLOOKUP('Données projet'!$B$9,Paramètres!$A$1:$I$89,3,0)*0.475*44/12</f>
        <v>3.9382710919571924</v>
      </c>
      <c r="AC28" s="22">
        <f t="shared" si="3"/>
        <v>24.684524567762637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324.24</v>
      </c>
      <c r="L29" s="12">
        <f>VLOOKUP(A29,'Données projet'!$A$35:$I$55,9,0)</f>
        <v>24.793333333333337</v>
      </c>
      <c r="M29" s="12">
        <f t="array" ref="M29">INDEX(L:L,MIN(IF(ISNUMBER(L29:L225),ROW(L29:L225),"")))</f>
        <v>24.793333333333337</v>
      </c>
      <c r="N29" s="13">
        <f>IF('Données projet'!$A$36&gt;35,N28+M29-V28,IF(A29&lt;'Données projet'!$A$36,$K$205^A29,IF(A29='Données projet'!$A$36,'Données projet'!$B$36,N28+M29-V28)))</f>
        <v>324.24000000000012</v>
      </c>
      <c r="O29" s="13">
        <f>N29*VLOOKUP('Données projet'!$B$9,Paramètres!$A$1:$I$89,3,0)*VLOOKUP('Données projet'!$B$9,Paramètres!$A$1:$I$89,5,0)</f>
        <v>193.89552000000012</v>
      </c>
      <c r="P29" s="13">
        <f t="shared" si="33"/>
        <v>48.400177083222594</v>
      </c>
      <c r="Q29" s="20">
        <f t="shared" si="2"/>
        <v>421.99833908661282</v>
      </c>
      <c r="R29" s="59">
        <f t="shared" si="0"/>
        <v>710.44278353105733</v>
      </c>
      <c r="S29" s="59">
        <f ca="1">AVERAGE(OFFSET($R$3,0,0,'Données projet'!$E$9+1,1))-AVERAGE(OFFSET($H$3,0,0,'Données projet'!$E$9+1,1))</f>
        <v>373.78622001879341</v>
      </c>
      <c r="T29" s="59">
        <f t="shared" si="34"/>
        <v>471.13220915651465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61.08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15.26297253045761</v>
      </c>
      <c r="AA29" s="21">
        <f>EXP(-LN(2)/25)*AA28+(1-EXP(-LN(2)/25))/(LN(2)/25)*Calculateur!V29*Calculateur!X29*VLOOKUP('Données projet'!$B$9,Paramètres!$A$1:$I$89,3,0)*0.475*44/12</f>
        <v>23.827636417581104</v>
      </c>
      <c r="AB29" s="21">
        <f>EXP(-LN(2)/2)*AB28+(1-EXP(-LN(2)/2))/(LN(2)/2)*V29*Y29*VLOOKUP('Données projet'!$B$9,Paramètres!$A$1:$I$89,3,0)*0.475*44/12</f>
        <v>8.2437353132553817</v>
      </c>
      <c r="AC29" s="22">
        <f t="shared" si="3"/>
        <v>47.334344261294092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25.211666666666662</v>
      </c>
      <c r="N30" s="13">
        <f>IF('Données projet'!$A$36&gt;35,N29+M30-V29,IF(A30&lt;'Données projet'!$A$36,$K$205^A30,IF(A30='Données projet'!$A$36,'Données projet'!$B$36,N29+M30-V29)))</f>
        <v>288.37166666666678</v>
      </c>
      <c r="O30" s="13">
        <f>N30*VLOOKUP('Données projet'!$B$9,Paramètres!$A$1:$I$89,3,0)*VLOOKUP('Données projet'!$B$9,Paramètres!$A$1:$I$89,5,0)</f>
        <v>172.44625666666676</v>
      </c>
      <c r="P30" s="13">
        <f t="shared" si="33"/>
        <v>43.637447300465276</v>
      </c>
      <c r="Q30" s="20">
        <f t="shared" si="2"/>
        <v>376.34578440942164</v>
      </c>
      <c r="R30" s="59">
        <f t="shared" si="0"/>
        <v>666.01245107608838</v>
      </c>
      <c r="S30" s="59">
        <f ca="1">AVERAGE(OFFSET($R$3,0,0,'Données projet'!$E$9+1,1))-AVERAGE(OFFSET($H$3,0,0,'Données projet'!$E$9+1,1))</f>
        <v>373.78622001879341</v>
      </c>
      <c r="T30" s="59">
        <f t="shared" si="34"/>
        <v>471.13220915651465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14.963674948629343</v>
      </c>
      <c r="AA30" s="21">
        <f>EXP(-LN(2)/25)*AA29+(1-EXP(-LN(2)/25))/(LN(2)/25)*Calculateur!V30*Calculateur!X30*VLOOKUP('Données projet'!$B$9,Paramètres!$A$1:$I$89,3,0)*0.475*44/12</f>
        <v>23.176068446701407</v>
      </c>
      <c r="AB30" s="21">
        <f>EXP(-LN(2)/2)*AB29+(1-EXP(-LN(2)/2))/(LN(2)/2)*V30*Y30*VLOOKUP('Données projet'!$B$9,Paramètres!$A$1:$I$89,3,0)*0.475*44/12</f>
        <v>5.8292011423098886</v>
      </c>
      <c r="AC30" s="22">
        <f t="shared" si="3"/>
        <v>43.968944537640645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25.211666666666662</v>
      </c>
      <c r="N31" s="13">
        <f>IF('Données projet'!$A$36&gt;35,N30+M31-V30,IF(A31&lt;'Données projet'!$A$36,$K$205^A31,IF(A31='Données projet'!$A$36,'Données projet'!$B$36,N30+M31-V30)))</f>
        <v>313.58333333333343</v>
      </c>
      <c r="O31" s="13">
        <f>N31*VLOOKUP('Données projet'!$B$9,Paramètres!$A$1:$I$89,3,0)*VLOOKUP('Données projet'!$B$9,Paramètres!$A$1:$I$89,5,0)</f>
        <v>187.52283333333341</v>
      </c>
      <c r="P31" s="13">
        <f t="shared" si="33"/>
        <v>46.991868875660153</v>
      </c>
      <c r="Q31" s="20">
        <f t="shared" si="2"/>
        <v>408.44643968066379</v>
      </c>
      <c r="R31" s="59">
        <f t="shared" si="0"/>
        <v>699.33532856955264</v>
      </c>
      <c r="S31" s="59">
        <f ca="1">AVERAGE(OFFSET($R$3,0,0,'Données projet'!$E$9+1,1))-AVERAGE(OFFSET($H$3,0,0,'Données projet'!$E$9+1,1))</f>
        <v>373.78622001879341</v>
      </c>
      <c r="T31" s="59">
        <f t="shared" si="34"/>
        <v>471.13220915651465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14.67024640982723</v>
      </c>
      <c r="AA31" s="21">
        <f>EXP(-LN(2)/25)*AA30+(1-EXP(-LN(2)/25))/(LN(2)/25)*Calculateur!V31*Calculateur!X31*VLOOKUP('Données projet'!$B$9,Paramètres!$A$1:$I$89,3,0)*0.475*44/12</f>
        <v>22.542317636249887</v>
      </c>
      <c r="AB31" s="21">
        <f>EXP(-LN(2)/2)*AB30+(1-EXP(-LN(2)/2))/(LN(2)/2)*V31*Y31*VLOOKUP('Données projet'!$B$9,Paramètres!$A$1:$I$89,3,0)*0.475*44/12</f>
        <v>4.1218676566276917</v>
      </c>
      <c r="AC31" s="22">
        <f t="shared" si="3"/>
        <v>41.334431702704812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25.211666666666662</v>
      </c>
      <c r="N32" s="13">
        <f>IF('Données projet'!$A$36&gt;35,N31+M32-V31,IF(A32&lt;'Données projet'!$A$36,$K$205^A32,IF(A32='Données projet'!$A$36,'Données projet'!$B$36,N31+M32-V31)))</f>
        <v>338.79500000000007</v>
      </c>
      <c r="O32" s="13">
        <f>N32*VLOOKUP('Données projet'!$B$9,Paramètres!$A$1:$I$89,3,0)*VLOOKUP('Données projet'!$B$9,Paramètres!$A$1:$I$89,5,0)</f>
        <v>202.59941000000006</v>
      </c>
      <c r="P32" s="13">
        <f t="shared" si="33"/>
        <v>50.315009316805117</v>
      </c>
      <c r="Q32" s="20">
        <f t="shared" si="2"/>
        <v>440.49261364343562</v>
      </c>
      <c r="R32" s="59">
        <f t="shared" si="0"/>
        <v>732.60372475454676</v>
      </c>
      <c r="S32" s="59">
        <f ca="1">AVERAGE(OFFSET($R$3,0,0,'Données projet'!$E$9+1,1))-AVERAGE(OFFSET($H$3,0,0,'Données projet'!$E$9+1,1))</f>
        <v>373.78622001879341</v>
      </c>
      <c r="T32" s="59">
        <f t="shared" si="34"/>
        <v>471.13220915651465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14.382571825697291</v>
      </c>
      <c r="AA32" s="21">
        <f>EXP(-LN(2)/25)*AA31+(1-EXP(-LN(2)/25))/(LN(2)/25)*Calculateur!V32*Calculateur!X32*VLOOKUP('Données projet'!$B$9,Paramètres!$A$1:$I$89,3,0)*0.475*44/12</f>
        <v>21.925896775037671</v>
      </c>
      <c r="AB32" s="21">
        <f>EXP(-LN(2)/2)*AB31+(1-EXP(-LN(2)/2))/(LN(2)/2)*V32*Y32*VLOOKUP('Données projet'!$B$9,Paramètres!$A$1:$I$89,3,0)*0.475*44/12</f>
        <v>2.9146005711549448</v>
      </c>
      <c r="AC32" s="22">
        <f t="shared" si="3"/>
        <v>39.223069171889904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25.211666666666662</v>
      </c>
      <c r="N33" s="13">
        <f>IF('Données projet'!$A$36&gt;35,N32+M33-V32,IF(A33&lt;'Données projet'!$A$36,$K$205^A33,IF(A33='Données projet'!$A$36,'Données projet'!$B$36,N32+M33-V32)))</f>
        <v>364.00666666666672</v>
      </c>
      <c r="O33" s="13">
        <f>N33*VLOOKUP('Données projet'!$B$9,Paramètres!$A$1:$I$89,3,0)*VLOOKUP('Données projet'!$B$9,Paramètres!$A$1:$I$89,5,0)</f>
        <v>217.67598666666672</v>
      </c>
      <c r="P33" s="13">
        <f t="shared" si="33"/>
        <v>53.609461130456239</v>
      </c>
      <c r="Q33" s="20">
        <f t="shared" si="2"/>
        <v>472.48882157998918</v>
      </c>
      <c r="R33" s="59">
        <f t="shared" si="0"/>
        <v>765.82215491332249</v>
      </c>
      <c r="S33" s="59">
        <f ca="1">AVERAGE(OFFSET($R$3,0,0,'Données projet'!$E$9+1,1))-AVERAGE(OFFSET($H$3,0,0,'Données projet'!$E$9+1,1))</f>
        <v>373.78622001879341</v>
      </c>
      <c r="T33" s="59">
        <f t="shared" si="34"/>
        <v>471.13220915651465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14.100538364697968</v>
      </c>
      <c r="AA33" s="21">
        <f>EXP(-LN(2)/25)*AA32+(1-EXP(-LN(2)/25))/(LN(2)/25)*Calculateur!V33*Calculateur!X33*VLOOKUP('Données projet'!$B$9,Paramètres!$A$1:$I$89,3,0)*0.475*44/12</f>
        <v>21.326331974691467</v>
      </c>
      <c r="AB33" s="21">
        <f>EXP(-LN(2)/2)*AB32+(1-EXP(-LN(2)/2))/(LN(2)/2)*V33*Y33*VLOOKUP('Données projet'!$B$9,Paramètres!$A$1:$I$89,3,0)*0.475*44/12</f>
        <v>2.0609338283138463</v>
      </c>
      <c r="AC33" s="22">
        <f t="shared" si="3"/>
        <v>37.487804167703288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25.211666666666662</v>
      </c>
      <c r="N34" s="13">
        <f>IF('Données projet'!$A$36&gt;35,N33+M34-V33,IF(A34&lt;'Données projet'!$A$36,$K$205^A34,IF(A34='Données projet'!$A$36,'Données projet'!$B$36,N33+M34-V33)))</f>
        <v>389.21833333333336</v>
      </c>
      <c r="O34" s="13">
        <f>N34*VLOOKUP('Données projet'!$B$9,Paramètres!$A$1:$I$89,3,0)*VLOOKUP('Données projet'!$B$9,Paramètres!$A$1:$I$89,5,0)</f>
        <v>232.7525633333334</v>
      </c>
      <c r="P34" s="13">
        <f t="shared" si="33"/>
        <v>56.877437367627479</v>
      </c>
      <c r="Q34" s="20">
        <f t="shared" si="2"/>
        <v>504.43891788750688</v>
      </c>
      <c r="R34" s="59">
        <f t="shared" si="0"/>
        <v>797.77225122084019</v>
      </c>
      <c r="S34" s="59">
        <f ca="1">AVERAGE(OFFSET($R$3,0,0,'Données projet'!$E$9+1,1))-AVERAGE(OFFSET($H$3,0,0,'Données projet'!$E$9+1,1))</f>
        <v>373.78622001879341</v>
      </c>
      <c r="T34" s="59">
        <f t="shared" si="34"/>
        <v>471.13220915651465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13.824035407845416</v>
      </c>
      <c r="AA34" s="21">
        <f>EXP(-LN(2)/25)*AA33+(1-EXP(-LN(2)/25))/(LN(2)/25)*Calculateur!V34*Calculateur!X34*VLOOKUP('Données projet'!$B$9,Paramètres!$A$1:$I$89,3,0)*0.475*44/12</f>
        <v>20.743162305340473</v>
      </c>
      <c r="AB34" s="21">
        <f>EXP(-LN(2)/2)*AB33+(1-EXP(-LN(2)/2))/(LN(2)/2)*V34*Y34*VLOOKUP('Données projet'!$B$9,Paramètres!$A$1:$I$89,3,0)*0.475*44/12</f>
        <v>1.4573002855774728</v>
      </c>
      <c r="AC34" s="22">
        <f t="shared" si="3"/>
        <v>36.024497998763366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414.43</v>
      </c>
      <c r="L35" s="12">
        <f>VLOOKUP(A35,'Données projet'!$A$35:$I$55,9,0)</f>
        <v>25.211666666666662</v>
      </c>
      <c r="M35" s="12">
        <f t="array" ref="M35">INDEX(L:L,MIN(IF(ISNUMBER(L35:L231),ROW(L35:L231),"")))</f>
        <v>25.211666666666662</v>
      </c>
      <c r="N35" s="13">
        <f>IF('Données projet'!$A$36&gt;35,N34+M35-V34,IF(A35&lt;'Données projet'!$A$36,$K$205^A35,IF(A35='Données projet'!$A$36,'Données projet'!$B$36,N34+M35-V34)))</f>
        <v>414.43</v>
      </c>
      <c r="O35" s="13">
        <f>N35*VLOOKUP('Données projet'!$B$9,Paramètres!$A$1:$I$89,3,0)*VLOOKUP('Données projet'!$B$9,Paramètres!$A$1:$I$89,5,0)</f>
        <v>247.82914</v>
      </c>
      <c r="P35" s="13">
        <f t="shared" si="33"/>
        <v>60.120848165884553</v>
      </c>
      <c r="Q35" s="20">
        <f t="shared" ref="Q35:Q66" si="53">(O35+P35)*0.475*44/12</f>
        <v>536.3462293889155</v>
      </c>
      <c r="R35" s="59">
        <f t="shared" si="0"/>
        <v>829.67956272224887</v>
      </c>
      <c r="S35" s="59">
        <f ca="1">AVERAGE(OFFSET($R$3,0,0,'Données projet'!$E$9+1,1))-AVERAGE(OFFSET($H$3,0,0,'Données projet'!$E$9+1,1))</f>
        <v>373.78622001879341</v>
      </c>
      <c r="T35" s="59">
        <f t="shared" si="34"/>
        <v>471.13220915651465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83.88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34.513303815326339</v>
      </c>
      <c r="AA35" s="21">
        <f>EXP(-LN(2)/25)*AA34+(1-EXP(-LN(2)/25))/(LN(2)/25)*Calculateur!V35*Calculateur!X35*VLOOKUP('Données projet'!$B$9,Paramètres!$A$1:$I$89,3,0)*0.475*44/12</f>
        <v>25.186616344044733</v>
      </c>
      <c r="AB35" s="21">
        <f>EXP(-LN(2)/2)*AB34+(1-EXP(-LN(2)/2))/(LN(2)/2)*V35*Y35*VLOOKUP('Données projet'!$B$9,Paramètres!$A$1:$I$89,3,0)*0.475*44/12</f>
        <v>8.5271486930745439</v>
      </c>
      <c r="AC35" s="22">
        <f t="shared" si="3"/>
        <v>68.227068852445626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23.472500000000004</v>
      </c>
      <c r="N36" s="13">
        <f>IF('Données projet'!$A$36&gt;35,N35+M36-V35,IF(A36&lt;'Données projet'!$A$36,$K$205^A36,IF(A36='Données projet'!$A$36,'Données projet'!$B$36,N35+M36-V35)))</f>
        <v>354.02250000000004</v>
      </c>
      <c r="O36" s="13">
        <f>N36*VLOOKUP('Données projet'!$B$9,Paramètres!$A$1:$I$89,3,0)*VLOOKUP('Données projet'!$B$9,Paramètres!$A$1:$I$89,5,0)</f>
        <v>211.70545500000003</v>
      </c>
      <c r="P36" s="13">
        <f t="shared" si="33"/>
        <v>52.308094903283298</v>
      </c>
      <c r="Q36" s="20">
        <f t="shared" si="53"/>
        <v>459.82359941488511</v>
      </c>
      <c r="R36" s="59">
        <f t="shared" si="0"/>
        <v>753.15693274821842</v>
      </c>
      <c r="S36" s="59">
        <f ca="1">AVERAGE(OFFSET($R$3,0,0,'Données projet'!$E$9+1,1))-AVERAGE(OFFSET($H$3,0,0,'Données projet'!$E$9+1,1))</f>
        <v>373.78622001879341</v>
      </c>
      <c r="T36" s="59">
        <f t="shared" si="34"/>
        <v>471.13220915651465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33.836518978544497</v>
      </c>
      <c r="AA36" s="21">
        <f>EXP(-LN(2)/25)*AA35+(1-EXP(-LN(2)/25))/(LN(2)/25)*Calculateur!V36*Calculateur!X36*VLOOKUP('Données projet'!$B$9,Paramètres!$A$1:$I$89,3,0)*0.475*44/12</f>
        <v>24.497886995610241</v>
      </c>
      <c r="AB36" s="21">
        <f>EXP(-LN(2)/2)*AB35+(1-EXP(-LN(2)/2))/(LN(2)/2)*V36*Y36*VLOOKUP('Données projet'!$B$9,Paramètres!$A$1:$I$89,3,0)*0.475*44/12</f>
        <v>6.0296046650590167</v>
      </c>
      <c r="AC36" s="22">
        <f t="shared" si="3"/>
        <v>64.364010639213745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23.472500000000004</v>
      </c>
      <c r="N37" s="13">
        <f>IF('Données projet'!$A$36&gt;35,N36+M37-V36,IF(A37&lt;'Données projet'!$A$36,$K$205^A37,IF(A37='Données projet'!$A$36,'Données projet'!$B$36,N36+M37-V36)))</f>
        <v>377.49500000000006</v>
      </c>
      <c r="O37" s="13">
        <f>N37*VLOOKUP('Données projet'!$B$9,Paramètres!$A$1:$I$89,3,0)*VLOOKUP('Données projet'!$B$9,Paramètres!$A$1:$I$89,5,0)</f>
        <v>225.74201000000005</v>
      </c>
      <c r="P37" s="13">
        <f t="shared" si="33"/>
        <v>55.361005649976953</v>
      </c>
      <c r="Q37" s="20">
        <f t="shared" si="53"/>
        <v>489.58775225704329</v>
      </c>
      <c r="R37" s="59">
        <f t="shared" si="0"/>
        <v>782.92108559037661</v>
      </c>
      <c r="S37" s="59">
        <f ca="1">AVERAGE(OFFSET($R$3,0,0,'Données projet'!$E$9+1,1))-AVERAGE(OFFSET($H$3,0,0,'Données projet'!$E$9+1,1))</f>
        <v>373.78622001879341</v>
      </c>
      <c r="T37" s="59">
        <f t="shared" si="34"/>
        <v>471.13220915651465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33.173005479613963</v>
      </c>
      <c r="AA37" s="21">
        <f>EXP(-LN(2)/25)*AA36+(1-EXP(-LN(2)/25))/(LN(2)/25)*Calculateur!V37*Calculateur!X37*VLOOKUP('Données projet'!$B$9,Paramètres!$A$1:$I$89,3,0)*0.475*44/12</f>
        <v>23.827990987427391</v>
      </c>
      <c r="AB37" s="21">
        <f>EXP(-LN(2)/2)*AB36+(1-EXP(-LN(2)/2))/(LN(2)/2)*V37*Y37*VLOOKUP('Données projet'!$B$9,Paramètres!$A$1:$I$89,3,0)*0.475*44/12</f>
        <v>4.2635743465372729</v>
      </c>
      <c r="AC37" s="22">
        <f t="shared" si="3"/>
        <v>61.264570813578629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23.472500000000004</v>
      </c>
      <c r="N38" s="13">
        <f>IF('Données projet'!$A$36&gt;35,N37+M38-V37,IF(A38&lt;'Données projet'!$A$36,$K$205^A38,IF(A38='Données projet'!$A$36,'Données projet'!$B$36,N37+M38-V37)))</f>
        <v>400.96750000000009</v>
      </c>
      <c r="O38" s="13">
        <f>N38*VLOOKUP('Données projet'!$B$9,Paramètres!$A$1:$I$89,3,0)*VLOOKUP('Données projet'!$B$9,Paramètres!$A$1:$I$89,5,0)</f>
        <v>239.77856500000004</v>
      </c>
      <c r="P38" s="13">
        <f t="shared" si="33"/>
        <v>58.391885104065558</v>
      </c>
      <c r="Q38" s="20">
        <f t="shared" si="53"/>
        <v>519.31353393124755</v>
      </c>
      <c r="R38" s="59">
        <f t="shared" si="0"/>
        <v>812.64686726458081</v>
      </c>
      <c r="S38" s="59">
        <f ca="1">AVERAGE(OFFSET($R$3,0,0,'Données projet'!$E$9+1,1))-AVERAGE(OFFSET($H$3,0,0,'Données projet'!$E$9+1,1))</f>
        <v>373.78622001879341</v>
      </c>
      <c r="T38" s="59">
        <f t="shared" si="34"/>
        <v>471.13220915651465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32.522503075694182</v>
      </c>
      <c r="AA38" s="21">
        <f>EXP(-LN(2)/25)*AA37+(1-EXP(-LN(2)/25))/(LN(2)/25)*Calculateur!V38*Calculateur!X38*VLOOKUP('Données projet'!$B$9,Paramètres!$A$1:$I$89,3,0)*0.475*44/12</f>
        <v>23.176413320816604</v>
      </c>
      <c r="AB38" s="21">
        <f>EXP(-LN(2)/2)*AB37+(1-EXP(-LN(2)/2))/(LN(2)/2)*V38*Y38*VLOOKUP('Données projet'!$B$9,Paramètres!$A$1:$I$89,3,0)*0.475*44/12</f>
        <v>3.0148023325295088</v>
      </c>
      <c r="AC38" s="22">
        <f t="shared" si="3"/>
        <v>58.713718729040288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23.472500000000004</v>
      </c>
      <c r="N39" s="13">
        <f>IF('Données projet'!$A$36&gt;35,N38+M39-V38,IF(A39&lt;'Données projet'!$A$36,$K$205^A39,IF(A39='Données projet'!$A$36,'Données projet'!$B$36,N38+M39-V38)))</f>
        <v>424.44000000000011</v>
      </c>
      <c r="O39" s="13">
        <f>N39*VLOOKUP('Données projet'!$B$9,Paramètres!$A$1:$I$89,3,0)*VLOOKUP('Données projet'!$B$9,Paramètres!$A$1:$I$89,5,0)</f>
        <v>253.81512000000009</v>
      </c>
      <c r="P39" s="13">
        <f t="shared" si="33"/>
        <v>61.402169885153285</v>
      </c>
      <c r="Q39" s="20">
        <f t="shared" si="53"/>
        <v>549.00344654997537</v>
      </c>
      <c r="R39" s="59">
        <f t="shared" si="0"/>
        <v>842.33677988330874</v>
      </c>
      <c r="S39" s="59">
        <f ca="1">AVERAGE(OFFSET($R$3,0,0,'Données projet'!$E$9+1,1))-AVERAGE(OFFSET($H$3,0,0,'Données projet'!$E$9+1,1))</f>
        <v>373.78622001879341</v>
      </c>
      <c r="T39" s="59">
        <f t="shared" si="34"/>
        <v>471.13220915651465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31.884756627147976</v>
      </c>
      <c r="AA39" s="21">
        <f>EXP(-LN(2)/25)*AA38+(1-EXP(-LN(2)/25))/(LN(2)/25)*Calculateur!V39*Calculateur!X39*VLOOKUP('Données projet'!$B$9,Paramètres!$A$1:$I$89,3,0)*0.475*44/12</f>
        <v>22.542653079764268</v>
      </c>
      <c r="AB39" s="21">
        <f>EXP(-LN(2)/2)*AB38+(1-EXP(-LN(2)/2))/(LN(2)/2)*V39*Y39*VLOOKUP('Données projet'!$B$9,Paramètres!$A$1:$I$89,3,0)*0.475*44/12</f>
        <v>2.1317871732686364</v>
      </c>
      <c r="AC39" s="22">
        <f t="shared" si="3"/>
        <v>56.559196880180878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23.472500000000004</v>
      </c>
      <c r="N40" s="13">
        <f>IF('Données projet'!$A$36&gt;35,N39+M40-V39,IF(A40&lt;'Données projet'!$A$36,$K$205^A40,IF(A40='Données projet'!$A$36,'Données projet'!$B$36,N39+M40-V39)))</f>
        <v>447.91250000000014</v>
      </c>
      <c r="O40" s="13">
        <f>N40*VLOOKUP('Données projet'!$B$9,Paramètres!$A$1:$I$89,3,0)*VLOOKUP('Données projet'!$B$9,Paramètres!$A$1:$I$89,5,0)</f>
        <v>267.85167500000011</v>
      </c>
      <c r="P40" s="13">
        <f t="shared" si="33"/>
        <v>64.393128741902459</v>
      </c>
      <c r="Q40" s="20">
        <f t="shared" si="53"/>
        <v>578.65969985048025</v>
      </c>
      <c r="R40" s="59">
        <f t="shared" si="0"/>
        <v>871.99303318381362</v>
      </c>
      <c r="S40" s="59">
        <f ca="1">AVERAGE(OFFSET($R$3,0,0,'Données projet'!$E$9+1,1))-AVERAGE(OFFSET($H$3,0,0,'Données projet'!$E$9+1,1))</f>
        <v>373.78622001879341</v>
      </c>
      <c r="T40" s="59">
        <f t="shared" si="34"/>
        <v>471.13220915651465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31.259515997470839</v>
      </c>
      <c r="AA40" s="21">
        <f>EXP(-LN(2)/25)*AA39+(1-EXP(-LN(2)/25))/(LN(2)/25)*Calculateur!V40*Calculateur!X40*VLOOKUP('Données projet'!$B$9,Paramètres!$A$1:$I$89,3,0)*0.475*44/12</f>
        <v>21.926223045831509</v>
      </c>
      <c r="AB40" s="21">
        <f>EXP(-LN(2)/2)*AB39+(1-EXP(-LN(2)/2))/(LN(2)/2)*V40*Y40*VLOOKUP('Données projet'!$B$9,Paramètres!$A$1:$I$89,3,0)*0.475*44/12</f>
        <v>1.5074011662647544</v>
      </c>
      <c r="AC40" s="22">
        <f t="shared" si="3"/>
        <v>54.693140209567105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23.472500000000004</v>
      </c>
      <c r="N41" s="13">
        <f>IF('Données projet'!$A$36&gt;35,N40+M41-V40,IF(A41&lt;'Données projet'!$A$36,$K$205^A41,IF(A41='Données projet'!$A$36,'Données projet'!$B$36,N40+M41-V40)))</f>
        <v>471.38500000000016</v>
      </c>
      <c r="O41" s="13">
        <f>N41*VLOOKUP('Données projet'!$B$9,Paramètres!$A$1:$I$89,3,0)*VLOOKUP('Données projet'!$B$9,Paramètres!$A$1:$I$89,5,0)</f>
        <v>281.88823000000014</v>
      </c>
      <c r="P41" s="13">
        <f t="shared" si="33"/>
        <v>67.365889936945948</v>
      </c>
      <c r="Q41" s="20">
        <f t="shared" si="53"/>
        <v>608.28425889018115</v>
      </c>
      <c r="R41" s="59">
        <f t="shared" si="0"/>
        <v>901.61759222351452</v>
      </c>
      <c r="S41" s="59">
        <f ca="1">AVERAGE(OFFSET($R$3,0,0,'Données projet'!$E$9+1,1))-AVERAGE(OFFSET($H$3,0,0,'Données projet'!$E$9+1,1))</f>
        <v>373.78622001879341</v>
      </c>
      <c r="T41" s="59">
        <f t="shared" si="34"/>
        <v>471.13220915651465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30.646535955182543</v>
      </c>
      <c r="AA41" s="21">
        <f>EXP(-LN(2)/25)*AA40+(1-EXP(-LN(2)/25))/(LN(2)/25)*Calculateur!V41*Calculateur!X41*VLOOKUP('Données projet'!$B$9,Paramètres!$A$1:$I$89,3,0)*0.475*44/12</f>
        <v>21.326649323593291</v>
      </c>
      <c r="AB41" s="21">
        <f>EXP(-LN(2)/2)*AB40+(1-EXP(-LN(2)/2))/(LN(2)/2)*V41*Y41*VLOOKUP('Données projet'!$B$9,Paramètres!$A$1:$I$89,3,0)*0.475*44/12</f>
        <v>1.0658935866343182</v>
      </c>
      <c r="AC41" s="22">
        <f t="shared" si="3"/>
        <v>53.039078865410147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23.472500000000004</v>
      </c>
      <c r="N42" s="13">
        <f>IF('Données projet'!$A$36&gt;35,N41+M42-V41,IF(A42&lt;'Données projet'!$A$36,$K$205^A42,IF(A42='Données projet'!$A$36,'Données projet'!$B$36,N41+M42-V41)))</f>
        <v>494.85750000000019</v>
      </c>
      <c r="O42" s="13">
        <f>N42*VLOOKUP('Données projet'!$B$9,Paramètres!$A$1:$I$89,3,0)*VLOOKUP('Données projet'!$B$9,Paramètres!$A$1:$I$89,5,0)</f>
        <v>295.92478500000016</v>
      </c>
      <c r="P42" s="13">
        <f t="shared" si="33"/>
        <v>70.321463022335038</v>
      </c>
      <c r="Q42" s="20">
        <f t="shared" si="53"/>
        <v>637.87888197223367</v>
      </c>
      <c r="R42" s="59">
        <f t="shared" si="0"/>
        <v>931.21221530556704</v>
      </c>
      <c r="S42" s="59">
        <f ca="1">AVERAGE(OFFSET($R$3,0,0,'Données projet'!$E$9+1,1))-AVERAGE(OFFSET($H$3,0,0,'Données projet'!$E$9+1,1))</f>
        <v>373.78622001879341</v>
      </c>
      <c r="T42" s="59">
        <f t="shared" si="34"/>
        <v>471.13220915651465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30.045576077642611</v>
      </c>
      <c r="AA42" s="21">
        <f>EXP(-LN(2)/25)*AA41+(1-EXP(-LN(2)/25))/(LN(2)/25)*Calculateur!V42*Calculateur!X42*VLOOKUP('Données projet'!$B$9,Paramètres!$A$1:$I$89,3,0)*0.475*44/12</f>
        <v>20.743470976319887</v>
      </c>
      <c r="AB42" s="21">
        <f>EXP(-LN(2)/2)*AB41+(1-EXP(-LN(2)/2))/(LN(2)/2)*V42*Y42*VLOOKUP('Données projet'!$B$9,Paramètres!$A$1:$I$89,3,0)*0.475*44/12</f>
        <v>0.7537005831323772</v>
      </c>
      <c r="AC42" s="22">
        <f t="shared" si="3"/>
        <v>51.542747637094877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518.33000000000004</v>
      </c>
      <c r="L43" s="12">
        <f>VLOOKUP(A43,'Données projet'!$A$35:$I$55,9,0)</f>
        <v>23.472500000000004</v>
      </c>
      <c r="M43" s="12">
        <f t="array" ref="M43">INDEX(L:L,MIN(IF(ISNUMBER(L43:L239),ROW(L43:L239),"")))</f>
        <v>23.472500000000004</v>
      </c>
      <c r="N43" s="13">
        <f>IF('Données projet'!$A$36&gt;35,N42+M43-V42,IF(A43&lt;'Données projet'!$A$36,$K$205^A43,IF(A43='Données projet'!$A$36,'Données projet'!$B$36,N42+M43-V42)))</f>
        <v>518.33000000000015</v>
      </c>
      <c r="O43" s="13">
        <f>N43*VLOOKUP('Données projet'!$B$9,Paramètres!$A$1:$I$89,3,0)*VLOOKUP('Données projet'!$B$9,Paramètres!$A$1:$I$89,5,0)</f>
        <v>309.96134000000012</v>
      </c>
      <c r="P43" s="13">
        <f t="shared" si="33"/>
        <v>73.260756366467575</v>
      </c>
      <c r="Q43" s="20">
        <f t="shared" si="53"/>
        <v>667.44515117159779</v>
      </c>
      <c r="R43" s="59">
        <f t="shared" si="0"/>
        <v>960.77848450493116</v>
      </c>
      <c r="S43" s="59">
        <f ca="1">AVERAGE(OFFSET($R$3,0,0,'Données projet'!$E$9+1,1))-AVERAGE(OFFSET($H$3,0,0,'Données projet'!$E$9+1,1))</f>
        <v>373.78622001879341</v>
      </c>
      <c r="T43" s="59">
        <f t="shared" si="34"/>
        <v>471.13220915651465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120.46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59.557541308666174</v>
      </c>
      <c r="AA43" s="21">
        <f>EXP(-LN(2)/25)*AA42+(1-EXP(-LN(2)/25))/(LN(2)/25)*Calculateur!V43*Calculateur!X43*VLOOKUP('Données projet'!$B$9,Paramètres!$A$1:$I$89,3,0)*0.475*44/12</f>
        <v>27.372068709636828</v>
      </c>
      <c r="AB43" s="21">
        <f>EXP(-LN(2)/2)*AB42+(1-EXP(-LN(2)/2))/(LN(2)/2)*V43*Y43*VLOOKUP('Données projet'!$B$9,Paramètres!$A$1:$I$89,3,0)*0.475*44/12</f>
        <v>11.298925418596324</v>
      </c>
      <c r="AC43" s="22">
        <f t="shared" si="3"/>
        <v>98.228535436899335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19.774999999999999</v>
      </c>
      <c r="N44" s="13">
        <f>IF('Données projet'!$A$36&gt;35,N43+M44-V43,IF(A44&lt;'Données projet'!$A$36,$K$205^A44,IF(A44='Données projet'!$A$36,'Données projet'!$B$36,N43+M44-V43)))</f>
        <v>417.64500000000015</v>
      </c>
      <c r="O44" s="13">
        <f>N44*VLOOKUP('Données projet'!$B$9,Paramètres!$A$1:$I$89,3,0)*VLOOKUP('Données projet'!$B$9,Paramètres!$A$1:$I$89,5,0)</f>
        <v>249.75171000000009</v>
      </c>
      <c r="P44" s="13">
        <f t="shared" si="33"/>
        <v>60.53277021144762</v>
      </c>
      <c r="Q44" s="20">
        <f t="shared" si="53"/>
        <v>540.41213636827149</v>
      </c>
      <c r="R44" s="59">
        <f t="shared" si="0"/>
        <v>833.74546970160486</v>
      </c>
      <c r="S44" s="59">
        <f ca="1">AVERAGE(OFFSET($R$3,0,0,'Données projet'!$E$9+1,1))-AVERAGE(OFFSET($H$3,0,0,'Données projet'!$E$9+1,1))</f>
        <v>373.78622001879341</v>
      </c>
      <c r="T44" s="59">
        <f t="shared" si="34"/>
        <v>471.13220915651465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58.389654250116486</v>
      </c>
      <c r="AA44" s="21">
        <f>EXP(-LN(2)/25)*AA43+(1-EXP(-LN(2)/25))/(LN(2)/25)*Calculateur!V44*Calculateur!X44*VLOOKUP('Données projet'!$B$9,Paramètres!$A$1:$I$89,3,0)*0.475*44/12</f>
        <v>26.623578051337276</v>
      </c>
      <c r="AB44" s="21">
        <f>EXP(-LN(2)/2)*AB43+(1-EXP(-LN(2)/2))/(LN(2)/2)*V44*Y44*VLOOKUP('Données projet'!$B$9,Paramètres!$A$1:$I$89,3,0)*0.475*44/12</f>
        <v>7.9895467836105114</v>
      </c>
      <c r="AC44" s="22">
        <f t="shared" si="3"/>
        <v>93.002779085064276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19.774999999999999</v>
      </c>
      <c r="N45" s="13">
        <f>IF('Données projet'!$A$36&gt;35,N44+M45-V44,IF(A45&lt;'Données projet'!$A$36,$K$205^A45,IF(A45='Données projet'!$A$36,'Données projet'!$B$36,N44+M45-V44)))</f>
        <v>437.42000000000013</v>
      </c>
      <c r="O45" s="13">
        <f>N45*VLOOKUP('Données projet'!$B$9,Paramètres!$A$1:$I$89,3,0)*VLOOKUP('Données projet'!$B$9,Paramètres!$A$1:$I$89,5,0)</f>
        <v>261.57716000000011</v>
      </c>
      <c r="P45" s="13">
        <f t="shared" si="33"/>
        <v>63.058446312964961</v>
      </c>
      <c r="Q45" s="20">
        <f t="shared" si="53"/>
        <v>565.40701432841411</v>
      </c>
      <c r="R45" s="59">
        <f t="shared" si="0"/>
        <v>858.74034766174736</v>
      </c>
      <c r="S45" s="59">
        <f ca="1">AVERAGE(OFFSET($R$3,0,0,'Données projet'!$E$9+1,1))-AVERAGE(OFFSET($H$3,0,0,'Données projet'!$E$9+1,1))</f>
        <v>373.78622001879341</v>
      </c>
      <c r="T45" s="59">
        <f t="shared" si="34"/>
        <v>471.13220915651465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57.244668744444184</v>
      </c>
      <c r="AA45" s="21">
        <f>EXP(-LN(2)/25)*AA44+(1-EXP(-LN(2)/25))/(LN(2)/25)*Calculateur!V45*Calculateur!X45*VLOOKUP('Données projet'!$B$9,Paramètres!$A$1:$I$89,3,0)*0.475*44/12</f>
        <v>25.895554909450336</v>
      </c>
      <c r="AB45" s="21">
        <f>EXP(-LN(2)/2)*AB44+(1-EXP(-LN(2)/2))/(LN(2)/2)*V45*Y45*VLOOKUP('Données projet'!$B$9,Paramètres!$A$1:$I$89,3,0)*0.475*44/12</f>
        <v>5.6494627092981631</v>
      </c>
      <c r="AC45" s="22">
        <f t="shared" si="3"/>
        <v>88.789686363192686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19.774999999999999</v>
      </c>
      <c r="N46" s="13">
        <f>IF('Données projet'!$A$36&gt;35,N45+M46-V45,IF(A46&lt;'Données projet'!$A$36,$K$205^A46,IF(A46='Données projet'!$A$36,'Données projet'!$B$36,N45+M46-V45)))</f>
        <v>457.19500000000011</v>
      </c>
      <c r="O46" s="13">
        <f>N46*VLOOKUP('Données projet'!$B$9,Paramètres!$A$1:$I$89,3,0)*VLOOKUP('Données projet'!$B$9,Paramètres!$A$1:$I$89,5,0)</f>
        <v>273.4026100000001</v>
      </c>
      <c r="P46" s="13">
        <f t="shared" si="33"/>
        <v>65.57086183359975</v>
      </c>
      <c r="Q46" s="20">
        <f t="shared" si="53"/>
        <v>590.37879677685305</v>
      </c>
      <c r="R46" s="59">
        <f t="shared" si="0"/>
        <v>883.71213011018631</v>
      </c>
      <c r="S46" s="59">
        <f ca="1">AVERAGE(OFFSET($R$3,0,0,'Données projet'!$E$9+1,1))-AVERAGE(OFFSET($H$3,0,0,'Données projet'!$E$9+1,1))</f>
        <v>373.78622001879341</v>
      </c>
      <c r="T46" s="59">
        <f t="shared" si="34"/>
        <v>471.13220915651465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56.122135706165921</v>
      </c>
      <c r="AA46" s="21">
        <f>EXP(-LN(2)/25)*AA45+(1-EXP(-LN(2)/25))/(LN(2)/25)*Calculateur!V46*Calculateur!X46*VLOOKUP('Données projet'!$B$9,Paramètres!$A$1:$I$89,3,0)*0.475*44/12</f>
        <v>25.187439598663371</v>
      </c>
      <c r="AB46" s="21">
        <f>EXP(-LN(2)/2)*AB45+(1-EXP(-LN(2)/2))/(LN(2)/2)*V46*Y46*VLOOKUP('Données projet'!$B$9,Paramètres!$A$1:$I$89,3,0)*0.475*44/12</f>
        <v>3.9947733918052566</v>
      </c>
      <c r="AC46" s="22">
        <f t="shared" si="3"/>
        <v>85.304348696634548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19.774999999999999</v>
      </c>
      <c r="N47" s="13">
        <f>IF('Données projet'!$A$36&gt;35,N46+M47-V46,IF(A47&lt;'Données projet'!$A$36,$K$205^A47,IF(A47='Données projet'!$A$36,'Données projet'!$B$36,N46+M47-V46)))</f>
        <v>476.97000000000008</v>
      </c>
      <c r="O47" s="13">
        <f>N47*VLOOKUP('Données projet'!$B$9,Paramètres!$A$1:$I$89,3,0)*VLOOKUP('Données projet'!$B$9,Paramètres!$A$1:$I$89,5,0)</f>
        <v>285.22806000000008</v>
      </c>
      <c r="P47" s="13">
        <f t="shared" si="33"/>
        <v>68.070655891411121</v>
      </c>
      <c r="Q47" s="20">
        <f t="shared" si="53"/>
        <v>615.32859684420794</v>
      </c>
      <c r="R47" s="59">
        <f t="shared" si="0"/>
        <v>908.66193017754131</v>
      </c>
      <c r="S47" s="59">
        <f ca="1">AVERAGE(OFFSET($R$3,0,0,'Données projet'!$E$9+1,1))-AVERAGE(OFFSET($H$3,0,0,'Données projet'!$E$9+1,1))</f>
        <v>373.78622001879341</v>
      </c>
      <c r="T47" s="59">
        <f t="shared" si="34"/>
        <v>471.13220915651465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55.021614856090743</v>
      </c>
      <c r="AA47" s="21">
        <f>EXP(-LN(2)/25)*AA46+(1-EXP(-LN(2)/25))/(LN(2)/25)*Calculateur!V47*Calculateur!X47*VLOOKUP('Données projet'!$B$9,Paramètres!$A$1:$I$89,3,0)*0.475*44/12</f>
        <v>24.498687738288041</v>
      </c>
      <c r="AB47" s="21">
        <f>EXP(-LN(2)/2)*AB46+(1-EXP(-LN(2)/2))/(LN(2)/2)*V47*Y47*VLOOKUP('Données projet'!$B$9,Paramètres!$A$1:$I$89,3,0)*0.475*44/12</f>
        <v>2.824731354649082</v>
      </c>
      <c r="AC47" s="22">
        <f t="shared" si="3"/>
        <v>82.345033949027879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19.774999999999999</v>
      </c>
      <c r="N48" s="13">
        <f>IF('Données projet'!$A$36&gt;35,N47+M48-V47,IF(A48&lt;'Données projet'!$A$36,$K$205^A48,IF(A48='Données projet'!$A$36,'Données projet'!$B$36,N47+M48-V47)))</f>
        <v>496.74500000000006</v>
      </c>
      <c r="O48" s="13">
        <f>N48*VLOOKUP('Données projet'!$B$9,Paramètres!$A$1:$I$89,3,0)*VLOOKUP('Données projet'!$B$9,Paramètres!$A$1:$I$89,5,0)</f>
        <v>297.05351000000007</v>
      </c>
      <c r="P48" s="13">
        <f t="shared" si="33"/>
        <v>70.558411610838135</v>
      </c>
      <c r="Q48" s="20">
        <f t="shared" si="53"/>
        <v>640.25743013887643</v>
      </c>
      <c r="R48" s="59">
        <f t="shared" si="0"/>
        <v>933.5907634722098</v>
      </c>
      <c r="S48" s="59">
        <f ca="1">AVERAGE(OFFSET($R$3,0,0,'Données projet'!$E$9+1,1))-AVERAGE(OFFSET($H$3,0,0,'Données projet'!$E$9+1,1))</f>
        <v>373.78622001879341</v>
      </c>
      <c r="T48" s="59">
        <f t="shared" si="34"/>
        <v>471.13220915651465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53.942674548634102</v>
      </c>
      <c r="AA48" s="21">
        <f>EXP(-LN(2)/25)*AA47+(1-EXP(-LN(2)/25))/(LN(2)/25)*Calculateur!V48*Calculateur!X48*VLOOKUP('Données projet'!$B$9,Paramètres!$A$1:$I$89,3,0)*0.475*44/12</f>
        <v>23.82876983375456</v>
      </c>
      <c r="AB48" s="21">
        <f>EXP(-LN(2)/2)*AB47+(1-EXP(-LN(2)/2))/(LN(2)/2)*V48*Y48*VLOOKUP('Données projet'!$B$9,Paramètres!$A$1:$I$89,3,0)*0.475*44/12</f>
        <v>1.9973866959026285</v>
      </c>
      <c r="AC48" s="22">
        <f t="shared" si="3"/>
        <v>79.768831078291299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19.774999999999999</v>
      </c>
      <c r="N49" s="13">
        <f>IF('Données projet'!$A$36&gt;35,N48+M49-V48,IF(A49&lt;'Données projet'!$A$36,$K$205^A49,IF(A49='Données projet'!$A$36,'Données projet'!$B$36,N48+M49-V48)))</f>
        <v>516.5200000000001</v>
      </c>
      <c r="O49" s="13">
        <f>N49*VLOOKUP('Données projet'!$B$9,Paramètres!$A$1:$I$89,3,0)*VLOOKUP('Données projet'!$B$9,Paramètres!$A$1:$I$89,5,0)</f>
        <v>308.87896000000006</v>
      </c>
      <c r="P49" s="13">
        <f t="shared" si="33"/>
        <v>73.034663060841439</v>
      </c>
      <c r="Q49" s="20">
        <f t="shared" si="53"/>
        <v>665.16622683096546</v>
      </c>
      <c r="R49" s="59">
        <f t="shared" si="0"/>
        <v>958.49956016429883</v>
      </c>
      <c r="S49" s="59">
        <f ca="1">AVERAGE(OFFSET($R$3,0,0,'Données projet'!$E$9+1,1))-AVERAGE(OFFSET($H$3,0,0,'Données projet'!$E$9+1,1))</f>
        <v>373.78622001879341</v>
      </c>
      <c r="T49" s="59">
        <f t="shared" si="34"/>
        <v>471.13220915651465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52.884891602518081</v>
      </c>
      <c r="AA49" s="21">
        <f>EXP(-LN(2)/25)*AA48+(1-EXP(-LN(2)/25))/(LN(2)/25)*Calculateur!V49*Calculateur!X49*VLOOKUP('Données projet'!$B$9,Paramètres!$A$1:$I$89,3,0)*0.475*44/12</f>
        <v>23.177170869549997</v>
      </c>
      <c r="AB49" s="21">
        <f>EXP(-LN(2)/2)*AB48+(1-EXP(-LN(2)/2))/(LN(2)/2)*V49*Y49*VLOOKUP('Données projet'!$B$9,Paramètres!$A$1:$I$89,3,0)*0.475*44/12</f>
        <v>1.4123656773245412</v>
      </c>
      <c r="AC49" s="22">
        <f t="shared" si="3"/>
        <v>77.474428149392622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19.774999999999999</v>
      </c>
      <c r="N50" s="13">
        <f>IF('Données projet'!$A$36&gt;35,N49+M50-V49,IF(A50&lt;'Données projet'!$A$36,$K$205^A50,IF(A50='Données projet'!$A$36,'Données projet'!$B$36,N49+M50-V49)))</f>
        <v>536.29500000000007</v>
      </c>
      <c r="O50" s="13">
        <f>N50*VLOOKUP('Données projet'!$B$9,Paramètres!$A$1:$I$89,3,0)*VLOOKUP('Données projet'!$B$9,Paramètres!$A$1:$I$89,5,0)</f>
        <v>320.70441000000005</v>
      </c>
      <c r="P50" s="13">
        <f t="shared" si="33"/>
        <v>75.499901100653403</v>
      </c>
      <c r="Q50" s="20">
        <f t="shared" si="53"/>
        <v>690.05584183363806</v>
      </c>
      <c r="R50" s="59">
        <f t="shared" si="0"/>
        <v>983.38917516697143</v>
      </c>
      <c r="S50" s="59">
        <f ca="1">AVERAGE(OFFSET($R$3,0,0,'Données projet'!$E$9+1,1))-AVERAGE(OFFSET($H$3,0,0,'Données projet'!$E$9+1,1))</f>
        <v>373.78622001879341</v>
      </c>
      <c r="T50" s="59">
        <f t="shared" si="34"/>
        <v>471.13220915651465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51.847851134791505</v>
      </c>
      <c r="AA50" s="21">
        <f>EXP(-LN(2)/25)*AA49+(1-EXP(-LN(2)/25))/(LN(2)/25)*Calculateur!V50*Calculateur!X50*VLOOKUP('Données projet'!$B$9,Paramètres!$A$1:$I$89,3,0)*0.475*44/12</f>
        <v>22.543389913287708</v>
      </c>
      <c r="AB50" s="21">
        <f>EXP(-LN(2)/2)*AB49+(1-EXP(-LN(2)/2))/(LN(2)/2)*V50*Y50*VLOOKUP('Données projet'!$B$9,Paramètres!$A$1:$I$89,3,0)*0.475*44/12</f>
        <v>0.99869334795131437</v>
      </c>
      <c r="AC50" s="22">
        <f t="shared" si="3"/>
        <v>75.389934396030526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556.07000000000005</v>
      </c>
      <c r="L51" s="12">
        <f>VLOOKUP(A51,'Données projet'!$A$35:$I$55,9,0)</f>
        <v>19.774999999999999</v>
      </c>
      <c r="M51" s="12">
        <f t="array" ref="M51">INDEX(L:L,MIN(IF(ISNUMBER(L51:L247),ROW(L51:L247),"")))</f>
        <v>19.774999999999999</v>
      </c>
      <c r="N51" s="13">
        <f>IF('Données projet'!$A$36&gt;35,N50+M51-V50,IF(A51&lt;'Données projet'!$A$36,$K$205^A51,IF(A51='Données projet'!$A$36,'Données projet'!$B$36,N50+M51-V50)))</f>
        <v>556.07000000000005</v>
      </c>
      <c r="O51" s="13">
        <f>N51*VLOOKUP('Données projet'!$B$9,Paramètres!$A$1:$I$89,3,0)*VLOOKUP('Données projet'!$B$9,Paramètres!$A$1:$I$89,5,0)</f>
        <v>332.52986000000004</v>
      </c>
      <c r="P51" s="13">
        <f t="shared" si="33"/>
        <v>77.954578339080953</v>
      </c>
      <c r="Q51" s="20">
        <f t="shared" si="53"/>
        <v>714.92706344056614</v>
      </c>
      <c r="R51" s="59">
        <f t="shared" si="0"/>
        <v>1008.2603967738994</v>
      </c>
      <c r="S51" s="59">
        <f ca="1">AVERAGE(OFFSET($R$3,0,0,'Données projet'!$E$9+1,1))-AVERAGE(OFFSET($H$3,0,0,'Données projet'!$E$9+1,1))</f>
        <v>373.78622001879341</v>
      </c>
      <c r="T51" s="59">
        <f t="shared" si="34"/>
        <v>471.13220915651465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109.16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78.108587154895133</v>
      </c>
      <c r="AA51" s="21">
        <f>EXP(-LN(2)/25)*AA50+(1-EXP(-LN(2)/25))/(LN(2)/25)*Calculateur!V51*Calculateur!X51*VLOOKUP('Données projet'!$B$9,Paramètres!$A$1:$I$89,3,0)*0.475*44/12</f>
        <v>28.447749109566161</v>
      </c>
      <c r="AB51" s="21">
        <f>EXP(-LN(2)/2)*AB50+(1-EXP(-LN(2)/2))/(LN(2)/2)*V51*Y51*VLOOKUP('Données projet'!$B$9,Paramètres!$A$1:$I$89,3,0)*0.475*44/12</f>
        <v>10.462236522337133</v>
      </c>
      <c r="AC51" s="22">
        <f t="shared" si="3"/>
        <v>117.01857278679843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16.688749999999985</v>
      </c>
      <c r="N52" s="13">
        <f>IF('Données projet'!$A$36&gt;35,N51+M52-V51,IF(A52&lt;'Données projet'!$A$36,$K$205^A52,IF(A52='Données projet'!$A$36,'Données projet'!$B$36,N51+M52-V51)))</f>
        <v>463.59875000000011</v>
      </c>
      <c r="O52" s="13">
        <f>N52*VLOOKUP('Données projet'!$B$9,Paramètres!$A$1:$I$89,3,0)*VLOOKUP('Données projet'!$B$9,Paramètres!$A$1:$I$89,5,0)</f>
        <v>277.23205250000007</v>
      </c>
      <c r="P52" s="13">
        <f t="shared" si="33"/>
        <v>66.381724218754627</v>
      </c>
      <c r="Q52" s="20">
        <f t="shared" si="53"/>
        <v>598.4606611184978</v>
      </c>
      <c r="R52" s="59">
        <f t="shared" si="0"/>
        <v>891.79399445183117</v>
      </c>
      <c r="S52" s="59">
        <f ca="1">AVERAGE(OFFSET($R$3,0,0,'Données projet'!$E$9+1,1))-AVERAGE(OFFSET($H$3,0,0,'Données projet'!$E$9+1,1))</f>
        <v>373.78622001879341</v>
      </c>
      <c r="T52" s="59">
        <f t="shared" si="34"/>
        <v>471.13220915651465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76.576925402321592</v>
      </c>
      <c r="AA52" s="21">
        <f>EXP(-LN(2)/25)*AA51+(1-EXP(-LN(2)/25))/(LN(2)/25)*Calculateur!V52*Calculateur!X52*VLOOKUP('Données projet'!$B$9,Paramètres!$A$1:$I$89,3,0)*0.475*44/12</f>
        <v>27.669843914162968</v>
      </c>
      <c r="AB52" s="21">
        <f>EXP(-LN(2)/2)*AB51+(1-EXP(-LN(2)/2))/(LN(2)/2)*V52*Y52*VLOOKUP('Données projet'!$B$9,Paramètres!$A$1:$I$89,3,0)*0.475*44/12</f>
        <v>7.3979183913221496</v>
      </c>
      <c r="AC52" s="22">
        <f t="shared" si="3"/>
        <v>111.64468770780671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16.688749999999985</v>
      </c>
      <c r="N53" s="13">
        <f>IF('Données projet'!$A$36&gt;35,N52+M53-V52,IF(A53&lt;'Données projet'!$A$36,$K$205^A53,IF(A53='Données projet'!$A$36,'Données projet'!$B$36,N52+M53-V52)))</f>
        <v>480.28750000000008</v>
      </c>
      <c r="O53" s="13">
        <f>N53*VLOOKUP('Données projet'!$B$9,Paramètres!$A$1:$I$89,3,0)*VLOOKUP('Données projet'!$B$9,Paramètres!$A$1:$I$89,5,0)</f>
        <v>287.21192500000006</v>
      </c>
      <c r="P53" s="13">
        <f t="shared" si="33"/>
        <v>68.488832873940893</v>
      </c>
      <c r="Q53" s="20">
        <f t="shared" si="53"/>
        <v>619.51215329711385</v>
      </c>
      <c r="R53" s="59">
        <f t="shared" si="0"/>
        <v>912.84548663044711</v>
      </c>
      <c r="S53" s="59">
        <f ca="1">AVERAGE(OFFSET($R$3,0,0,'Données projet'!$E$9+1,1))-AVERAGE(OFFSET($H$3,0,0,'Données projet'!$E$9+1,1))</f>
        <v>373.78622001879341</v>
      </c>
      <c r="T53" s="59">
        <f t="shared" si="34"/>
        <v>471.13220915651465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75.075298602494598</v>
      </c>
      <c r="AA53" s="21">
        <f>EXP(-LN(2)/25)*AA52+(1-EXP(-LN(2)/25))/(LN(2)/25)*Calculateur!V53*Calculateur!X53*VLOOKUP('Données projet'!$B$9,Paramètres!$A$1:$I$89,3,0)*0.475*44/12</f>
        <v>26.913210577236331</v>
      </c>
      <c r="AB53" s="21">
        <f>EXP(-LN(2)/2)*AB52+(1-EXP(-LN(2)/2))/(LN(2)/2)*V53*Y53*VLOOKUP('Données projet'!$B$9,Paramètres!$A$1:$I$89,3,0)*0.475*44/12</f>
        <v>5.2311182611685672</v>
      </c>
      <c r="AC53" s="22">
        <f t="shared" si="3"/>
        <v>107.21962744089949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16.688749999999985</v>
      </c>
      <c r="N54" s="13">
        <f>IF('Données projet'!$A$36&gt;35,N53+M54-V53,IF(A54&lt;'Données projet'!$A$36,$K$205^A54,IF(A54='Données projet'!$A$36,'Données projet'!$B$36,N53+M54-V53)))</f>
        <v>496.97625000000005</v>
      </c>
      <c r="O54" s="13">
        <f>N54*VLOOKUP('Données projet'!$B$9,Paramètres!$A$1:$I$89,3,0)*VLOOKUP('Données projet'!$B$9,Paramètres!$A$1:$I$89,5,0)</f>
        <v>297.19179750000006</v>
      </c>
      <c r="P54" s="13">
        <f t="shared" si="33"/>
        <v>70.587434522161658</v>
      </c>
      <c r="Q54" s="20">
        <f t="shared" si="53"/>
        <v>640.54882910526499</v>
      </c>
      <c r="R54" s="59">
        <f t="shared" si="0"/>
        <v>933.88216243859824</v>
      </c>
      <c r="S54" s="59">
        <f ca="1">AVERAGE(OFFSET($R$3,0,0,'Données projet'!$E$9+1,1))-AVERAGE(OFFSET($H$3,0,0,'Données projet'!$E$9+1,1))</f>
        <v>373.78622001879341</v>
      </c>
      <c r="T54" s="59">
        <f t="shared" si="34"/>
        <v>471.13220915651465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73.6031177883103</v>
      </c>
      <c r="AA54" s="21">
        <f>EXP(-LN(2)/25)*AA53+(1-EXP(-LN(2)/25))/(LN(2)/25)*Calculateur!V54*Calculateur!X54*VLOOKUP('Données projet'!$B$9,Paramètres!$A$1:$I$89,3,0)*0.475*44/12</f>
        <v>26.177267418697571</v>
      </c>
      <c r="AB54" s="21">
        <f>EXP(-LN(2)/2)*AB53+(1-EXP(-LN(2)/2))/(LN(2)/2)*V54*Y54*VLOOKUP('Données projet'!$B$9,Paramètres!$A$1:$I$89,3,0)*0.475*44/12</f>
        <v>3.6989591956610752</v>
      </c>
      <c r="AC54" s="22">
        <f t="shared" si="3"/>
        <v>103.47934440266894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16.688749999999985</v>
      </c>
      <c r="N55" s="13">
        <f>IF('Données projet'!$A$36&gt;35,N54+M55-V54,IF(A55&lt;'Données projet'!$A$36,$K$205^A55,IF(A55='Données projet'!$A$36,'Données projet'!$B$36,N54+M55-V54)))</f>
        <v>513.66500000000008</v>
      </c>
      <c r="O55" s="13">
        <f>N55*VLOOKUP('Données projet'!$B$9,Paramètres!$A$1:$I$89,3,0)*VLOOKUP('Données projet'!$B$9,Paramètres!$A$1:$I$89,5,0)</f>
        <v>307.17167000000006</v>
      </c>
      <c r="P55" s="13">
        <f t="shared" si="33"/>
        <v>72.677847584727886</v>
      </c>
      <c r="Q55" s="20">
        <f t="shared" si="53"/>
        <v>661.57124312673454</v>
      </c>
      <c r="R55" s="59">
        <f t="shared" si="0"/>
        <v>954.9045764600678</v>
      </c>
      <c r="S55" s="59">
        <f ca="1">AVERAGE(OFFSET($R$3,0,0,'Données projet'!$E$9+1,1))-AVERAGE(OFFSET($H$3,0,0,'Données projet'!$E$9+1,1))</f>
        <v>373.78622001879341</v>
      </c>
      <c r="T55" s="59">
        <f t="shared" si="34"/>
        <v>471.13220915651465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72.159805541950519</v>
      </c>
      <c r="AA55" s="21">
        <f>EXP(-LN(2)/25)*AA54+(1-EXP(-LN(2)/25))/(LN(2)/25)*Calculateur!V55*Calculateur!X55*VLOOKUP('Données projet'!$B$9,Paramètres!$A$1:$I$89,3,0)*0.475*44/12</f>
        <v>25.461448664530621</v>
      </c>
      <c r="AB55" s="21">
        <f>EXP(-LN(2)/2)*AB54+(1-EXP(-LN(2)/2))/(LN(2)/2)*V55*Y55*VLOOKUP('Données projet'!$B$9,Paramètres!$A$1:$I$89,3,0)*0.475*44/12</f>
        <v>2.615559130584284</v>
      </c>
      <c r="AC55" s="22">
        <f t="shared" si="3"/>
        <v>100.23681333706543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16.688749999999985</v>
      </c>
      <c r="N56" s="13">
        <f>IF('Données projet'!$A$36&gt;35,N55+M56-V55,IF(A56&lt;'Données projet'!$A$36,$K$205^A56,IF(A56='Données projet'!$A$36,'Données projet'!$B$36,N55+M56-V55)))</f>
        <v>530.3537500000001</v>
      </c>
      <c r="O56" s="13">
        <f>N56*VLOOKUP('Données projet'!$B$9,Paramètres!$A$1:$I$89,3,0)*VLOOKUP('Données projet'!$B$9,Paramètres!$A$1:$I$89,5,0)</f>
        <v>317.15154250000012</v>
      </c>
      <c r="P56" s="13">
        <f t="shared" si="33"/>
        <v>74.760368617674686</v>
      </c>
      <c r="Q56" s="20">
        <f t="shared" si="53"/>
        <v>682.57991186328354</v>
      </c>
      <c r="R56" s="59">
        <f t="shared" si="0"/>
        <v>975.9132451966168</v>
      </c>
      <c r="S56" s="59">
        <f ca="1">AVERAGE(OFFSET($R$3,0,0,'Données projet'!$E$9+1,1))-AVERAGE(OFFSET($H$3,0,0,'Données projet'!$E$9+1,1))</f>
        <v>373.78622001879341</v>
      </c>
      <c r="T56" s="59">
        <f t="shared" si="34"/>
        <v>471.13220915651465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70.744795768408309</v>
      </c>
      <c r="AA56" s="21">
        <f>EXP(-LN(2)/25)*AA55+(1-EXP(-LN(2)/25))/(LN(2)/25)*Calculateur!V56*Calculateur!X56*VLOOKUP('Données projet'!$B$9,Paramètres!$A$1:$I$89,3,0)*0.475*44/12</f>
        <v>24.765204011839639</v>
      </c>
      <c r="AB56" s="21">
        <f>EXP(-LN(2)/2)*AB55+(1-EXP(-LN(2)/2))/(LN(2)/2)*V56*Y56*VLOOKUP('Données projet'!$B$9,Paramètres!$A$1:$I$89,3,0)*0.475*44/12</f>
        <v>1.8494795978305378</v>
      </c>
      <c r="AC56" s="22">
        <f t="shared" si="3"/>
        <v>97.35947937807849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16.688749999999985</v>
      </c>
      <c r="N57" s="13">
        <f>IF('Données projet'!$A$36&gt;35,N56+M57-V56,IF(A57&lt;'Données projet'!$A$36,$K$205^A57,IF(A57='Données projet'!$A$36,'Données projet'!$B$36,N56+M57-V56)))</f>
        <v>547.04250000000013</v>
      </c>
      <c r="O57" s="13">
        <f>N57*VLOOKUP('Données projet'!$B$9,Paramètres!$A$1:$I$89,3,0)*VLOOKUP('Données projet'!$B$9,Paramètres!$A$1:$I$89,5,0)</f>
        <v>327.13141500000012</v>
      </c>
      <c r="P57" s="13">
        <f t="shared" si="33"/>
        <v>76.835274453485397</v>
      </c>
      <c r="Q57" s="20">
        <f t="shared" si="53"/>
        <v>703.57531746482061</v>
      </c>
      <c r="R57" s="59">
        <f t="shared" si="0"/>
        <v>996.90865079815399</v>
      </c>
      <c r="S57" s="59">
        <f ca="1">AVERAGE(OFFSET($R$3,0,0,'Données projet'!$E$9+1,1))-AVERAGE(OFFSET($H$3,0,0,'Données projet'!$E$9+1,1))</f>
        <v>373.78622001879341</v>
      </c>
      <c r="T57" s="59">
        <f t="shared" si="34"/>
        <v>471.13220915651465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69.357533473454524</v>
      </c>
      <c r="AA57" s="21">
        <f>EXP(-LN(2)/25)*AA56+(1-EXP(-LN(2)/25))/(LN(2)/25)*Calculateur!V57*Calculateur!X57*VLOOKUP('Données projet'!$B$9,Paramètres!$A$1:$I$89,3,0)*0.475*44/12</f>
        <v>24.087998205790406</v>
      </c>
      <c r="AB57" s="21">
        <f>EXP(-LN(2)/2)*AB56+(1-EXP(-LN(2)/2))/(LN(2)/2)*V57*Y57*VLOOKUP('Données projet'!$B$9,Paramètres!$A$1:$I$89,3,0)*0.475*44/12</f>
        <v>1.3077795652921422</v>
      </c>
      <c r="AC57" s="22">
        <f t="shared" si="3"/>
        <v>94.753311244537073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16.688749999999985</v>
      </c>
      <c r="N58" s="13">
        <f>IF('Données projet'!$A$36&gt;35,N57+M58-V57,IF(A58&lt;'Données projet'!$A$36,$K$205^A58,IF(A58='Données projet'!$A$36,'Données projet'!$B$36,N57+M58-V57)))</f>
        <v>563.73125000000016</v>
      </c>
      <c r="O58" s="13">
        <f>N58*VLOOKUP('Données projet'!$B$9,Paramètres!$A$1:$I$89,3,0)*VLOOKUP('Données projet'!$B$9,Paramètres!$A$1:$I$89,5,0)</f>
        <v>337.11128750000017</v>
      </c>
      <c r="P58" s="13">
        <f t="shared" si="33"/>
        <v>78.902824074119351</v>
      </c>
      <c r="Q58" s="20">
        <f t="shared" si="53"/>
        <v>724.55791099159148</v>
      </c>
      <c r="R58" s="59">
        <f t="shared" si="0"/>
        <v>1017.8912443249249</v>
      </c>
      <c r="S58" s="59">
        <f ca="1">AVERAGE(OFFSET($R$3,0,0,'Données projet'!$E$9+1,1))-AVERAGE(OFFSET($H$3,0,0,'Données projet'!$E$9+1,1))</f>
        <v>373.78622001879341</v>
      </c>
      <c r="T58" s="59">
        <f t="shared" si="34"/>
        <v>471.13220915651465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67.99747454595834</v>
      </c>
      <c r="AA58" s="21">
        <f>EXP(-LN(2)/25)*AA57+(1-EXP(-LN(2)/25))/(LN(2)/25)*Calculateur!V58*Calculateur!X58*VLOOKUP('Données projet'!$B$9,Paramètres!$A$1:$I$89,3,0)*0.475*44/12</f>
        <v>23.429310628120295</v>
      </c>
      <c r="AB58" s="21">
        <f>EXP(-LN(2)/2)*AB57+(1-EXP(-LN(2)/2))/(LN(2)/2)*V58*Y58*VLOOKUP('Données projet'!$B$9,Paramètres!$A$1:$I$89,3,0)*0.475*44/12</f>
        <v>0.92473979891526914</v>
      </c>
      <c r="AC58" s="22">
        <f t="shared" si="3"/>
        <v>92.3515249729939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580.41999999999996</v>
      </c>
      <c r="L59" s="12">
        <f>VLOOKUP(A59,'Données projet'!$A$35:$I$55,9,0)</f>
        <v>16.688749999999985</v>
      </c>
      <c r="M59" s="12">
        <f t="array" ref="M59">INDEX(L:L,MIN(IF(ISNUMBER(L59:L255),ROW(L59:L255),"")))</f>
        <v>16.688749999999985</v>
      </c>
      <c r="N59" s="13">
        <f>IF('Données projet'!$A$36&gt;35,N58+M59-V58,IF(A59&lt;'Données projet'!$A$36,$K$205^A59,IF(A59='Données projet'!$A$36,'Données projet'!$B$36,N58+M59-V58)))</f>
        <v>580.42000000000019</v>
      </c>
      <c r="O59" s="13">
        <f>N59*VLOOKUP('Données projet'!$B$9,Paramètres!$A$1:$I$89,3,0)*VLOOKUP('Données projet'!$B$9,Paramètres!$A$1:$I$89,5,0)</f>
        <v>347.09116000000017</v>
      </c>
      <c r="P59" s="13">
        <f t="shared" si="33"/>
        <v>80.963260256011282</v>
      </c>
      <c r="Q59" s="20">
        <f t="shared" si="53"/>
        <v>745.52811527921983</v>
      </c>
      <c r="R59" s="59">
        <f t="shared" si="0"/>
        <v>1038.8614486125532</v>
      </c>
      <c r="S59" s="59">
        <f ca="1">AVERAGE(OFFSET($R$3,0,0,'Données projet'!$E$9+1,1))-AVERAGE(OFFSET($H$3,0,0,'Données projet'!$E$9+1,1))</f>
        <v>373.78622001879341</v>
      </c>
      <c r="T59" s="59">
        <f t="shared" si="34"/>
        <v>471.13220915651465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580.41999999999996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211.70230617525897</v>
      </c>
      <c r="AA59" s="21">
        <f>EXP(-LN(2)/25)*AA58+(1-EXP(-LN(2)/25))/(LN(2)/25)*Calculateur!V59*Calculateur!X59*VLOOKUP('Données projet'!$B$9,Paramètres!$A$1:$I$89,3,0)*0.475*44/12</f>
        <v>57.460750871043956</v>
      </c>
      <c r="AB59" s="21">
        <f>EXP(-LN(2)/2)*AB58+(1-EXP(-LN(2)/2))/(LN(2)/2)*V59*Y59*VLOOKUP('Données projet'!$B$9,Paramètres!$A$1:$I$89,3,0)*0.475*44/12</f>
        <v>52.528282225652319</v>
      </c>
      <c r="AC59" s="22">
        <f t="shared" si="3"/>
        <v>321.69133927195526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373.78622001879341</v>
      </c>
      <c r="T60" s="59">
        <f t="shared" si="34"/>
        <v>471.13220915651465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207.55095307681881</v>
      </c>
      <c r="AA60" s="21">
        <f>EXP(-LN(2)/25)*AA59+(1-EXP(-LN(2)/25))/(LN(2)/25)*Calculateur!V60*Calculateur!X60*VLOOKUP('Données projet'!$B$9,Paramètres!$A$1:$I$89,3,0)*0.475*44/12</f>
        <v>55.8894836167457</v>
      </c>
      <c r="AB60" s="21">
        <f>EXP(-LN(2)/2)*AB59+(1-EXP(-LN(2)/2))/(LN(2)/2)*V60*Y60*VLOOKUP('Données projet'!$B$9,Paramètres!$A$1:$I$89,3,0)*0.475*44/12</f>
        <v>37.14310456583955</v>
      </c>
      <c r="AC60" s="22">
        <f t="shared" si="3"/>
        <v>300.58354125940406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373.78622001879341</v>
      </c>
      <c r="T61" s="59">
        <f t="shared" si="34"/>
        <v>471.13220915651465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203.48100548056371</v>
      </c>
      <c r="AA61" s="21">
        <f>EXP(-LN(2)/25)*AA60+(1-EXP(-LN(2)/25))/(LN(2)/25)*Calculateur!V61*Calculateur!X61*VLOOKUP('Données projet'!$B$9,Paramètres!$A$1:$I$89,3,0)*0.475*44/12</f>
        <v>54.36118274814558</v>
      </c>
      <c r="AB61" s="21">
        <f>EXP(-LN(2)/2)*AB60+(1-EXP(-LN(2)/2))/(LN(2)/2)*V61*Y61*VLOOKUP('Données projet'!$B$9,Paramètres!$A$1:$I$89,3,0)*0.475*44/12</f>
        <v>26.264141112826163</v>
      </c>
      <c r="AC61" s="22">
        <f t="shared" si="3"/>
        <v>284.10632934153546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373.78622001879341</v>
      </c>
      <c r="T62" s="59">
        <f t="shared" si="34"/>
        <v>471.13220915651465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199.49086707424823</v>
      </c>
      <c r="AA62" s="21">
        <f>EXP(-LN(2)/25)*AA61+(1-EXP(-LN(2)/25))/(LN(2)/25)*Calculateur!V62*Calculateur!X62*VLOOKUP('Données projet'!$B$9,Paramètres!$A$1:$I$89,3,0)*0.475*44/12</f>
        <v>52.874673347167182</v>
      </c>
      <c r="AB62" s="21">
        <f>EXP(-LN(2)/2)*AB61+(1-EXP(-LN(2)/2))/(LN(2)/2)*V62*Y62*VLOOKUP('Données projet'!$B$9,Paramètres!$A$1:$I$89,3,0)*0.475*44/12</f>
        <v>18.571552282919779</v>
      </c>
      <c r="AC62" s="22">
        <f t="shared" si="3"/>
        <v>270.93709270433516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373.78622001879341</v>
      </c>
      <c r="T63" s="59">
        <f t="shared" si="34"/>
        <v>471.13220915651465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195.57897284833649</v>
      </c>
      <c r="AA63" s="21">
        <f>EXP(-LN(2)/25)*AA62+(1-EXP(-LN(2)/25))/(LN(2)/25)*Calculateur!V63*Calculateur!X63*VLOOKUP('Données projet'!$B$9,Paramètres!$A$1:$I$89,3,0)*0.475*44/12</f>
        <v>51.428812623930668</v>
      </c>
      <c r="AB63" s="21">
        <f>EXP(-LN(2)/2)*AB62+(1-EXP(-LN(2)/2))/(LN(2)/2)*V63*Y63*VLOOKUP('Données projet'!$B$9,Paramètres!$A$1:$I$89,3,0)*0.475*44/12</f>
        <v>13.132070556413083</v>
      </c>
      <c r="AC63" s="22">
        <f t="shared" si="3"/>
        <v>260.13985602868024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373.78622001879341</v>
      </c>
      <c r="T64" s="59">
        <f t="shared" si="34"/>
        <v>471.13220915651465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191.74378848217501</v>
      </c>
      <c r="AA64" s="21">
        <f>EXP(-LN(2)/25)*AA63+(1-EXP(-LN(2)/25))/(LN(2)/25)*Calculateur!V64*Calculateur!X64*VLOOKUP('Données projet'!$B$9,Paramètres!$A$1:$I$89,3,0)*0.475*44/12</f>
        <v>50.02248903820557</v>
      </c>
      <c r="AB64" s="21">
        <f>EXP(-LN(2)/2)*AB63+(1-EXP(-LN(2)/2))/(LN(2)/2)*V64*Y64*VLOOKUP('Données projet'!$B$9,Paramètres!$A$1:$I$89,3,0)*0.475*44/12</f>
        <v>9.2857761414598894</v>
      </c>
      <c r="AC64" s="22">
        <f t="shared" si="3"/>
        <v>251.05205366184046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373.78622001879341</v>
      </c>
      <c r="T65" s="59">
        <f t="shared" si="34"/>
        <v>471.13220915651465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187.98380974220245</v>
      </c>
      <c r="AA65" s="21">
        <f>EXP(-LN(2)/25)*AA64+(1-EXP(-LN(2)/25))/(LN(2)/25)*Calculateur!V65*Calculateur!X65*VLOOKUP('Données projet'!$B$9,Paramètres!$A$1:$I$89,3,0)*0.475*44/12</f>
        <v>48.654621444887468</v>
      </c>
      <c r="AB65" s="21">
        <f>EXP(-LN(2)/2)*AB64+(1-EXP(-LN(2)/2))/(LN(2)/2)*V65*Y65*VLOOKUP('Données projet'!$B$9,Paramètres!$A$1:$I$89,3,0)*0.475*44/12</f>
        <v>6.5660352782065416</v>
      </c>
      <c r="AC65" s="22">
        <f t="shared" si="3"/>
        <v>243.20446646529643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373.78622001879341</v>
      </c>
      <c r="T66" s="59">
        <f t="shared" si="34"/>
        <v>471.13220915651465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184.29756189196019</v>
      </c>
      <c r="AA66" s="21">
        <f>EXP(-LN(2)/25)*AA65+(1-EXP(-LN(2)/25))/(LN(2)/25)*Calculateur!V66*Calculateur!X66*VLOOKUP('Données projet'!$B$9,Paramètres!$A$1:$I$89,3,0)*0.475*44/12</f>
        <v>47.324158262841678</v>
      </c>
      <c r="AB66" s="21">
        <f>EXP(-LN(2)/2)*AB65+(1-EXP(-LN(2)/2))/(LN(2)/2)*V66*Y66*VLOOKUP('Données projet'!$B$9,Paramètres!$A$1:$I$89,3,0)*0.475*44/12</f>
        <v>4.6428880707299447</v>
      </c>
      <c r="AC66" s="22">
        <f t="shared" si="3"/>
        <v>236.26460822553182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373.78622001879341</v>
      </c>
      <c r="T67" s="59">
        <f t="shared" si="34"/>
        <v>471.13220915651465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180.68359911367199</v>
      </c>
      <c r="AA67" s="21">
        <f>EXP(-LN(2)/25)*AA66+(1-EXP(-LN(2)/25))/(LN(2)/25)*Calculateur!V67*Calculateur!X67*VLOOKUP('Données projet'!$B$9,Paramètres!$A$1:$I$89,3,0)*0.475*44/12</f>
        <v>46.030076666474947</v>
      </c>
      <c r="AB67" s="21">
        <f>EXP(-LN(2)/2)*AB66+(1-EXP(-LN(2)/2))/(LN(2)/2)*V67*Y67*VLOOKUP('Données projet'!$B$9,Paramètres!$A$1:$I$89,3,0)*0.475*44/12</f>
        <v>3.2830176391032708</v>
      </c>
      <c r="AC67" s="22">
        <f t="shared" si="3"/>
        <v>229.99669341925019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373.78622001879341</v>
      </c>
      <c r="T68" s="59">
        <f t="shared" si="34"/>
        <v>471.13220915651465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177.1405039411664</v>
      </c>
      <c r="AA68" s="21">
        <f>EXP(-LN(2)/25)*AA67+(1-EXP(-LN(2)/25))/(LN(2)/25)*Calculateur!V68*Calculateur!X68*VLOOKUP('Données projet'!$B$9,Paramètres!$A$1:$I$89,3,0)*0.475*44/12</f>
        <v>44.77138179941366</v>
      </c>
      <c r="AB68" s="21">
        <f>EXP(-LN(2)/2)*AB67+(1-EXP(-LN(2)/2))/(LN(2)/2)*V68*Y68*VLOOKUP('Données projet'!$B$9,Paramètres!$A$1:$I$89,3,0)*0.475*44/12</f>
        <v>2.3214440353649723</v>
      </c>
      <c r="AC68" s="22">
        <f t="shared" ref="AC68:AC131" si="57">SUM(Z68:AB68)</f>
        <v>224.23332977594504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373.78622001879341</v>
      </c>
      <c r="T69" s="59">
        <f t="shared" ref="T69:T132" si="88">$T$3</f>
        <v>471.13220915651465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173.66688670391898</v>
      </c>
      <c r="AA69" s="21">
        <f>EXP(-LN(2)/25)*AA68+(1-EXP(-LN(2)/25))/(LN(2)/25)*Calculateur!V69*Calculateur!X69*VLOOKUP('Données projet'!$B$9,Paramètres!$A$1:$I$89,3,0)*0.475*44/12</f>
        <v>43.54710600968405</v>
      </c>
      <c r="AB69" s="21">
        <f>EXP(-LN(2)/2)*AB68+(1-EXP(-LN(2)/2))/(LN(2)/2)*V69*Y69*VLOOKUP('Données projet'!$B$9,Paramètres!$A$1:$I$89,3,0)*0.475*44/12</f>
        <v>1.6415088195516354</v>
      </c>
      <c r="AC69" s="22">
        <f t="shared" si="57"/>
        <v>218.85550153315467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373.78622001879341</v>
      </c>
      <c r="T70" s="59">
        <f t="shared" si="88"/>
        <v>471.13220915651465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170.26138498199666</v>
      </c>
      <c r="AA70" s="21">
        <f>EXP(-LN(2)/25)*AA69+(1-EXP(-LN(2)/25))/(LN(2)/25)*Calculateur!V70*Calculateur!X70*VLOOKUP('Données projet'!$B$9,Paramètres!$A$1:$I$89,3,0)*0.475*44/12</f>
        <v>42.356308105806463</v>
      </c>
      <c r="AB70" s="21">
        <f>EXP(-LN(2)/2)*AB69+(1-EXP(-LN(2)/2))/(LN(2)/2)*V70*Y70*VLOOKUP('Données projet'!$B$9,Paramètres!$A$1:$I$89,3,0)*0.475*44/12</f>
        <v>1.1607220176824862</v>
      </c>
      <c r="AC70" s="22">
        <f t="shared" si="57"/>
        <v>213.77841510548558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373.78622001879341</v>
      </c>
      <c r="T71" s="59">
        <f t="shared" si="88"/>
        <v>471.13220915651465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166.92266307169029</v>
      </c>
      <c r="AA71" s="21">
        <f>EXP(-LN(2)/25)*AA70+(1-EXP(-LN(2)/25))/(LN(2)/25)*Calculateur!V71*Calculateur!X71*VLOOKUP('Données projet'!$B$9,Paramètres!$A$1:$I$89,3,0)*0.475*44/12</f>
        <v>41.198072633231746</v>
      </c>
      <c r="AB71" s="21">
        <f>EXP(-LN(2)/2)*AB70+(1-EXP(-LN(2)/2))/(LN(2)/2)*V71*Y71*VLOOKUP('Données projet'!$B$9,Paramètres!$A$1:$I$89,3,0)*0.475*44/12</f>
        <v>0.82075440977581771</v>
      </c>
      <c r="AC71" s="22">
        <f t="shared" si="57"/>
        <v>208.94149011469784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373.78622001879341</v>
      </c>
      <c r="T72" s="59">
        <f t="shared" si="88"/>
        <v>471.13220915651465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163.64941146162573</v>
      </c>
      <c r="AA72" s="21">
        <f>EXP(-LN(2)/25)*AA71+(1-EXP(-LN(2)/25))/(LN(2)/25)*Calculateur!V72*Calculateur!X72*VLOOKUP('Données projet'!$B$9,Paramètres!$A$1:$I$89,3,0)*0.475*44/12</f>
        <v>40.071509170563544</v>
      </c>
      <c r="AB72" s="21">
        <f>EXP(-LN(2)/2)*AB71+(1-EXP(-LN(2)/2))/(LN(2)/2)*V72*Y72*VLOOKUP('Données projet'!$B$9,Paramètres!$A$1:$I$89,3,0)*0.475*44/12</f>
        <v>0.58036100884124309</v>
      </c>
      <c r="AC72" s="22">
        <f t="shared" si="57"/>
        <v>204.30128164103053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373.78622001879341</v>
      </c>
      <c r="T73" s="59">
        <f t="shared" si="88"/>
        <v>471.13220915651465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160.4403463191482</v>
      </c>
      <c r="AA73" s="21">
        <f>EXP(-LN(2)/25)*AA72+(1-EXP(-LN(2)/25))/(LN(2)/25)*Calculateur!V73*Calculateur!X73*VLOOKUP('Données projet'!$B$9,Paramètres!$A$1:$I$89,3,0)*0.475*44/12</f>
        <v>38.975751645025404</v>
      </c>
      <c r="AB73" s="21">
        <f>EXP(-LN(2)/2)*AB72+(1-EXP(-LN(2)/2))/(LN(2)/2)*V73*Y73*VLOOKUP('Données projet'!$B$9,Paramètres!$A$1:$I$89,3,0)*0.475*44/12</f>
        <v>0.41037720488790885</v>
      </c>
      <c r="AC73" s="22">
        <f t="shared" si="57"/>
        <v>199.82647516906152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373.78622001879341</v>
      </c>
      <c r="T74" s="59">
        <f t="shared" si="88"/>
        <v>471.13220915651465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157.29420898677819</v>
      </c>
      <c r="AA74" s="21">
        <f>EXP(-LN(2)/25)*AA73+(1-EXP(-LN(2)/25))/(LN(2)/25)*Calculateur!V74*Calculateur!X74*VLOOKUP('Données projet'!$B$9,Paramètres!$A$1:$I$89,3,0)*0.475*44/12</f>
        <v>37.909957666646484</v>
      </c>
      <c r="AB74" s="21">
        <f>EXP(-LN(2)/2)*AB73+(1-EXP(-LN(2)/2))/(LN(2)/2)*V74*Y74*VLOOKUP('Données projet'!$B$9,Paramètres!$A$1:$I$89,3,0)*0.475*44/12</f>
        <v>0.29018050442062154</v>
      </c>
      <c r="AC74" s="22">
        <f t="shared" si="57"/>
        <v>195.49434715784528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373.78622001879341</v>
      </c>
      <c r="T75" s="59">
        <f t="shared" si="88"/>
        <v>471.13220915651465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154.20976548854165</v>
      </c>
      <c r="AA75" s="21">
        <f>EXP(-LN(2)/25)*AA74+(1-EXP(-LN(2)/25))/(LN(2)/25)*Calculateur!V75*Calculateur!X75*VLOOKUP('Données projet'!$B$9,Paramètres!$A$1:$I$89,3,0)*0.475*44/12</f>
        <v>36.873307880654004</v>
      </c>
      <c r="AB75" s="21">
        <f>EXP(-LN(2)/2)*AB74+(1-EXP(-LN(2)/2))/(LN(2)/2)*V75*Y75*VLOOKUP('Données projet'!$B$9,Paramètres!$A$1:$I$89,3,0)*0.475*44/12</f>
        <v>0.20518860244395443</v>
      </c>
      <c r="AC75" s="22">
        <f t="shared" si="57"/>
        <v>191.28826197163963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373.78622001879341</v>
      </c>
      <c r="T76" s="59">
        <f t="shared" si="88"/>
        <v>471.13220915651465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151.18580604598077</v>
      </c>
      <c r="AA76" s="21">
        <f>EXP(-LN(2)/25)*AA75+(1-EXP(-LN(2)/25))/(LN(2)/25)*Calculateur!V76*Calculateur!X76*VLOOKUP('Données projet'!$B$9,Paramètres!$A$1:$I$89,3,0)*0.475*44/12</f>
        <v>35.86500533757453</v>
      </c>
      <c r="AB76" s="21">
        <f>EXP(-LN(2)/2)*AB75+(1-EXP(-LN(2)/2))/(LN(2)/2)*V76*Y76*VLOOKUP('Données projet'!$B$9,Paramètres!$A$1:$I$89,3,0)*0.475*44/12</f>
        <v>0.14509025221031077</v>
      </c>
      <c r="AC76" s="22">
        <f t="shared" si="57"/>
        <v>187.19590163576561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373.78622001879341</v>
      </c>
      <c r="T77" s="59">
        <f t="shared" si="88"/>
        <v>471.13220915651465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148.22114460365538</v>
      </c>
      <c r="AA77" s="21">
        <f>EXP(-LN(2)/25)*AA76+(1-EXP(-LN(2)/25))/(LN(2)/25)*Calculateur!V77*Calculateur!X77*VLOOKUP('Données projet'!$B$9,Paramètres!$A$1:$I$89,3,0)*0.475*44/12</f>
        <v>34.884274880559893</v>
      </c>
      <c r="AB77" s="21">
        <f>EXP(-LN(2)/2)*AB76+(1-EXP(-LN(2)/2))/(LN(2)/2)*V77*Y77*VLOOKUP('Données projet'!$B$9,Paramètres!$A$1:$I$89,3,0)*0.475*44/12</f>
        <v>0.10259430122197721</v>
      </c>
      <c r="AC77" s="22">
        <f t="shared" si="57"/>
        <v>183.20801378543726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373.78622001879341</v>
      </c>
      <c r="T78" s="59">
        <f t="shared" si="88"/>
        <v>471.13220915651465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145.31461836394905</v>
      </c>
      <c r="AA78" s="21">
        <f>EXP(-LN(2)/25)*AA77+(1-EXP(-LN(2)/25))/(LN(2)/25)*Calculateur!V78*Calculateur!X78*VLOOKUP('Données projet'!$B$9,Paramètres!$A$1:$I$89,3,0)*0.475*44/12</f>
        <v>33.930362549466693</v>
      </c>
      <c r="AB78" s="21">
        <f>EXP(-LN(2)/2)*AB77+(1-EXP(-LN(2)/2))/(LN(2)/2)*V78*Y78*VLOOKUP('Données projet'!$B$9,Paramètres!$A$1:$I$89,3,0)*0.475*44/12</f>
        <v>7.2545126105155386E-2</v>
      </c>
      <c r="AC78" s="22">
        <f t="shared" si="57"/>
        <v>179.31752603952091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373.78622001879341</v>
      </c>
      <c r="T79" s="59">
        <f t="shared" si="88"/>
        <v>471.13220915651465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142.46508733099742</v>
      </c>
      <c r="AA79" s="21">
        <f>EXP(-LN(2)/25)*AA78+(1-EXP(-LN(2)/25))/(LN(2)/25)*Calculateur!V79*Calculateur!X79*VLOOKUP('Données projet'!$B$9,Paramètres!$A$1:$I$89,3,0)*0.475*44/12</f>
        <v>33.002535001231308</v>
      </c>
      <c r="AB79" s="21">
        <f>EXP(-LN(2)/2)*AB78+(1-EXP(-LN(2)/2))/(LN(2)/2)*V79*Y79*VLOOKUP('Données projet'!$B$9,Paramètres!$A$1:$I$89,3,0)*0.475*44/12</f>
        <v>5.1297150610988607E-2</v>
      </c>
      <c r="AC79" s="22">
        <f t="shared" si="57"/>
        <v>175.51891948283972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373.78622001879341</v>
      </c>
      <c r="T80" s="59">
        <f t="shared" si="88"/>
        <v>471.13220915651465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139.67143386355966</v>
      </c>
      <c r="AA80" s="21">
        <f>EXP(-LN(2)/25)*AA79+(1-EXP(-LN(2)/25))/(LN(2)/25)*Calculateur!V80*Calculateur!X80*VLOOKUP('Données projet'!$B$9,Paramètres!$A$1:$I$89,3,0)*0.475*44/12</f>
        <v>32.100078946094747</v>
      </c>
      <c r="AB80" s="21">
        <f>EXP(-LN(2)/2)*AB79+(1-EXP(-LN(2)/2))/(LN(2)/2)*V80*Y80*VLOOKUP('Données projet'!$B$9,Paramètres!$A$1:$I$89,3,0)*0.475*44/12</f>
        <v>3.6272563052577693E-2</v>
      </c>
      <c r="AC80" s="22">
        <f t="shared" si="57"/>
        <v>171.807785372707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373.78622001879341</v>
      </c>
      <c r="T81" s="59">
        <f t="shared" si="88"/>
        <v>471.13220915651465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136.93256223665799</v>
      </c>
      <c r="AA81" s="21">
        <f>EXP(-LN(2)/25)*AA80+(1-EXP(-LN(2)/25))/(LN(2)/25)*Calculateur!V81*Calculateur!X81*VLOOKUP('Données projet'!$B$9,Paramètres!$A$1:$I$89,3,0)*0.475*44/12</f>
        <v>31.222300599244001</v>
      </c>
      <c r="AB81" s="21">
        <f>EXP(-LN(2)/2)*AB80+(1-EXP(-LN(2)/2))/(LN(2)/2)*V81*Y81*VLOOKUP('Données projet'!$B$9,Paramètres!$A$1:$I$89,3,0)*0.475*44/12</f>
        <v>2.5648575305494303E-2</v>
      </c>
      <c r="AC81" s="22">
        <f t="shared" si="57"/>
        <v>168.18051141120748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373.78622001879341</v>
      </c>
      <c r="T82" s="59">
        <f t="shared" si="88"/>
        <v>471.13220915651465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134.24739821181311</v>
      </c>
      <c r="AA82" s="21">
        <f>EXP(-LN(2)/25)*AA81+(1-EXP(-LN(2)/25))/(LN(2)/25)*Calculateur!V82*Calculateur!X82*VLOOKUP('Données projet'!$B$9,Paramètres!$A$1:$I$89,3,0)*0.475*44/12</f>
        <v>30.368525147448246</v>
      </c>
      <c r="AB82" s="21">
        <f>EXP(-LN(2)/2)*AB81+(1-EXP(-LN(2)/2))/(LN(2)/2)*V82*Y82*VLOOKUP('Données projet'!$B$9,Paramètres!$A$1:$I$89,3,0)*0.475*44/12</f>
        <v>1.8136281526288846E-2</v>
      </c>
      <c r="AC82" s="22">
        <f t="shared" si="57"/>
        <v>164.63405964078765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373.78622001879341</v>
      </c>
      <c r="T83" s="59">
        <f t="shared" si="88"/>
        <v>471.13220915651465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131.61488861570712</v>
      </c>
      <c r="AA83" s="21">
        <f>EXP(-LN(2)/25)*AA82+(1-EXP(-LN(2)/25))/(LN(2)/25)*Calculateur!V83*Calculateur!X83*VLOOKUP('Données projet'!$B$9,Paramètres!$A$1:$I$89,3,0)*0.475*44/12</f>
        <v>29.538096230279944</v>
      </c>
      <c r="AB83" s="21">
        <f>EXP(-LN(2)/2)*AB82+(1-EXP(-LN(2)/2))/(LN(2)/2)*V83*Y83*VLOOKUP('Données projet'!$B$9,Paramètres!$A$1:$I$89,3,0)*0.475*44/12</f>
        <v>1.2824287652747152E-2</v>
      </c>
      <c r="AC83" s="22">
        <f t="shared" si="57"/>
        <v>161.16580913363978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373.78622001879341</v>
      </c>
      <c r="T84" s="59">
        <f t="shared" si="88"/>
        <v>471.13220915651465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129.03400092710845</v>
      </c>
      <c r="AA84" s="21">
        <f>EXP(-LN(2)/25)*AA83+(1-EXP(-LN(2)/25))/(LN(2)/25)*Calculateur!V84*Calculateur!X84*VLOOKUP('Données projet'!$B$9,Paramètres!$A$1:$I$89,3,0)*0.475*44/12</f>
        <v>28.730375435521967</v>
      </c>
      <c r="AB84" s="21">
        <f>EXP(-LN(2)/2)*AB83+(1-EXP(-LN(2)/2))/(LN(2)/2)*V84*Y84*VLOOKUP('Données projet'!$B$9,Paramètres!$A$1:$I$89,3,0)*0.475*44/12</f>
        <v>9.0681407631444232E-3</v>
      </c>
      <c r="AC84" s="22">
        <f t="shared" si="57"/>
        <v>157.77344450339356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373.78622001879341</v>
      </c>
      <c r="T85" s="59">
        <f t="shared" si="88"/>
        <v>471.13220915651465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126.50372287189715</v>
      </c>
      <c r="AA85" s="21">
        <f>EXP(-LN(2)/25)*AA84+(1-EXP(-LN(2)/25))/(LN(2)/25)*Calculateur!V85*Calculateur!X85*VLOOKUP('Données projet'!$B$9,Paramètres!$A$1:$I$89,3,0)*0.475*44/12</f>
        <v>27.944741808372839</v>
      </c>
      <c r="AB85" s="21">
        <f>EXP(-LN(2)/2)*AB84+(1-EXP(-LN(2)/2))/(LN(2)/2)*V85*Y85*VLOOKUP('Données projet'!$B$9,Paramètres!$A$1:$I$89,3,0)*0.475*44/12</f>
        <v>6.4121438263735758E-3</v>
      </c>
      <c r="AC85" s="22">
        <f t="shared" si="57"/>
        <v>154.45487682409635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373.78622001879341</v>
      </c>
      <c r="T86" s="59">
        <f t="shared" si="88"/>
        <v>471.13220915651465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124.02306202603133</v>
      </c>
      <c r="AA86" s="21">
        <f>EXP(-LN(2)/25)*AA85+(1-EXP(-LN(2)/25))/(LN(2)/25)*Calculateur!V86*Calculateur!X86*VLOOKUP('Données projet'!$B$9,Paramètres!$A$1:$I$89,3,0)*0.475*44/12</f>
        <v>27.18059137407278</v>
      </c>
      <c r="AB86" s="21">
        <f>EXP(-LN(2)/2)*AB85+(1-EXP(-LN(2)/2))/(LN(2)/2)*V86*Y86*VLOOKUP('Données projet'!$B$9,Paramètres!$A$1:$I$89,3,0)*0.475*44/12</f>
        <v>4.5340703815722116E-3</v>
      </c>
      <c r="AC86" s="22">
        <f t="shared" si="57"/>
        <v>151.20818747048568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373.78622001879341</v>
      </c>
      <c r="T87" s="59">
        <f t="shared" si="88"/>
        <v>471.13220915651465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121.5910454262992</v>
      </c>
      <c r="AA87" s="21">
        <f>EXP(-LN(2)/25)*AA86+(1-EXP(-LN(2)/25))/(LN(2)/25)*Calculateur!V87*Calculateur!X87*VLOOKUP('Données projet'!$B$9,Paramètres!$A$1:$I$89,3,0)*0.475*44/12</f>
        <v>26.43733667358358</v>
      </c>
      <c r="AB87" s="21">
        <f>EXP(-LN(2)/2)*AB86+(1-EXP(-LN(2)/2))/(LN(2)/2)*V87*Y87*VLOOKUP('Données projet'!$B$9,Paramètres!$A$1:$I$89,3,0)*0.475*44/12</f>
        <v>3.2060719131867879E-3</v>
      </c>
      <c r="AC87" s="22">
        <f t="shared" si="57"/>
        <v>148.03158817179596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373.78622001879341</v>
      </c>
      <c r="T88" s="59">
        <f t="shared" si="88"/>
        <v>471.13220915651465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119.20671918870417</v>
      </c>
      <c r="AA88" s="21">
        <f>EXP(-LN(2)/25)*AA87+(1-EXP(-LN(2)/25))/(LN(2)/25)*Calculateur!V88*Calculateur!X88*VLOOKUP('Données projet'!$B$9,Paramètres!$A$1:$I$89,3,0)*0.475*44/12</f>
        <v>25.714406311965323</v>
      </c>
      <c r="AB88" s="21">
        <f>EXP(-LN(2)/2)*AB87+(1-EXP(-LN(2)/2))/(LN(2)/2)*V88*Y88*VLOOKUP('Données projet'!$B$9,Paramètres!$A$1:$I$89,3,0)*0.475*44/12</f>
        <v>2.2670351907861058E-3</v>
      </c>
      <c r="AC88" s="22">
        <f t="shared" si="57"/>
        <v>144.92339253586027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373.78622001879341</v>
      </c>
      <c r="T89" s="59">
        <f t="shared" si="88"/>
        <v>471.13220915651465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116.86914813433297</v>
      </c>
      <c r="AA89" s="21">
        <f>EXP(-LN(2)/25)*AA88+(1-EXP(-LN(2)/25))/(LN(2)/25)*Calculateur!V89*Calculateur!X89*VLOOKUP('Données projet'!$B$9,Paramètres!$A$1:$I$89,3,0)*0.475*44/12</f>
        <v>25.011244519102775</v>
      </c>
      <c r="AB89" s="21">
        <f>EXP(-LN(2)/2)*AB88+(1-EXP(-LN(2)/2))/(LN(2)/2)*V89*Y89*VLOOKUP('Données projet'!$B$9,Paramètres!$A$1:$I$89,3,0)*0.475*44/12</f>
        <v>1.603035956593394E-3</v>
      </c>
      <c r="AC89" s="22">
        <f t="shared" si="57"/>
        <v>141.88199568939237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373.78622001879341</v>
      </c>
      <c r="T90" s="59">
        <f t="shared" si="88"/>
        <v>471.13220915651465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114.57741542256043</v>
      </c>
      <c r="AA90" s="21">
        <f>EXP(-LN(2)/25)*AA89+(1-EXP(-LN(2)/25))/(LN(2)/25)*Calculateur!V90*Calculateur!X90*VLOOKUP('Données projet'!$B$9,Paramètres!$A$1:$I$89,3,0)*0.475*44/12</f>
        <v>24.327310722443723</v>
      </c>
      <c r="AB90" s="21">
        <f>EXP(-LN(2)/2)*AB89+(1-EXP(-LN(2)/2))/(LN(2)/2)*V90*Y90*VLOOKUP('Données projet'!$B$9,Paramètres!$A$1:$I$89,3,0)*0.475*44/12</f>
        <v>1.1335175953930529E-3</v>
      </c>
      <c r="AC90" s="22">
        <f t="shared" si="57"/>
        <v>138.90585966259957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373.78622001879341</v>
      </c>
      <c r="T91" s="59">
        <f t="shared" si="88"/>
        <v>471.13220915651465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112.33062219144684</v>
      </c>
      <c r="AA91" s="21">
        <f>EXP(-LN(2)/25)*AA90+(1-EXP(-LN(2)/25))/(LN(2)/25)*Calculateur!V91*Calculateur!X91*VLOOKUP('Données projet'!$B$9,Paramètres!$A$1:$I$89,3,0)*0.475*44/12</f>
        <v>23.662079131420828</v>
      </c>
      <c r="AB91" s="21">
        <f>EXP(-LN(2)/2)*AB90+(1-EXP(-LN(2)/2))/(LN(2)/2)*V91*Y91*VLOOKUP('Données projet'!$B$9,Paramètres!$A$1:$I$89,3,0)*0.475*44/12</f>
        <v>8.0151797829669698E-4</v>
      </c>
      <c r="AC91" s="22">
        <f t="shared" si="57"/>
        <v>135.99350284084596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373.78622001879341</v>
      </c>
      <c r="T92" s="59">
        <f t="shared" si="88"/>
        <v>471.13220915651465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110.12788720518681</v>
      </c>
      <c r="AA92" s="21">
        <f>EXP(-LN(2)/25)*AA91+(1-EXP(-LN(2)/25))/(LN(2)/25)*Calculateur!V92*Calculateur!X92*VLOOKUP('Données projet'!$B$9,Paramètres!$A$1:$I$89,3,0)*0.475*44/12</f>
        <v>23.015038333237463</v>
      </c>
      <c r="AB92" s="21">
        <f>EXP(-LN(2)/2)*AB91+(1-EXP(-LN(2)/2))/(LN(2)/2)*V92*Y92*VLOOKUP('Données projet'!$B$9,Paramètres!$A$1:$I$89,3,0)*0.475*44/12</f>
        <v>5.6675879769652645E-4</v>
      </c>
      <c r="AC92" s="22">
        <f t="shared" si="57"/>
        <v>133.14349229722197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373.78622001879341</v>
      </c>
      <c r="T93" s="59">
        <f t="shared" si="88"/>
        <v>471.13220915651465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107.96834650847167</v>
      </c>
      <c r="AA93" s="21">
        <f>EXP(-LN(2)/25)*AA92+(1-EXP(-LN(2)/25))/(LN(2)/25)*Calculateur!V93*Calculateur!X93*VLOOKUP('Données projet'!$B$9,Paramètres!$A$1:$I$89,3,0)*0.475*44/12</f>
        <v>22.38569089970682</v>
      </c>
      <c r="AB93" s="21">
        <f>EXP(-LN(2)/2)*AB92+(1-EXP(-LN(2)/2))/(LN(2)/2)*V93*Y93*VLOOKUP('Données projet'!$B$9,Paramètres!$A$1:$I$89,3,0)*0.475*44/12</f>
        <v>4.0075898914834849E-4</v>
      </c>
      <c r="AC93" s="22">
        <f t="shared" si="57"/>
        <v>130.35443816716764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373.78622001879341</v>
      </c>
      <c r="T94" s="59">
        <f t="shared" si="88"/>
        <v>471.13220915651465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105.85115308762934</v>
      </c>
      <c r="AA94" s="21">
        <f>EXP(-LN(2)/25)*AA93+(1-EXP(-LN(2)/25))/(LN(2)/25)*Calculateur!V94*Calculateur!X94*VLOOKUP('Données projet'!$B$9,Paramètres!$A$1:$I$89,3,0)*0.475*44/12</f>
        <v>21.773553004842015</v>
      </c>
      <c r="AB94" s="21">
        <f>EXP(-LN(2)/2)*AB93+(1-EXP(-LN(2)/2))/(LN(2)/2)*V94*Y94*VLOOKUP('Données projet'!$B$9,Paramètres!$A$1:$I$89,3,0)*0.475*44/12</f>
        <v>2.8337939884826323E-4</v>
      </c>
      <c r="AC94" s="22">
        <f t="shared" si="57"/>
        <v>127.62498947187021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373.78622001879341</v>
      </c>
      <c r="T95" s="59">
        <f t="shared" si="88"/>
        <v>471.13220915651465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103.77547653840927</v>
      </c>
      <c r="AA95" s="21">
        <f>EXP(-LN(2)/25)*AA94+(1-EXP(-LN(2)/25))/(LN(2)/25)*Calculateur!V95*Calculateur!X95*VLOOKUP('Données projet'!$B$9,Paramètres!$A$1:$I$89,3,0)*0.475*44/12</f>
        <v>21.178154052903221</v>
      </c>
      <c r="AB95" s="21">
        <f>EXP(-LN(2)/2)*AB94+(1-EXP(-LN(2)/2))/(LN(2)/2)*V95*Y95*VLOOKUP('Données projet'!$B$9,Paramètres!$A$1:$I$89,3,0)*0.475*44/12</f>
        <v>2.0037949457417424E-4</v>
      </c>
      <c r="AC95" s="22">
        <f t="shared" si="57"/>
        <v>124.95383097080706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373.78622001879341</v>
      </c>
      <c r="T96" s="59">
        <f t="shared" si="88"/>
        <v>471.13220915651465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101.74050274028171</v>
      </c>
      <c r="AA96" s="21">
        <f>EXP(-LN(2)/25)*AA95+(1-EXP(-LN(2)/25))/(LN(2)/25)*Calculateur!V96*Calculateur!X96*VLOOKUP('Données projet'!$B$9,Paramètres!$A$1:$I$89,3,0)*0.475*44/12</f>
        <v>20.599036316615862</v>
      </c>
      <c r="AB96" s="21">
        <f>EXP(-LN(2)/2)*AB95+(1-EXP(-LN(2)/2))/(LN(2)/2)*V96*Y96*VLOOKUP('Données projet'!$B$9,Paramètres!$A$1:$I$89,3,0)*0.475*44/12</f>
        <v>1.4168969942413161E-4</v>
      </c>
      <c r="AC96" s="22">
        <f t="shared" si="57"/>
        <v>122.339680746597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373.78622001879341</v>
      </c>
      <c r="T97" s="59">
        <f t="shared" si="88"/>
        <v>471.13220915651465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99.745433537123986</v>
      </c>
      <c r="AA97" s="21">
        <f>EXP(-LN(2)/25)*AA96+(1-EXP(-LN(2)/25))/(LN(2)/25)*Calculateur!V97*Calculateur!X97*VLOOKUP('Données projet'!$B$9,Paramètres!$A$1:$I$89,3,0)*0.475*44/12</f>
        <v>20.035754585281762</v>
      </c>
      <c r="AB97" s="21">
        <f>EXP(-LN(2)/2)*AB96+(1-EXP(-LN(2)/2))/(LN(2)/2)*V97*Y97*VLOOKUP('Données projet'!$B$9,Paramètres!$A$1:$I$89,3,0)*0.475*44/12</f>
        <v>1.0018974728708712E-4</v>
      </c>
      <c r="AC97" s="22">
        <f t="shared" si="57"/>
        <v>119.78128831215304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373.78622001879341</v>
      </c>
      <c r="T98" s="59">
        <f t="shared" si="88"/>
        <v>471.13220915651465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97.789486424168118</v>
      </c>
      <c r="AA98" s="21">
        <f>EXP(-LN(2)/25)*AA97+(1-EXP(-LN(2)/25))/(LN(2)/25)*Calculateur!V98*Calculateur!X98*VLOOKUP('Données projet'!$B$9,Paramètres!$A$1:$I$89,3,0)*0.475*44/12</f>
        <v>19.487875822512692</v>
      </c>
      <c r="AB98" s="21">
        <f>EXP(-LN(2)/2)*AB97+(1-EXP(-LN(2)/2))/(LN(2)/2)*V98*Y98*VLOOKUP('Données projet'!$B$9,Paramètres!$A$1:$I$89,3,0)*0.475*44/12</f>
        <v>7.0844849712065806E-5</v>
      </c>
      <c r="AC98" s="22">
        <f t="shared" si="57"/>
        <v>117.27743309153053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373.78622001879341</v>
      </c>
      <c r="T99" s="59">
        <f t="shared" si="88"/>
        <v>471.13220915651465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95.871894241087375</v>
      </c>
      <c r="AA99" s="21">
        <f>EXP(-LN(2)/25)*AA98+(1-EXP(-LN(2)/25))/(LN(2)/25)*Calculateur!V99*Calculateur!X99*VLOOKUP('Données projet'!$B$9,Paramètres!$A$1:$I$89,3,0)*0.475*44/12</f>
        <v>18.954978833323231</v>
      </c>
      <c r="AB99" s="21">
        <f>EXP(-LN(2)/2)*AB98+(1-EXP(-LN(2)/2))/(LN(2)/2)*V99*Y99*VLOOKUP('Données projet'!$B$9,Paramètres!$A$1:$I$89,3,0)*0.475*44/12</f>
        <v>5.0094873643543561E-5</v>
      </c>
      <c r="AC99" s="22">
        <f t="shared" si="57"/>
        <v>114.82692316928424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373.78622001879341</v>
      </c>
      <c r="T100" s="59">
        <f t="shared" si="88"/>
        <v>471.13220915651465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93.991904871101099</v>
      </c>
      <c r="AA100" s="21">
        <f>EXP(-LN(2)/25)*AA99+(1-EXP(-LN(2)/25))/(LN(2)/25)*Calculateur!V100*Calculateur!X100*VLOOKUP('Données projet'!$B$9,Paramètres!$A$1:$I$89,3,0)*0.475*44/12</f>
        <v>18.436653940326995</v>
      </c>
      <c r="AB100" s="21">
        <f>EXP(-LN(2)/2)*AB99+(1-EXP(-LN(2)/2))/(LN(2)/2)*V100*Y100*VLOOKUP('Données projet'!$B$9,Paramètres!$A$1:$I$89,3,0)*0.475*44/12</f>
        <v>3.5422424856032903E-5</v>
      </c>
      <c r="AC100" s="22">
        <f t="shared" si="57"/>
        <v>112.42859423385295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373.78622001879341</v>
      </c>
      <c r="T101" s="59">
        <f t="shared" si="88"/>
        <v>471.13220915651465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92.148780945979965</v>
      </c>
      <c r="AA101" s="21">
        <f>EXP(-LN(2)/25)*AA100+(1-EXP(-LN(2)/25))/(LN(2)/25)*Calculateur!V101*Calculateur!X101*VLOOKUP('Données projet'!$B$9,Paramètres!$A$1:$I$89,3,0)*0.475*44/12</f>
        <v>17.932502668787262</v>
      </c>
      <c r="AB101" s="21">
        <f>EXP(-LN(2)/2)*AB100+(1-EXP(-LN(2)/2))/(LN(2)/2)*V101*Y101*VLOOKUP('Données projet'!$B$9,Paramètres!$A$1:$I$89,3,0)*0.475*44/12</f>
        <v>2.5047436821771781E-5</v>
      </c>
      <c r="AC101" s="22">
        <f t="shared" si="57"/>
        <v>110.08130866220405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373.78622001879341</v>
      </c>
      <c r="T102" s="59">
        <f t="shared" si="88"/>
        <v>471.13220915651465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90.341799556835866</v>
      </c>
      <c r="AA102" s="21">
        <f>EXP(-LN(2)/25)*AA101+(1-EXP(-LN(2)/25))/(LN(2)/25)*Calculateur!V102*Calculateur!X102*VLOOKUP('Données projet'!$B$9,Paramètres!$A$1:$I$89,3,0)*0.475*44/12</f>
        <v>17.442137440279943</v>
      </c>
      <c r="AB102" s="21">
        <f>EXP(-LN(2)/2)*AB101+(1-EXP(-LN(2)/2))/(LN(2)/2)*V102*Y102*VLOOKUP('Données projet'!$B$9,Paramètres!$A$1:$I$89,3,0)*0.475*44/12</f>
        <v>1.7711212428016452E-5</v>
      </c>
      <c r="AC102" s="22">
        <f t="shared" si="57"/>
        <v>107.78395470832822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373.78622001879341</v>
      </c>
      <c r="T103" s="59">
        <f t="shared" si="88"/>
        <v>471.13220915651465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88.570251970583072</v>
      </c>
      <c r="AA103" s="21">
        <f>EXP(-LN(2)/25)*AA102+(1-EXP(-LN(2)/25))/(LN(2)/25)*Calculateur!V103*Calculateur!X103*VLOOKUP('Données projet'!$B$9,Paramètres!$A$1:$I$89,3,0)*0.475*44/12</f>
        <v>16.965181274733343</v>
      </c>
      <c r="AB103" s="21">
        <f>EXP(-LN(2)/2)*AB102+(1-EXP(-LN(2)/2))/(LN(2)/2)*V103*Y103*VLOOKUP('Données projet'!$B$9,Paramètres!$A$1:$I$89,3,0)*0.475*44/12</f>
        <v>1.252371841088589E-5</v>
      </c>
      <c r="AC103" s="22">
        <f t="shared" si="57"/>
        <v>105.53544576903482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373.78622001879341</v>
      </c>
      <c r="T104" s="59">
        <f t="shared" si="88"/>
        <v>471.13220915651465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86.83344335195936</v>
      </c>
      <c r="AA104" s="21">
        <f>EXP(-LN(2)/25)*AA103+(1-EXP(-LN(2)/25))/(LN(2)/25)*Calculateur!V104*Calculateur!X104*VLOOKUP('Données projet'!$B$9,Paramètres!$A$1:$I$89,3,0)*0.475*44/12</f>
        <v>16.501267500615651</v>
      </c>
      <c r="AB104" s="21">
        <f>EXP(-LN(2)/2)*AB103+(1-EXP(-LN(2)/2))/(LN(2)/2)*V104*Y104*VLOOKUP('Données projet'!$B$9,Paramètres!$A$1:$I$89,3,0)*0.475*44/12</f>
        <v>8.8556062140082258E-6</v>
      </c>
      <c r="AC104" s="22">
        <f t="shared" si="57"/>
        <v>103.33471970818123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373.78622001879341</v>
      </c>
      <c r="T105" s="59">
        <f t="shared" si="88"/>
        <v>471.13220915651465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85.1306924909982</v>
      </c>
      <c r="AA105" s="21">
        <f>EXP(-LN(2)/25)*AA104+(1-EXP(-LN(2)/25))/(LN(2)/25)*Calculateur!V105*Calculateur!X105*VLOOKUP('Données projet'!$B$9,Paramètres!$A$1:$I$89,3,0)*0.475*44/12</f>
        <v>16.050039473047374</v>
      </c>
      <c r="AB105" s="21">
        <f>EXP(-LN(2)/2)*AB104+(1-EXP(-LN(2)/2))/(LN(2)/2)*V105*Y105*VLOOKUP('Données projet'!$B$9,Paramètres!$A$1:$I$89,3,0)*0.475*44/12</f>
        <v>6.2618592054429451E-6</v>
      </c>
      <c r="AC105" s="22">
        <f t="shared" si="57"/>
        <v>101.18073822590479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373.78622001879341</v>
      </c>
      <c r="T106" s="59">
        <f t="shared" si="88"/>
        <v>471.13220915651465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83.461331535845019</v>
      </c>
      <c r="AA106" s="21">
        <f>EXP(-LN(2)/25)*AA105+(1-EXP(-LN(2)/25))/(LN(2)/25)*Calculateur!V106*Calculateur!X106*VLOOKUP('Données projet'!$B$9,Paramètres!$A$1:$I$89,3,0)*0.475*44/12</f>
        <v>15.611150299622</v>
      </c>
      <c r="AB106" s="21">
        <f>EXP(-LN(2)/2)*AB105+(1-EXP(-LN(2)/2))/(LN(2)/2)*V106*Y106*VLOOKUP('Données projet'!$B$9,Paramètres!$A$1:$I$89,3,0)*0.475*44/12</f>
        <v>4.4278031070041129E-6</v>
      </c>
      <c r="AC106" s="22">
        <f t="shared" si="57"/>
        <v>99.072486263270122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373.78622001879341</v>
      </c>
      <c r="T107" s="59">
        <f t="shared" si="88"/>
        <v>471.13220915651465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81.824705730812752</v>
      </c>
      <c r="AA107" s="21">
        <f>EXP(-LN(2)/25)*AA106+(1-EXP(-LN(2)/25))/(LN(2)/25)*Calculateur!V107*Calculateur!X107*VLOOKUP('Données projet'!$B$9,Paramètres!$A$1:$I$89,3,0)*0.475*44/12</f>
        <v>15.184262573724123</v>
      </c>
      <c r="AB107" s="21">
        <f>EXP(-LN(2)/2)*AB106+(1-EXP(-LN(2)/2))/(LN(2)/2)*V107*Y107*VLOOKUP('Données projet'!$B$9,Paramètres!$A$1:$I$89,3,0)*0.475*44/12</f>
        <v>3.1309296027214726E-6</v>
      </c>
      <c r="AC107" s="22">
        <f t="shared" si="57"/>
        <v>97.008971435466478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373.78622001879341</v>
      </c>
      <c r="T108" s="59">
        <f t="shared" si="88"/>
        <v>471.13220915651465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80.220173159573989</v>
      </c>
      <c r="AA108" s="21">
        <f>EXP(-LN(2)/25)*AA107+(1-EXP(-LN(2)/25))/(LN(2)/25)*Calculateur!V108*Calculateur!X108*VLOOKUP('Données projet'!$B$9,Paramètres!$A$1:$I$89,3,0)*0.475*44/12</f>
        <v>14.769048115139972</v>
      </c>
      <c r="AB108" s="21">
        <f>EXP(-LN(2)/2)*AB107+(1-EXP(-LN(2)/2))/(LN(2)/2)*V108*Y108*VLOOKUP('Données projet'!$B$9,Paramètres!$A$1:$I$89,3,0)*0.475*44/12</f>
        <v>2.2139015535020565E-6</v>
      </c>
      <c r="AC108" s="22">
        <f t="shared" si="57"/>
        <v>94.989223488615508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373.78622001879341</v>
      </c>
      <c r="T109" s="59">
        <f t="shared" si="88"/>
        <v>471.13220915651465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78.64710449338898</v>
      </c>
      <c r="AA109" s="21">
        <f>EXP(-LN(2)/25)*AA108+(1-EXP(-LN(2)/25))/(LN(2)/25)*Calculateur!V109*Calculateur!X109*VLOOKUP('Données projet'!$B$9,Paramètres!$A$1:$I$89,3,0)*0.475*44/12</f>
        <v>14.365187717760984</v>
      </c>
      <c r="AB109" s="21">
        <f>EXP(-LN(2)/2)*AB108+(1-EXP(-LN(2)/2))/(LN(2)/2)*V109*Y109*VLOOKUP('Données projet'!$B$9,Paramètres!$A$1:$I$89,3,0)*0.475*44/12</f>
        <v>1.5654648013607363E-6</v>
      </c>
      <c r="AC109" s="22">
        <f t="shared" si="57"/>
        <v>93.012293776614769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373.78622001879341</v>
      </c>
      <c r="T110" s="59">
        <f t="shared" si="88"/>
        <v>471.13220915651465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77.104882744270725</v>
      </c>
      <c r="AA110" s="21">
        <f>EXP(-LN(2)/25)*AA109+(1-EXP(-LN(2)/25))/(LN(2)/25)*Calculateur!V110*Calculateur!X110*VLOOKUP('Données projet'!$B$9,Paramètres!$A$1:$I$89,3,0)*0.475*44/12</f>
        <v>13.97237090418642</v>
      </c>
      <c r="AB110" s="21">
        <f>EXP(-LN(2)/2)*AB109+(1-EXP(-LN(2)/2))/(LN(2)/2)*V110*Y110*VLOOKUP('Données projet'!$B$9,Paramètres!$A$1:$I$89,3,0)*0.475*44/12</f>
        <v>1.1069507767510282E-6</v>
      </c>
      <c r="AC110" s="22">
        <f t="shared" si="57"/>
        <v>91.077254755407921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373.78622001879341</v>
      </c>
      <c r="T111" s="59">
        <f t="shared" si="88"/>
        <v>471.13220915651465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75.592903022990285</v>
      </c>
      <c r="AA111" s="21">
        <f>EXP(-LN(2)/25)*AA110+(1-EXP(-LN(2)/25))/(LN(2)/25)*Calculateur!V111*Calculateur!X111*VLOOKUP('Données projet'!$B$9,Paramètres!$A$1:$I$89,3,0)*0.475*44/12</f>
        <v>13.59029568703639</v>
      </c>
      <c r="AB111" s="21">
        <f>EXP(-LN(2)/2)*AB110+(1-EXP(-LN(2)/2))/(LN(2)/2)*V111*Y111*VLOOKUP('Données projet'!$B$9,Paramètres!$A$1:$I$89,3,0)*0.475*44/12</f>
        <v>7.8273240068036814E-7</v>
      </c>
      <c r="AC111" s="22">
        <f t="shared" si="57"/>
        <v>89.183199492759073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373.78622001879341</v>
      </c>
      <c r="T112" s="59">
        <f t="shared" si="88"/>
        <v>471.13220915651465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74.110572301827588</v>
      </c>
      <c r="AA112" s="21">
        <f>EXP(-LN(2)/25)*AA111+(1-EXP(-LN(2)/25))/(LN(2)/25)*Calculateur!V112*Calculateur!X112*VLOOKUP('Données projet'!$B$9,Paramètres!$A$1:$I$89,3,0)*0.475*44/12</f>
        <v>13.21866833679179</v>
      </c>
      <c r="AB112" s="21">
        <f>EXP(-LN(2)/2)*AB111+(1-EXP(-LN(2)/2))/(LN(2)/2)*V112*Y112*VLOOKUP('Données projet'!$B$9,Paramètres!$A$1:$I$89,3,0)*0.475*44/12</f>
        <v>5.5347538837551411E-7</v>
      </c>
      <c r="AC112" s="22">
        <f t="shared" si="57"/>
        <v>87.32924119209477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373.78622001879341</v>
      </c>
      <c r="T113" s="59">
        <f t="shared" si="88"/>
        <v>471.13220915651465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72.657309181974426</v>
      </c>
      <c r="AA113" s="21">
        <f>EXP(-LN(2)/25)*AA112+(1-EXP(-LN(2)/25))/(LN(2)/25)*Calculateur!V113*Calculateur!X113*VLOOKUP('Données projet'!$B$9,Paramètres!$A$1:$I$89,3,0)*0.475*44/12</f>
        <v>12.857203155982662</v>
      </c>
      <c r="AB113" s="21">
        <f>EXP(-LN(2)/2)*AB112+(1-EXP(-LN(2)/2))/(LN(2)/2)*V113*Y113*VLOOKUP('Données projet'!$B$9,Paramètres!$A$1:$I$89,3,0)*0.475*44/12</f>
        <v>3.9136620034018407E-7</v>
      </c>
      <c r="AC113" s="22">
        <f t="shared" si="57"/>
        <v>85.514512729323286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373.78622001879341</v>
      </c>
      <c r="T114" s="59">
        <f t="shared" si="88"/>
        <v>471.13220915651465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71.232543665498611</v>
      </c>
      <c r="AA114" s="21">
        <f>EXP(-LN(2)/25)*AA113+(1-EXP(-LN(2)/25))/(LN(2)/25)*Calculateur!V114*Calculateur!X114*VLOOKUP('Données projet'!$B$9,Paramètres!$A$1:$I$89,3,0)*0.475*44/12</f>
        <v>12.505622259551387</v>
      </c>
      <c r="AB114" s="21">
        <f>EXP(-LN(2)/2)*AB113+(1-EXP(-LN(2)/2))/(LN(2)/2)*V114*Y114*VLOOKUP('Données projet'!$B$9,Paramètres!$A$1:$I$89,3,0)*0.475*44/12</f>
        <v>2.7673769418775706E-7</v>
      </c>
      <c r="AC114" s="22">
        <f t="shared" si="57"/>
        <v>83.738166201787692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373.78622001879341</v>
      </c>
      <c r="T115" s="59">
        <f t="shared" si="88"/>
        <v>471.13220915651465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69.835716931779729</v>
      </c>
      <c r="AA115" s="21">
        <f>EXP(-LN(2)/25)*AA114+(1-EXP(-LN(2)/25))/(LN(2)/25)*Calculateur!V115*Calculateur!X115*VLOOKUP('Données projet'!$B$9,Paramètres!$A$1:$I$89,3,0)*0.475*44/12</f>
        <v>12.163655361221862</v>
      </c>
      <c r="AB115" s="21">
        <f>EXP(-LN(2)/2)*AB114+(1-EXP(-LN(2)/2))/(LN(2)/2)*V115*Y115*VLOOKUP('Données projet'!$B$9,Paramètres!$A$1:$I$89,3,0)*0.475*44/12</f>
        <v>1.9568310017009204E-7</v>
      </c>
      <c r="AC115" s="22">
        <f t="shared" si="57"/>
        <v>81.999372488684685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373.78622001879341</v>
      </c>
      <c r="T116" s="59">
        <f t="shared" si="88"/>
        <v>471.13220915651465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68.466281118328894</v>
      </c>
      <c r="AA116" s="21">
        <f>EXP(-LN(2)/25)*AA115+(1-EXP(-LN(2)/25))/(LN(2)/25)*Calculateur!V116*Calculateur!X116*VLOOKUP('Données projet'!$B$9,Paramètres!$A$1:$I$89,3,0)*0.475*44/12</f>
        <v>11.831039565710414</v>
      </c>
      <c r="AB116" s="21">
        <f>EXP(-LN(2)/2)*AB115+(1-EXP(-LN(2)/2))/(LN(2)/2)*V116*Y116*VLOOKUP('Données projet'!$B$9,Paramètres!$A$1:$I$89,3,0)*0.475*44/12</f>
        <v>1.3836884709387853E-7</v>
      </c>
      <c r="AC116" s="22">
        <f t="shared" si="57"/>
        <v>80.297320822408153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373.78622001879341</v>
      </c>
      <c r="T117" s="59">
        <f t="shared" si="88"/>
        <v>471.13220915651465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67.123699105906454</v>
      </c>
      <c r="AA117" s="21">
        <f>EXP(-LN(2)/25)*AA116+(1-EXP(-LN(2)/25))/(LN(2)/25)*Calculateur!V117*Calculateur!X117*VLOOKUP('Données projet'!$B$9,Paramètres!$A$1:$I$89,3,0)*0.475*44/12</f>
        <v>11.507519166618732</v>
      </c>
      <c r="AB117" s="21">
        <f>EXP(-LN(2)/2)*AB116+(1-EXP(-LN(2)/2))/(LN(2)/2)*V117*Y117*VLOOKUP('Données projet'!$B$9,Paramètres!$A$1:$I$89,3,0)*0.475*44/12</f>
        <v>9.7841550085046018E-8</v>
      </c>
      <c r="AC117" s="22">
        <f t="shared" si="57"/>
        <v>78.631218370366739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373.78622001879341</v>
      </c>
      <c r="T118" s="59">
        <f t="shared" si="88"/>
        <v>471.13220915651465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65.807444307853459</v>
      </c>
      <c r="AA118" s="21">
        <f>EXP(-LN(2)/25)*AA117+(1-EXP(-LN(2)/25))/(LN(2)/25)*Calculateur!V118*Calculateur!X118*VLOOKUP('Données projet'!$B$9,Paramètres!$A$1:$I$89,3,0)*0.475*44/12</f>
        <v>11.19284544985341</v>
      </c>
      <c r="AB118" s="21">
        <f>EXP(-LN(2)/2)*AB117+(1-EXP(-LN(2)/2))/(LN(2)/2)*V118*Y118*VLOOKUP('Données projet'!$B$9,Paramètres!$A$1:$I$89,3,0)*0.475*44/12</f>
        <v>6.9184423546939264E-8</v>
      </c>
      <c r="AC118" s="22">
        <f t="shared" si="57"/>
        <v>77.00028982689129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373.78622001879341</v>
      </c>
      <c r="T119" s="59">
        <f t="shared" si="88"/>
        <v>471.13220915651465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64.517000463554126</v>
      </c>
      <c r="AA119" s="21">
        <f>EXP(-LN(2)/25)*AA118+(1-EXP(-LN(2)/25))/(LN(2)/25)*Calculateur!V119*Calculateur!X119*VLOOKUP('Données projet'!$B$9,Paramètres!$A$1:$I$89,3,0)*0.475*44/12</f>
        <v>10.886776502421007</v>
      </c>
      <c r="AB119" s="21">
        <f>EXP(-LN(2)/2)*AB118+(1-EXP(-LN(2)/2))/(LN(2)/2)*V119*Y119*VLOOKUP('Données projet'!$B$9,Paramètres!$A$1:$I$89,3,0)*0.475*44/12</f>
        <v>4.8920775042523009E-8</v>
      </c>
      <c r="AC119" s="22">
        <f t="shared" si="57"/>
        <v>75.403777014895923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373.78622001879341</v>
      </c>
      <c r="T120" s="59">
        <f t="shared" si="88"/>
        <v>471.13220915651465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63.251861435948477</v>
      </c>
      <c r="AA120" s="21">
        <f>EXP(-LN(2)/25)*AA119+(1-EXP(-LN(2)/25))/(LN(2)/25)*Calculateur!V120*Calculateur!X120*VLOOKUP('Données projet'!$B$9,Paramètres!$A$1:$I$89,3,0)*0.475*44/12</f>
        <v>10.58907702645161</v>
      </c>
      <c r="AB120" s="21">
        <f>EXP(-LN(2)/2)*AB119+(1-EXP(-LN(2)/2))/(LN(2)/2)*V120*Y120*VLOOKUP('Données projet'!$B$9,Paramètres!$A$1:$I$89,3,0)*0.475*44/12</f>
        <v>3.4592211773469632E-8</v>
      </c>
      <c r="AC120" s="22">
        <f t="shared" si="57"/>
        <v>73.840938496992308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373.78622001879341</v>
      </c>
      <c r="T121" s="59">
        <f t="shared" si="88"/>
        <v>471.13220915651465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62.011531013015563</v>
      </c>
      <c r="AA121" s="21">
        <f>EXP(-LN(2)/25)*AA120+(1-EXP(-LN(2)/25))/(LN(2)/25)*Calculateur!V121*Calculateur!X121*VLOOKUP('Données projet'!$B$9,Paramètres!$A$1:$I$89,3,0)*0.475*44/12</f>
        <v>10.299518158307931</v>
      </c>
      <c r="AB121" s="21">
        <f>EXP(-LN(2)/2)*AB120+(1-EXP(-LN(2)/2))/(LN(2)/2)*V121*Y121*VLOOKUP('Données projet'!$B$9,Paramètres!$A$1:$I$89,3,0)*0.475*44/12</f>
        <v>2.4460387521261504E-8</v>
      </c>
      <c r="AC121" s="22">
        <f t="shared" si="57"/>
        <v>72.31104919578388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373.78622001879341</v>
      </c>
      <c r="T122" s="59">
        <f t="shared" si="88"/>
        <v>471.13220915651465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60.795522713149502</v>
      </c>
      <c r="AA122" s="21">
        <f>EXP(-LN(2)/25)*AA121+(1-EXP(-LN(2)/25))/(LN(2)/25)*Calculateur!V122*Calculateur!X122*VLOOKUP('Données projet'!$B$9,Paramètres!$A$1:$I$89,3,0)*0.475*44/12</f>
        <v>10.017877292640881</v>
      </c>
      <c r="AB122" s="21">
        <f>EXP(-LN(2)/2)*AB121+(1-EXP(-LN(2)/2))/(LN(2)/2)*V122*Y122*VLOOKUP('Données projet'!$B$9,Paramètres!$A$1:$I$89,3,0)*0.475*44/12</f>
        <v>1.7296105886734816E-8</v>
      </c>
      <c r="AC122" s="22">
        <f t="shared" si="57"/>
        <v>70.813400023086487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373.78622001879341</v>
      </c>
      <c r="T123" s="59">
        <f t="shared" si="88"/>
        <v>471.13220915651465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59.603359594351993</v>
      </c>
      <c r="AA123" s="21">
        <f>EXP(-LN(2)/25)*AA122+(1-EXP(-LN(2)/25))/(LN(2)/25)*Calculateur!V123*Calculateur!X123*VLOOKUP('Données projet'!$B$9,Paramètres!$A$1:$I$89,3,0)*0.475*44/12</f>
        <v>9.7439379112563458</v>
      </c>
      <c r="AB123" s="21">
        <f>EXP(-LN(2)/2)*AB122+(1-EXP(-LN(2)/2))/(LN(2)/2)*V123*Y123*VLOOKUP('Données projet'!$B$9,Paramètres!$A$1:$I$89,3,0)*0.475*44/12</f>
        <v>1.2230193760630752E-8</v>
      </c>
      <c r="AC123" s="22">
        <f t="shared" si="57"/>
        <v>69.347297517838527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373.78622001879341</v>
      </c>
      <c r="T124" s="59">
        <f t="shared" si="88"/>
        <v>471.13220915651465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58.434574067166395</v>
      </c>
      <c r="AA124" s="21">
        <f>EXP(-LN(2)/25)*AA123+(1-EXP(-LN(2)/25))/(LN(2)/25)*Calculateur!V124*Calculateur!X124*VLOOKUP('Données projet'!$B$9,Paramètres!$A$1:$I$89,3,0)*0.475*44/12</f>
        <v>9.4774894166616157</v>
      </c>
      <c r="AB124" s="21">
        <f>EXP(-LN(2)/2)*AB123+(1-EXP(-LN(2)/2))/(LN(2)/2)*V124*Y124*VLOOKUP('Données projet'!$B$9,Paramètres!$A$1:$I$89,3,0)*0.475*44/12</f>
        <v>8.648052943367408E-9</v>
      </c>
      <c r="AC124" s="22">
        <f t="shared" si="57"/>
        <v>67.912063492476065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373.78622001879341</v>
      </c>
      <c r="T125" s="59">
        <f t="shared" si="88"/>
        <v>471.13220915651465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57.288707711280132</v>
      </c>
      <c r="AA125" s="21">
        <f>EXP(-LN(2)/25)*AA124+(1-EXP(-LN(2)/25))/(LN(2)/25)*Calculateur!V125*Calculateur!X125*VLOOKUP('Données projet'!$B$9,Paramètres!$A$1:$I$89,3,0)*0.475*44/12</f>
        <v>9.2183269701634973</v>
      </c>
      <c r="AB125" s="21">
        <f>EXP(-LN(2)/2)*AB124+(1-EXP(-LN(2)/2))/(LN(2)/2)*V125*Y125*VLOOKUP('Données projet'!$B$9,Paramètres!$A$1:$I$89,3,0)*0.475*44/12</f>
        <v>6.1150968803153761E-9</v>
      </c>
      <c r="AC125" s="22">
        <f t="shared" si="57"/>
        <v>66.507034687558729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373.78622001879341</v>
      </c>
      <c r="T126" s="59">
        <f t="shared" si="88"/>
        <v>471.13220915651465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56.165311095723332</v>
      </c>
      <c r="AA126" s="21">
        <f>EXP(-LN(2)/25)*AA125+(1-EXP(-LN(2)/25))/(LN(2)/25)*Calculateur!V126*Calculateur!X126*VLOOKUP('Données projet'!$B$9,Paramètres!$A$1:$I$89,3,0)*0.475*44/12</f>
        <v>8.9662513343936308</v>
      </c>
      <c r="AB126" s="21">
        <f>EXP(-LN(2)/2)*AB125+(1-EXP(-LN(2)/2))/(LN(2)/2)*V126*Y126*VLOOKUP('Données projet'!$B$9,Paramètres!$A$1:$I$89,3,0)*0.475*44/12</f>
        <v>4.324026471683704E-9</v>
      </c>
      <c r="AC126" s="22">
        <f t="shared" si="57"/>
        <v>65.13156243444098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373.78622001879341</v>
      </c>
      <c r="T127" s="59">
        <f t="shared" si="88"/>
        <v>471.13220915651465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55.063943602593326</v>
      </c>
      <c r="AA127" s="21">
        <f>EXP(-LN(2)/25)*AA126+(1-EXP(-LN(2)/25))/(LN(2)/25)*Calculateur!V127*Calculateur!X127*VLOOKUP('Données projet'!$B$9,Paramètres!$A$1:$I$89,3,0)*0.475*44/12</f>
        <v>8.7210687201399715</v>
      </c>
      <c r="AB127" s="21">
        <f>EXP(-LN(2)/2)*AB126+(1-EXP(-LN(2)/2))/(LN(2)/2)*V127*Y127*VLOOKUP('Données projet'!$B$9,Paramètres!$A$1:$I$89,3,0)*0.475*44/12</f>
        <v>3.0575484401576881E-9</v>
      </c>
      <c r="AC127" s="22">
        <f t="shared" si="57"/>
        <v>63.785012325790845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373.78622001879341</v>
      </c>
      <c r="T128" s="59">
        <f t="shared" si="88"/>
        <v>471.13220915651465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53.984173254235756</v>
      </c>
      <c r="AA128" s="21">
        <f>EXP(-LN(2)/25)*AA127+(1-EXP(-LN(2)/25))/(LN(2)/25)*Calculateur!V128*Calculateur!X128*VLOOKUP('Données projet'!$B$9,Paramètres!$A$1:$I$89,3,0)*0.475*44/12</f>
        <v>8.4825906373666715</v>
      </c>
      <c r="AB128" s="21">
        <f>EXP(-LN(2)/2)*AB127+(1-EXP(-LN(2)/2))/(LN(2)/2)*V128*Y128*VLOOKUP('Données projet'!$B$9,Paramètres!$A$1:$I$89,3,0)*0.475*44/12</f>
        <v>2.162013235841852E-9</v>
      </c>
      <c r="AC128" s="22">
        <f t="shared" si="57"/>
        <v>62.466763893764437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373.78622001879341</v>
      </c>
      <c r="T129" s="59">
        <f t="shared" si="88"/>
        <v>471.13220915651465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52.9255765438146</v>
      </c>
      <c r="AA129" s="21">
        <f>EXP(-LN(2)/25)*AA128+(1-EXP(-LN(2)/25))/(LN(2)/25)*Calculateur!V129*Calculateur!X129*VLOOKUP('Données projet'!$B$9,Paramètres!$A$1:$I$89,3,0)*0.475*44/12</f>
        <v>8.2506337503078253</v>
      </c>
      <c r="AB129" s="21">
        <f>EXP(-LN(2)/2)*AB128+(1-EXP(-LN(2)/2))/(LN(2)/2)*V129*Y129*VLOOKUP('Données projet'!$B$9,Paramètres!$A$1:$I$89,3,0)*0.475*44/12</f>
        <v>1.528774220078844E-9</v>
      </c>
      <c r="AC129" s="22">
        <f t="shared" si="57"/>
        <v>61.176210295651202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373.78622001879341</v>
      </c>
      <c r="T130" s="59">
        <f t="shared" si="88"/>
        <v>471.13220915651465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51.887738269204561</v>
      </c>
      <c r="AA130" s="21">
        <f>EXP(-LN(2)/25)*AA129+(1-EXP(-LN(2)/25))/(LN(2)/25)*Calculateur!V130*Calculateur!X130*VLOOKUP('Données projet'!$B$9,Paramètres!$A$1:$I$89,3,0)*0.475*44/12</f>
        <v>8.0250197365236868</v>
      </c>
      <c r="AB130" s="21">
        <f>EXP(-LN(2)/2)*AB129+(1-EXP(-LN(2)/2))/(LN(2)/2)*V130*Y130*VLOOKUP('Données projet'!$B$9,Paramètres!$A$1:$I$89,3,0)*0.475*44/12</f>
        <v>1.081006617920926E-9</v>
      </c>
      <c r="AC130" s="22">
        <f t="shared" si="57"/>
        <v>59.912758006809256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373.78622001879341</v>
      </c>
      <c r="T131" s="59">
        <f t="shared" si="88"/>
        <v>471.13220915651465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50.870251370140785</v>
      </c>
      <c r="AA131" s="21">
        <f>EXP(-LN(2)/25)*AA130+(1-EXP(-LN(2)/25))/(LN(2)/25)*Calculateur!V131*Calculateur!X131*VLOOKUP('Données projet'!$B$9,Paramètres!$A$1:$I$89,3,0)*0.475*44/12</f>
        <v>7.8055751498110002</v>
      </c>
      <c r="AB131" s="21">
        <f>EXP(-LN(2)/2)*AB130+(1-EXP(-LN(2)/2))/(LN(2)/2)*V131*Y131*VLOOKUP('Données projet'!$B$9,Paramètres!$A$1:$I$89,3,0)*0.475*44/12</f>
        <v>7.6438711003942201E-10</v>
      </c>
      <c r="AC131" s="22">
        <f t="shared" si="57"/>
        <v>58.675826520716171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373.78622001879341</v>
      </c>
      <c r="T132" s="59">
        <f t="shared" si="88"/>
        <v>471.13220915651465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49.872716768561922</v>
      </c>
      <c r="AA132" s="21">
        <f>EXP(-LN(2)/25)*AA131+(1-EXP(-LN(2)/25))/(LN(2)/25)*Calculateur!V132*Calculateur!X132*VLOOKUP('Données projet'!$B$9,Paramètres!$A$1:$I$89,3,0)*0.475*44/12</f>
        <v>7.5921312868620614</v>
      </c>
      <c r="AB132" s="21">
        <f>EXP(-LN(2)/2)*AB131+(1-EXP(-LN(2)/2))/(LN(2)/2)*V132*Y132*VLOOKUP('Données projet'!$B$9,Paramètres!$A$1:$I$89,3,0)*0.475*44/12</f>
        <v>5.40503308960463E-10</v>
      </c>
      <c r="AC132" s="22">
        <f t="shared" ref="AC132:AC153" si="111">SUM(Z132:AB132)</f>
        <v>57.464848055964488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373.78622001879341</v>
      </c>
      <c r="T133" s="59">
        <f t="shared" ref="T133:T196" si="142">$T$3</f>
        <v>471.13220915651465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48.894743212083988</v>
      </c>
      <c r="AA133" s="21">
        <f>EXP(-LN(2)/25)*AA132+(1-EXP(-LN(2)/25))/(LN(2)/25)*Calculateur!V133*Calculateur!X133*VLOOKUP('Données projet'!$B$9,Paramètres!$A$1:$I$89,3,0)*0.475*44/12</f>
        <v>7.384524057569986</v>
      </c>
      <c r="AB133" s="21">
        <f>EXP(-LN(2)/2)*AB132+(1-EXP(-LN(2)/2))/(LN(2)/2)*V133*Y133*VLOOKUP('Données projet'!$B$9,Paramètres!$A$1:$I$89,3,0)*0.475*44/12</f>
        <v>3.8219355501971101E-10</v>
      </c>
      <c r="AC133" s="22">
        <f t="shared" si="111"/>
        <v>56.279267270036165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373.78622001879341</v>
      </c>
      <c r="T134" s="59">
        <f t="shared" si="142"/>
        <v>471.13220915651465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47.935947120543617</v>
      </c>
      <c r="AA134" s="21">
        <f>EXP(-LN(2)/25)*AA133+(1-EXP(-LN(2)/25))/(LN(2)/25)*Calculateur!V134*Calculateur!X134*VLOOKUP('Données projet'!$B$9,Paramètres!$A$1:$I$89,3,0)*0.475*44/12</f>
        <v>7.1825938588804918</v>
      </c>
      <c r="AB134" s="21">
        <f>EXP(-LN(2)/2)*AB133+(1-EXP(-LN(2)/2))/(LN(2)/2)*V134*Y134*VLOOKUP('Données projet'!$B$9,Paramètres!$A$1:$I$89,3,0)*0.475*44/12</f>
        <v>2.702516544802315E-10</v>
      </c>
      <c r="AC134" s="22">
        <f t="shared" si="111"/>
        <v>55.118540979694366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373.78622001879341</v>
      </c>
      <c r="T135" s="59">
        <f t="shared" si="142"/>
        <v>471.13220915651465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46.995952435550485</v>
      </c>
      <c r="AA135" s="21">
        <f>EXP(-LN(2)/25)*AA134+(1-EXP(-LN(2)/25))/(LN(2)/25)*Calculateur!V135*Calculateur!X135*VLOOKUP('Données projet'!$B$9,Paramètres!$A$1:$I$89,3,0)*0.475*44/12</f>
        <v>6.9861854520932098</v>
      </c>
      <c r="AB135" s="21">
        <f>EXP(-LN(2)/2)*AB134+(1-EXP(-LN(2)/2))/(LN(2)/2)*V135*Y135*VLOOKUP('Données projet'!$B$9,Paramètres!$A$1:$I$89,3,0)*0.475*44/12</f>
        <v>1.910967775098555E-10</v>
      </c>
      <c r="AC135" s="22">
        <f t="shared" si="111"/>
        <v>53.982137887834789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373.78622001879341</v>
      </c>
      <c r="T136" s="59">
        <f t="shared" si="142"/>
        <v>471.13220915651465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46.074390472989919</v>
      </c>
      <c r="AA136" s="21">
        <f>EXP(-LN(2)/25)*AA135+(1-EXP(-LN(2)/25))/(LN(2)/25)*Calculateur!V136*Calculateur!X136*VLOOKUP('Données projet'!$B$9,Paramètres!$A$1:$I$89,3,0)*0.475*44/12</f>
        <v>6.7951478435181949</v>
      </c>
      <c r="AB136" s="21">
        <f>EXP(-LN(2)/2)*AB135+(1-EXP(-LN(2)/2))/(LN(2)/2)*V136*Y136*VLOOKUP('Données projet'!$B$9,Paramètres!$A$1:$I$89,3,0)*0.475*44/12</f>
        <v>1.3512582724011575E-10</v>
      </c>
      <c r="AC136" s="22">
        <f t="shared" si="111"/>
        <v>52.869538316643236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373.78622001879341</v>
      </c>
      <c r="T137" s="59">
        <f t="shared" si="142"/>
        <v>471.13220915651465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45.170899778417876</v>
      </c>
      <c r="AA137" s="21">
        <f>EXP(-LN(2)/25)*AA136+(1-EXP(-LN(2)/25))/(LN(2)/25)*Calculateur!V137*Calculateur!X137*VLOOKUP('Données projet'!$B$9,Paramètres!$A$1:$I$89,3,0)*0.475*44/12</f>
        <v>6.609334168395895</v>
      </c>
      <c r="AB137" s="21">
        <f>EXP(-LN(2)/2)*AB136+(1-EXP(-LN(2)/2))/(LN(2)/2)*V137*Y137*VLOOKUP('Données projet'!$B$9,Paramètres!$A$1:$I$89,3,0)*0.475*44/12</f>
        <v>9.5548388754927752E-11</v>
      </c>
      <c r="AC137" s="22">
        <f t="shared" si="111"/>
        <v>51.78023394690932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373.78622001879341</v>
      </c>
      <c r="T138" s="59">
        <f t="shared" si="142"/>
        <v>471.13220915651465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44.285125985291479</v>
      </c>
      <c r="AA138" s="21">
        <f>EXP(-LN(2)/25)*AA137+(1-EXP(-LN(2)/25))/(LN(2)/25)*Calculateur!V138*Calculateur!X138*VLOOKUP('Données projet'!$B$9,Paramètres!$A$1:$I$89,3,0)*0.475*44/12</f>
        <v>6.4286015779913308</v>
      </c>
      <c r="AB138" s="21">
        <f>EXP(-LN(2)/2)*AB137+(1-EXP(-LN(2)/2))/(LN(2)/2)*V138*Y138*VLOOKUP('Données projet'!$B$9,Paramètres!$A$1:$I$89,3,0)*0.475*44/12</f>
        <v>6.7562913620057875E-11</v>
      </c>
      <c r="AC138" s="22">
        <f t="shared" si="111"/>
        <v>50.713727563350375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373.78622001879341</v>
      </c>
      <c r="T139" s="59">
        <f t="shared" si="142"/>
        <v>471.13220915651465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43.416721675979623</v>
      </c>
      <c r="AA139" s="21">
        <f>EXP(-LN(2)/25)*AA138+(1-EXP(-LN(2)/25))/(LN(2)/25)*Calculateur!V139*Calculateur!X139*VLOOKUP('Données projet'!$B$9,Paramètres!$A$1:$I$89,3,0)*0.475*44/12</f>
        <v>6.2528111297756936</v>
      </c>
      <c r="AB139" s="21">
        <f>EXP(-LN(2)/2)*AB138+(1-EXP(-LN(2)/2))/(LN(2)/2)*V139*Y139*VLOOKUP('Données projet'!$B$9,Paramètres!$A$1:$I$89,3,0)*0.475*44/12</f>
        <v>4.7774194377463876E-11</v>
      </c>
      <c r="AC139" s="22">
        <f t="shared" si="111"/>
        <v>49.669532805803094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373.78622001879341</v>
      </c>
      <c r="T140" s="59">
        <f t="shared" si="142"/>
        <v>471.13220915651465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42.565346245499043</v>
      </c>
      <c r="AA140" s="21">
        <f>EXP(-LN(2)/25)*AA139+(1-EXP(-LN(2)/25))/(LN(2)/25)*Calculateur!V140*Calculateur!X140*VLOOKUP('Données projet'!$B$9,Paramètres!$A$1:$I$89,3,0)*0.475*44/12</f>
        <v>6.0818276806109308</v>
      </c>
      <c r="AB140" s="21">
        <f>EXP(-LN(2)/2)*AB139+(1-EXP(-LN(2)/2))/(LN(2)/2)*V140*Y140*VLOOKUP('Données projet'!$B$9,Paramètres!$A$1:$I$89,3,0)*0.475*44/12</f>
        <v>3.3781456810028938E-11</v>
      </c>
      <c r="AC140" s="22">
        <f t="shared" si="111"/>
        <v>48.647173926143751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373.78622001879341</v>
      </c>
      <c r="T141" s="59">
        <f t="shared" si="142"/>
        <v>471.13220915651465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41.730665767922453</v>
      </c>
      <c r="AA141" s="21">
        <f>EXP(-LN(2)/25)*AA140+(1-EXP(-LN(2)/25))/(LN(2)/25)*Calculateur!V141*Calculateur!X141*VLOOKUP('Données projet'!$B$9,Paramètres!$A$1:$I$89,3,0)*0.475*44/12</f>
        <v>5.9155197828552071</v>
      </c>
      <c r="AB141" s="21">
        <f>EXP(-LN(2)/2)*AB140+(1-EXP(-LN(2)/2))/(LN(2)/2)*V141*Y141*VLOOKUP('Données projet'!$B$9,Paramètres!$A$1:$I$89,3,0)*0.475*44/12</f>
        <v>2.3887097188731938E-11</v>
      </c>
      <c r="AC141" s="22">
        <f t="shared" si="111"/>
        <v>47.646185550801547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373.78622001879341</v>
      </c>
      <c r="T142" s="59">
        <f t="shared" si="142"/>
        <v>471.13220915651465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40.912352865406319</v>
      </c>
      <c r="AA142" s="21">
        <f>EXP(-LN(2)/25)*AA141+(1-EXP(-LN(2)/25))/(LN(2)/25)*Calculateur!V142*Calculateur!X142*VLOOKUP('Données projet'!$B$9,Paramètres!$A$1:$I$89,3,0)*0.475*44/12</f>
        <v>5.7537595833093658</v>
      </c>
      <c r="AB142" s="21">
        <f>EXP(-LN(2)/2)*AB141+(1-EXP(-LN(2)/2))/(LN(2)/2)*V142*Y142*VLOOKUP('Données projet'!$B$9,Paramètres!$A$1:$I$89,3,0)*0.475*44/12</f>
        <v>1.6890728405014469E-11</v>
      </c>
      <c r="AC142" s="22">
        <f t="shared" si="111"/>
        <v>46.666112448732576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373.78622001879341</v>
      </c>
      <c r="T143" s="59">
        <f t="shared" si="142"/>
        <v>471.13220915651465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40.110086579786937</v>
      </c>
      <c r="AA143" s="21">
        <f>EXP(-LN(2)/25)*AA142+(1-EXP(-LN(2)/25))/(LN(2)/25)*Calculateur!V143*Calculateur!X143*VLOOKUP('Données projet'!$B$9,Paramètres!$A$1:$I$89,3,0)*0.475*44/12</f>
        <v>5.5964227249267049</v>
      </c>
      <c r="AB143" s="21">
        <f>EXP(-LN(2)/2)*AB142+(1-EXP(-LN(2)/2))/(LN(2)/2)*V143*Y143*VLOOKUP('Données projet'!$B$9,Paramètres!$A$1:$I$89,3,0)*0.475*44/12</f>
        <v>1.1943548594365969E-11</v>
      </c>
      <c r="AC143" s="22">
        <f t="shared" si="111"/>
        <v>45.706509304725586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373.78622001879341</v>
      </c>
      <c r="T144" s="59">
        <f t="shared" si="142"/>
        <v>471.13220915651465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39.32355224669444</v>
      </c>
      <c r="AA144" s="21">
        <f>EXP(-LN(2)/25)*AA143+(1-EXP(-LN(2)/25))/(LN(2)/25)*Calculateur!V144*Calculateur!X144*VLOOKUP('Données projet'!$B$9,Paramètres!$A$1:$I$89,3,0)*0.475*44/12</f>
        <v>5.4433882512105036</v>
      </c>
      <c r="AB144" s="21">
        <f>EXP(-LN(2)/2)*AB143+(1-EXP(-LN(2)/2))/(LN(2)/2)*V144*Y144*VLOOKUP('Données projet'!$B$9,Paramètres!$A$1:$I$89,3,0)*0.475*44/12</f>
        <v>8.4453642025072344E-12</v>
      </c>
      <c r="AC144" s="22">
        <f t="shared" si="111"/>
        <v>44.766940497913389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373.78622001879341</v>
      </c>
      <c r="T145" s="59">
        <f t="shared" si="142"/>
        <v>471.13220915651465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38.552441372135313</v>
      </c>
      <c r="AA145" s="21">
        <f>EXP(-LN(2)/25)*AA144+(1-EXP(-LN(2)/25))/(LN(2)/25)*Calculateur!V145*Calculateur!X145*VLOOKUP('Données projet'!$B$9,Paramètres!$A$1:$I$89,3,0)*0.475*44/12</f>
        <v>5.2945385132258052</v>
      </c>
      <c r="AB145" s="21">
        <f>EXP(-LN(2)/2)*AB144+(1-EXP(-LN(2)/2))/(LN(2)/2)*V145*Y145*VLOOKUP('Données projet'!$B$9,Paramètres!$A$1:$I$89,3,0)*0.475*44/12</f>
        <v>5.9717742971829845E-12</v>
      </c>
      <c r="AC145" s="22">
        <f t="shared" si="111"/>
        <v>43.846979885367084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373.78622001879341</v>
      </c>
      <c r="T146" s="59">
        <f t="shared" si="142"/>
        <v>471.13220915651465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37.796451511495093</v>
      </c>
      <c r="AA146" s="21">
        <f>EXP(-LN(2)/25)*AA145+(1-EXP(-LN(2)/25))/(LN(2)/25)*Calculateur!V146*Calculateur!X146*VLOOKUP('Données projet'!$B$9,Paramètres!$A$1:$I$89,3,0)*0.475*44/12</f>
        <v>5.1497590791539656</v>
      </c>
      <c r="AB146" s="21">
        <f>EXP(-LN(2)/2)*AB145+(1-EXP(-LN(2)/2))/(LN(2)/2)*V146*Y146*VLOOKUP('Données projet'!$B$9,Paramètres!$A$1:$I$89,3,0)*0.475*44/12</f>
        <v>4.2226821012536172E-12</v>
      </c>
      <c r="AC146" s="22">
        <f t="shared" si="111"/>
        <v>42.94621059065328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373.78622001879341</v>
      </c>
      <c r="T147" s="59">
        <f t="shared" si="142"/>
        <v>471.13220915651465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37.055286150913744</v>
      </c>
      <c r="AA147" s="21">
        <f>EXP(-LN(2)/25)*AA146+(1-EXP(-LN(2)/25))/(LN(2)/25)*Calculateur!V147*Calculateur!X147*VLOOKUP('Données projet'!$B$9,Paramètres!$A$1:$I$89,3,0)*0.475*44/12</f>
        <v>5.0089386463204404</v>
      </c>
      <c r="AB147" s="21">
        <f>EXP(-LN(2)/2)*AB146+(1-EXP(-LN(2)/2))/(LN(2)/2)*V147*Y147*VLOOKUP('Données projet'!$B$9,Paramètres!$A$1:$I$89,3,0)*0.475*44/12</f>
        <v>2.9858871485914922E-12</v>
      </c>
      <c r="AC147" s="22">
        <f t="shared" si="111"/>
        <v>42.064224797237166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373.78622001879341</v>
      </c>
      <c r="T148" s="59">
        <f t="shared" si="142"/>
        <v>471.13220915651465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36.328654590987163</v>
      </c>
      <c r="AA148" s="21">
        <f>EXP(-LN(2)/25)*AA147+(1-EXP(-LN(2)/25))/(LN(2)/25)*Calculateur!V148*Calculateur!X148*VLOOKUP('Données projet'!$B$9,Paramètres!$A$1:$I$89,3,0)*0.475*44/12</f>
        <v>4.8719689556281729</v>
      </c>
      <c r="AB148" s="21">
        <f>EXP(-LN(2)/2)*AB147+(1-EXP(-LN(2)/2))/(LN(2)/2)*V148*Y148*VLOOKUP('Données projet'!$B$9,Paramètres!$A$1:$I$89,3,0)*0.475*44/12</f>
        <v>2.1113410506268086E-12</v>
      </c>
      <c r="AC148" s="22">
        <f t="shared" si="111"/>
        <v>41.200623546617443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373.78622001879341</v>
      </c>
      <c r="T149" s="59">
        <f t="shared" si="142"/>
        <v>471.13220915651465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35.616271832749256</v>
      </c>
      <c r="AA149" s="21">
        <f>EXP(-LN(2)/25)*AA148+(1-EXP(-LN(2)/25))/(LN(2)/25)*Calculateur!V149*Calculateur!X149*VLOOKUP('Données projet'!$B$9,Paramètres!$A$1:$I$89,3,0)*0.475*44/12</f>
        <v>4.7387447083308079</v>
      </c>
      <c r="AB149" s="21">
        <f>EXP(-LN(2)/2)*AB148+(1-EXP(-LN(2)/2))/(LN(2)/2)*V149*Y149*VLOOKUP('Données projet'!$B$9,Paramètres!$A$1:$I$89,3,0)*0.475*44/12</f>
        <v>1.4929435742957461E-12</v>
      </c>
      <c r="AC149" s="22">
        <f t="shared" si="111"/>
        <v>40.355016541081554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373.78622001879341</v>
      </c>
      <c r="T150" s="59">
        <f t="shared" si="142"/>
        <v>471.13220915651465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34.917858465889815</v>
      </c>
      <c r="AA150" s="21">
        <f>EXP(-LN(2)/25)*AA149+(1-EXP(-LN(2)/25))/(LN(2)/25)*Calculateur!V150*Calculateur!X150*VLOOKUP('Données projet'!$B$9,Paramètres!$A$1:$I$89,3,0)*0.475*44/12</f>
        <v>4.6091634850817487</v>
      </c>
      <c r="AB150" s="21">
        <f>EXP(-LN(2)/2)*AB149+(1-EXP(-LN(2)/2))/(LN(2)/2)*V150*Y150*VLOOKUP('Données projet'!$B$9,Paramètres!$A$1:$I$89,3,0)*0.475*44/12</f>
        <v>1.0556705253134043E-12</v>
      </c>
      <c r="AC150" s="22">
        <f t="shared" si="111"/>
        <v>39.527021950972625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373.78622001879341</v>
      </c>
      <c r="T151" s="59">
        <f t="shared" si="142"/>
        <v>471.13220915651465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34.233140559164397</v>
      </c>
      <c r="AA151" s="21">
        <f>EXP(-LN(2)/25)*AA150+(1-EXP(-LN(2)/25))/(LN(2)/25)*Calculateur!V151*Calculateur!X151*VLOOKUP('Données projet'!$B$9,Paramètres!$A$1:$I$89,3,0)*0.475*44/12</f>
        <v>4.4831256671968154</v>
      </c>
      <c r="AB151" s="21">
        <f>EXP(-LN(2)/2)*AB150+(1-EXP(-LN(2)/2))/(LN(2)/2)*V151*Y151*VLOOKUP('Données projet'!$B$9,Paramètres!$A$1:$I$89,3,0)*0.475*44/12</f>
        <v>7.4647178714787306E-13</v>
      </c>
      <c r="AC151" s="22">
        <f t="shared" si="111"/>
        <v>38.716266226361959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373.78622001879341</v>
      </c>
      <c r="T152" s="59">
        <f t="shared" si="142"/>
        <v>471.13220915651465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33.561849552953177</v>
      </c>
      <c r="AA152" s="21">
        <f>EXP(-LN(2)/25)*AA151+(1-EXP(-LN(2)/25))/(LN(2)/25)*Calculateur!V152*Calculateur!X152*VLOOKUP('Données projet'!$B$9,Paramètres!$A$1:$I$89,3,0)*0.475*44/12</f>
        <v>4.3605343600699857</v>
      </c>
      <c r="AB152" s="21">
        <f>EXP(-LN(2)/2)*AB151+(1-EXP(-LN(2)/2))/(LN(2)/2)*V152*Y152*VLOOKUP('Données projet'!$B$9,Paramètres!$A$1:$I$89,3,0)*0.475*44/12</f>
        <v>5.2783526265670215E-13</v>
      </c>
      <c r="AC152" s="22">
        <f t="shared" si="111"/>
        <v>37.922383913023687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373.78622001879341</v>
      </c>
      <c r="T153" s="59">
        <f t="shared" si="142"/>
        <v>471.13220915651465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32.90372215392668</v>
      </c>
      <c r="AA153" s="21">
        <f>EXP(-LN(2)/25)*AA152+(1-EXP(-LN(2)/25))/(LN(2)/25)*Calculateur!V153*Calculateur!X153*VLOOKUP('Données projet'!$B$9,Paramètres!$A$1:$I$89,3,0)*0.475*44/12</f>
        <v>4.2412953186833358</v>
      </c>
      <c r="AB153" s="21">
        <f>EXP(-LN(2)/2)*AB152+(1-EXP(-LN(2)/2))/(LN(2)/2)*V153*Y153*VLOOKUP('Données projet'!$B$9,Paramètres!$A$1:$I$89,3,0)*0.475*44/12</f>
        <v>3.7323589357393653E-13</v>
      </c>
      <c r="AC153" s="22">
        <f t="shared" si="111"/>
        <v>37.145017472610391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373.78622001879341</v>
      </c>
      <c r="T154" s="59">
        <f t="shared" si="142"/>
        <v>471.13220915651465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32.258500231777013</v>
      </c>
      <c r="AA154" s="21">
        <f>EXP(-LN(2)/25)*AA153+(1-EXP(-LN(2)/25))/(LN(2)/25)*Calculateur!V154*Calculateur!X154*VLOOKUP('Données projet'!$B$9,Paramètres!$A$1:$I$89,3,0)*0.475*44/12</f>
        <v>4.1253168751539127</v>
      </c>
      <c r="AB154" s="21">
        <f>EXP(-LN(2)/2)*AB153+(1-EXP(-LN(2)/2))/(LN(2)/2)*V154*Y154*VLOOKUP('Données projet'!$B$9,Paramètres!$A$1:$I$89,3,0)*0.475*44/12</f>
        <v>2.6391763132835107E-13</v>
      </c>
      <c r="AC154" s="22">
        <f t="shared" ref="AC154:AC203" si="163">SUM(Z154:AB154)</f>
        <v>36.38381710693119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373.78622001879341</v>
      </c>
      <c r="T155" s="59">
        <f t="shared" si="142"/>
        <v>471.13220915651465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31.625930717974189</v>
      </c>
      <c r="AA155" s="21">
        <f>EXP(-LN(2)/25)*AA154+(1-EXP(-LN(2)/25))/(LN(2)/25)*Calculateur!V155*Calculateur!X155*VLOOKUP('Données projet'!$B$9,Paramètres!$A$1:$I$89,3,0)*0.475*44/12</f>
        <v>4.0125098682618434</v>
      </c>
      <c r="AB155" s="21">
        <f>EXP(-LN(2)/2)*AB154+(1-EXP(-LN(2)/2))/(LN(2)/2)*V155*Y155*VLOOKUP('Données projet'!$B$9,Paramètres!$A$1:$I$89,3,0)*0.475*44/12</f>
        <v>1.8661794678696827E-13</v>
      </c>
      <c r="AC155" s="22">
        <f t="shared" si="163"/>
        <v>35.638440586236214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373.78622001879341</v>
      </c>
      <c r="T156" s="59">
        <f t="shared" si="142"/>
        <v>471.13220915651465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31.005765506507732</v>
      </c>
      <c r="AA156" s="21">
        <f>EXP(-LN(2)/25)*AA155+(1-EXP(-LN(2)/25))/(LN(2)/25)*Calculateur!V156*Calculateur!X156*VLOOKUP('Données projet'!$B$9,Paramètres!$A$1:$I$89,3,0)*0.475*44/12</f>
        <v>3.9027875749055001</v>
      </c>
      <c r="AB156" s="21">
        <f>EXP(-LN(2)/2)*AB155+(1-EXP(-LN(2)/2))/(LN(2)/2)*V156*Y156*VLOOKUP('Données projet'!$B$9,Paramètres!$A$1:$I$89,3,0)*0.475*44/12</f>
        <v>1.3195881566417554E-13</v>
      </c>
      <c r="AC156" s="22">
        <f t="shared" si="163"/>
        <v>34.908553081413366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373.78622001879341</v>
      </c>
      <c r="T157" s="59">
        <f t="shared" si="142"/>
        <v>471.13220915651465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30.397761356574705</v>
      </c>
      <c r="AA157" s="21">
        <f>EXP(-LN(2)/25)*AA156+(1-EXP(-LN(2)/25))/(LN(2)/25)*Calculateur!V157*Calculateur!X157*VLOOKUP('Données projet'!$B$9,Paramètres!$A$1:$I$89,3,0)*0.475*44/12</f>
        <v>3.7960656434310307</v>
      </c>
      <c r="AB157" s="21">
        <f>EXP(-LN(2)/2)*AB156+(1-EXP(-LN(2)/2))/(LN(2)/2)*V157*Y157*VLOOKUP('Données projet'!$B$9,Paramètres!$A$1:$I$89,3,0)*0.475*44/12</f>
        <v>9.3308973393484133E-14</v>
      </c>
      <c r="AC157" s="22">
        <f t="shared" si="163"/>
        <v>34.193827000005825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373.78622001879341</v>
      </c>
      <c r="T158" s="59">
        <f t="shared" si="142"/>
        <v>471.13220915651465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29.80167979717595</v>
      </c>
      <c r="AA158" s="21">
        <f>EXP(-LN(2)/25)*AA157+(1-EXP(-LN(2)/25))/(LN(2)/25)*Calculateur!V158*Calculateur!X158*VLOOKUP('Données projet'!$B$9,Paramètres!$A$1:$I$89,3,0)*0.475*44/12</f>
        <v>3.692262028784993</v>
      </c>
      <c r="AB158" s="21">
        <f>EXP(-LN(2)/2)*AB157+(1-EXP(-LN(2)/2))/(LN(2)/2)*V158*Y158*VLOOKUP('Données projet'!$B$9,Paramètres!$A$1:$I$89,3,0)*0.475*44/12</f>
        <v>6.5979407832087769E-14</v>
      </c>
      <c r="AC158" s="22">
        <f t="shared" si="163"/>
        <v>33.493941825961009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373.78622001879341</v>
      </c>
      <c r="T159" s="59">
        <f t="shared" si="142"/>
        <v>471.13220915651465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29.217287033583155</v>
      </c>
      <c r="AA159" s="21">
        <f>EXP(-LN(2)/25)*AA158+(1-EXP(-LN(2)/25))/(LN(2)/25)*Calculateur!V159*Calculateur!X159*VLOOKUP('Données projet'!$B$9,Paramètres!$A$1:$I$89,3,0)*0.475*44/12</f>
        <v>3.5912969294402459</v>
      </c>
      <c r="AB159" s="21">
        <f>EXP(-LN(2)/2)*AB158+(1-EXP(-LN(2)/2))/(LN(2)/2)*V159*Y159*VLOOKUP('Données projet'!$B$9,Paramètres!$A$1:$I$89,3,0)*0.475*44/12</f>
        <v>4.6654486696742066E-14</v>
      </c>
      <c r="AC159" s="22">
        <f t="shared" si="163"/>
        <v>32.808583963023452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373.78622001879341</v>
      </c>
      <c r="T160" s="59">
        <f t="shared" si="142"/>
        <v>471.13220915651465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28.644353855640023</v>
      </c>
      <c r="AA160" s="21">
        <f>EXP(-LN(2)/25)*AA159+(1-EXP(-LN(2)/25))/(LN(2)/25)*Calculateur!V160*Calculateur!X160*VLOOKUP('Données projet'!$B$9,Paramètres!$A$1:$I$89,3,0)*0.475*44/12</f>
        <v>3.4930927260466049</v>
      </c>
      <c r="AB160" s="21">
        <f>EXP(-LN(2)/2)*AB159+(1-EXP(-LN(2)/2))/(LN(2)/2)*V160*Y160*VLOOKUP('Données projet'!$B$9,Paramètres!$A$1:$I$89,3,0)*0.475*44/12</f>
        <v>3.2989703916043884E-14</v>
      </c>
      <c r="AC160" s="22">
        <f t="shared" si="163"/>
        <v>32.137446581686667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373.78622001879341</v>
      </c>
      <c r="T161" s="59">
        <f t="shared" si="142"/>
        <v>471.13220915651465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28.082655547861624</v>
      </c>
      <c r="AA161" s="21">
        <f>EXP(-LN(2)/25)*AA160+(1-EXP(-LN(2)/25))/(LN(2)/25)*Calculateur!V161*Calculateur!X161*VLOOKUP('Données projet'!$B$9,Paramètres!$A$1:$I$89,3,0)*0.475*44/12</f>
        <v>3.3975739217590974</v>
      </c>
      <c r="AB161" s="21">
        <f>EXP(-LN(2)/2)*AB160+(1-EXP(-LN(2)/2))/(LN(2)/2)*V161*Y161*VLOOKUP('Données projet'!$B$9,Paramètres!$A$1:$I$89,3,0)*0.475*44/12</f>
        <v>2.3327243348371033E-14</v>
      </c>
      <c r="AC161" s="22">
        <f t="shared" si="163"/>
        <v>31.480229469620745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373.78622001879341</v>
      </c>
      <c r="T162" s="59">
        <f t="shared" si="142"/>
        <v>471.13220915651465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27.531971801296621</v>
      </c>
      <c r="AA162" s="21">
        <f>EXP(-LN(2)/25)*AA161+(1-EXP(-LN(2)/25))/(LN(2)/25)*Calculateur!V162*Calculateur!X162*VLOOKUP('Données projet'!$B$9,Paramètres!$A$1:$I$89,3,0)*0.475*44/12</f>
        <v>3.3046670841979475</v>
      </c>
      <c r="AB162" s="21">
        <f>EXP(-LN(2)/2)*AB161+(1-EXP(-LN(2)/2))/(LN(2)/2)*V162*Y162*VLOOKUP('Données projet'!$B$9,Paramètres!$A$1:$I$89,3,0)*0.475*44/12</f>
        <v>1.6494851958021942E-14</v>
      </c>
      <c r="AC162" s="22">
        <f t="shared" si="163"/>
        <v>30.836638885494587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373.78622001879341</v>
      </c>
      <c r="T163" s="59">
        <f t="shared" si="142"/>
        <v>471.13220915651465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26.992086627117835</v>
      </c>
      <c r="AA163" s="21">
        <f>EXP(-LN(2)/25)*AA162+(1-EXP(-LN(2)/25))/(LN(2)/25)*Calculateur!V163*Calculateur!X163*VLOOKUP('Données projet'!$B$9,Paramètres!$A$1:$I$89,3,0)*0.475*44/12</f>
        <v>3.2143007889956654</v>
      </c>
      <c r="AB163" s="21">
        <f>EXP(-LN(2)/2)*AB162+(1-EXP(-LN(2)/2))/(LN(2)/2)*V163*Y163*VLOOKUP('Données projet'!$B$9,Paramètres!$A$1:$I$89,3,0)*0.475*44/12</f>
        <v>1.1663621674185517E-14</v>
      </c>
      <c r="AC163" s="22">
        <f t="shared" si="163"/>
        <v>30.206387416113511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373.78622001879341</v>
      </c>
      <c r="T164" s="59">
        <f t="shared" si="142"/>
        <v>471.13220915651465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26.462788271907257</v>
      </c>
      <c r="AA164" s="21">
        <f>EXP(-LN(2)/25)*AA163+(1-EXP(-LN(2)/25))/(LN(2)/25)*Calculateur!V164*Calculateur!X164*VLOOKUP('Données projet'!$B$9,Paramètres!$A$1:$I$89,3,0)*0.475*44/12</f>
        <v>3.1264055648878468</v>
      </c>
      <c r="AB164" s="21">
        <f>EXP(-LN(2)/2)*AB163+(1-EXP(-LN(2)/2))/(LN(2)/2)*V164*Y164*VLOOKUP('Données projet'!$B$9,Paramètres!$A$1:$I$89,3,0)*0.475*44/12</f>
        <v>8.2474259790109711E-15</v>
      </c>
      <c r="AC164" s="22">
        <f t="shared" si="163"/>
        <v>29.589193836795111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373.78622001879341</v>
      </c>
      <c r="T165" s="59">
        <f t="shared" si="142"/>
        <v>471.13220915651465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25.943869134602238</v>
      </c>
      <c r="AA165" s="21">
        <f>EXP(-LN(2)/25)*AA164+(1-EXP(-LN(2)/25))/(LN(2)/25)*Calculateur!V165*Calculateur!X165*VLOOKUP('Données projet'!$B$9,Paramètres!$A$1:$I$89,3,0)*0.475*44/12</f>
        <v>3.0409138403054654</v>
      </c>
      <c r="AB165" s="21">
        <f>EXP(-LN(2)/2)*AB164+(1-EXP(-LN(2)/2))/(LN(2)/2)*V165*Y165*VLOOKUP('Données projet'!$B$9,Paramètres!$A$1:$I$89,3,0)*0.475*44/12</f>
        <v>5.8318108370927583E-15</v>
      </c>
      <c r="AC165" s="22">
        <f t="shared" si="163"/>
        <v>28.984782974907709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373.78622001879341</v>
      </c>
      <c r="T166" s="59">
        <f t="shared" si="142"/>
        <v>471.13220915651465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25.43512568507035</v>
      </c>
      <c r="AA166" s="21">
        <f>EXP(-LN(2)/25)*AA165+(1-EXP(-LN(2)/25))/(LN(2)/25)*Calculateur!V166*Calculateur!X166*VLOOKUP('Données projet'!$B$9,Paramètres!$A$1:$I$89,3,0)*0.475*44/12</f>
        <v>2.9577598914276035</v>
      </c>
      <c r="AB166" s="21">
        <f>EXP(-LN(2)/2)*AB165+(1-EXP(-LN(2)/2))/(LN(2)/2)*V166*Y166*VLOOKUP('Données projet'!$B$9,Paramètres!$A$1:$I$89,3,0)*0.475*44/12</f>
        <v>4.1237129895054855E-15</v>
      </c>
      <c r="AC166" s="22">
        <f t="shared" si="163"/>
        <v>28.392885576497957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373.78622001879341</v>
      </c>
      <c r="T167" s="59">
        <f t="shared" si="142"/>
        <v>471.13220915651465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24.936358384280918</v>
      </c>
      <c r="AA167" s="21">
        <f>EXP(-LN(2)/25)*AA166+(1-EXP(-LN(2)/25))/(LN(2)/25)*Calculateur!V167*Calculateur!X167*VLOOKUP('Données projet'!$B$9,Paramètres!$A$1:$I$89,3,0)*0.475*44/12</f>
        <v>2.8768797916546829</v>
      </c>
      <c r="AB167" s="21">
        <f>EXP(-LN(2)/2)*AB166+(1-EXP(-LN(2)/2))/(LN(2)/2)*V167*Y167*VLOOKUP('Données projet'!$B$9,Paramètres!$A$1:$I$89,3,0)*0.475*44/12</f>
        <v>2.9159054185463791E-15</v>
      </c>
      <c r="AC167" s="22">
        <f t="shared" si="163"/>
        <v>27.813238175935606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373.78622001879341</v>
      </c>
      <c r="T168" s="59">
        <f t="shared" si="142"/>
        <v>471.13220915651465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24.447371606041955</v>
      </c>
      <c r="AA168" s="21">
        <f>EXP(-LN(2)/25)*AA167+(1-EXP(-LN(2)/25))/(LN(2)/25)*Calculateur!V168*Calculateur!X168*VLOOKUP('Données projet'!$B$9,Paramètres!$A$1:$I$89,3,0)*0.475*44/12</f>
        <v>2.7982113624633524</v>
      </c>
      <c r="AB168" s="21">
        <f>EXP(-LN(2)/2)*AB167+(1-EXP(-LN(2)/2))/(LN(2)/2)*V168*Y168*VLOOKUP('Données projet'!$B$9,Paramètres!$A$1:$I$89,3,0)*0.475*44/12</f>
        <v>2.0618564947527428E-15</v>
      </c>
      <c r="AC168" s="22">
        <f t="shared" si="163"/>
        <v>27.24558296850531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373.78622001879341</v>
      </c>
      <c r="T169" s="59">
        <f t="shared" si="142"/>
        <v>471.13220915651465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23.967973560271769</v>
      </c>
      <c r="AA169" s="21">
        <f>EXP(-LN(2)/25)*AA168+(1-EXP(-LN(2)/25))/(LN(2)/25)*Calculateur!V169*Calculateur!X169*VLOOKUP('Données projet'!$B$9,Paramètres!$A$1:$I$89,3,0)*0.475*44/12</f>
        <v>2.7216941256052518</v>
      </c>
      <c r="AB169" s="21">
        <f>EXP(-LN(2)/2)*AB168+(1-EXP(-LN(2)/2))/(LN(2)/2)*V169*Y169*VLOOKUP('Données projet'!$B$9,Paramètres!$A$1:$I$89,3,0)*0.475*44/12</f>
        <v>1.4579527092731896E-15</v>
      </c>
      <c r="AC169" s="22">
        <f t="shared" si="163"/>
        <v>26.689667685877019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373.78622001879341</v>
      </c>
      <c r="T170" s="59">
        <f t="shared" si="142"/>
        <v>471.13220915651465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23.497976217775204</v>
      </c>
      <c r="AA170" s="21">
        <f>EXP(-LN(2)/25)*AA169+(1-EXP(-LN(2)/25))/(LN(2)/25)*Calculateur!V170*Calculateur!X170*VLOOKUP('Données projet'!$B$9,Paramètres!$A$1:$I$89,3,0)*0.475*44/12</f>
        <v>2.6472692566129026</v>
      </c>
      <c r="AB170" s="21">
        <f>EXP(-LN(2)/2)*AB169+(1-EXP(-LN(2)/2))/(LN(2)/2)*V170*Y170*VLOOKUP('Données projet'!$B$9,Paramètres!$A$1:$I$89,3,0)*0.475*44/12</f>
        <v>1.0309282473763714E-15</v>
      </c>
      <c r="AC170" s="22">
        <f t="shared" si="163"/>
        <v>26.145245474388105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373.78622001879341</v>
      </c>
      <c r="T171" s="59">
        <f t="shared" si="142"/>
        <v>471.13220915651465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23.037195236494924</v>
      </c>
      <c r="AA171" s="21">
        <f>EXP(-LN(2)/25)*AA170+(1-EXP(-LN(2)/25))/(LN(2)/25)*Calculateur!V171*Calculateur!X171*VLOOKUP('Données projet'!$B$9,Paramètres!$A$1:$I$89,3,0)*0.475*44/12</f>
        <v>2.5748795395769828</v>
      </c>
      <c r="AB171" s="21">
        <f>EXP(-LN(2)/2)*AB170+(1-EXP(-LN(2)/2))/(LN(2)/2)*V171*Y171*VLOOKUP('Données projet'!$B$9,Paramètres!$A$1:$I$89,3,0)*0.475*44/12</f>
        <v>7.2897635463659479E-16</v>
      </c>
      <c r="AC171" s="22">
        <f t="shared" si="163"/>
        <v>25.612074776071907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373.78622001879341</v>
      </c>
      <c r="T172" s="59">
        <f t="shared" si="142"/>
        <v>471.13220915651465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22.585449889208903</v>
      </c>
      <c r="AA172" s="21">
        <f>EXP(-LN(2)/25)*AA171+(1-EXP(-LN(2)/25))/(LN(2)/25)*Calculateur!V172*Calculateur!X172*VLOOKUP('Données projet'!$B$9,Paramètres!$A$1:$I$89,3,0)*0.475*44/12</f>
        <v>2.5044693231602202</v>
      </c>
      <c r="AB172" s="21">
        <f>EXP(-LN(2)/2)*AB171+(1-EXP(-LN(2)/2))/(LN(2)/2)*V172*Y172*VLOOKUP('Données projet'!$B$9,Paramètres!$A$1:$I$89,3,0)*0.475*44/12</f>
        <v>5.1546412368818569E-16</v>
      </c>
      <c r="AC172" s="22">
        <f t="shared" si="163"/>
        <v>25.089919212369121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373.78622001879341</v>
      </c>
      <c r="T173" s="59">
        <f t="shared" si="142"/>
        <v>471.13220915651465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22.142562992645704</v>
      </c>
      <c r="AA173" s="21">
        <f>EXP(-LN(2)/25)*AA172+(1-EXP(-LN(2)/25))/(LN(2)/25)*Calculateur!V173*Calculateur!X173*VLOOKUP('Données projet'!$B$9,Paramètres!$A$1:$I$89,3,0)*0.475*44/12</f>
        <v>2.4359844778140864</v>
      </c>
      <c r="AB173" s="21">
        <f>EXP(-LN(2)/2)*AB172+(1-EXP(-LN(2)/2))/(LN(2)/2)*V173*Y173*VLOOKUP('Données projet'!$B$9,Paramètres!$A$1:$I$89,3,0)*0.475*44/12</f>
        <v>3.6448817731829739E-16</v>
      </c>
      <c r="AC173" s="22">
        <f t="shared" si="163"/>
        <v>24.578547470459789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373.78622001879341</v>
      </c>
      <c r="T174" s="59">
        <f t="shared" si="142"/>
        <v>471.13220915651465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21.708360837989776</v>
      </c>
      <c r="AA174" s="21">
        <f>EXP(-LN(2)/25)*AA173+(1-EXP(-LN(2)/25))/(LN(2)/25)*Calculateur!V174*Calculateur!X174*VLOOKUP('Données projet'!$B$9,Paramètres!$A$1:$I$89,3,0)*0.475*44/12</f>
        <v>2.3693723541654039</v>
      </c>
      <c r="AB174" s="21">
        <f>EXP(-LN(2)/2)*AB173+(1-EXP(-LN(2)/2))/(LN(2)/2)*V174*Y174*VLOOKUP('Données projet'!$B$9,Paramètres!$A$1:$I$89,3,0)*0.475*44/12</f>
        <v>2.5773206184409285E-16</v>
      </c>
      <c r="AC174" s="22">
        <f t="shared" si="163"/>
        <v>24.077733192155179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373.78622001879341</v>
      </c>
      <c r="T175" s="59">
        <f t="shared" si="142"/>
        <v>471.13220915651465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21.28267312274949</v>
      </c>
      <c r="AA175" s="21">
        <f>EXP(-LN(2)/25)*AA174+(1-EXP(-LN(2)/25))/(LN(2)/25)*Calculateur!V175*Calculateur!X175*VLOOKUP('Données projet'!$B$9,Paramètres!$A$1:$I$89,3,0)*0.475*44/12</f>
        <v>2.3045817425408743</v>
      </c>
      <c r="AB175" s="21">
        <f>EXP(-LN(2)/2)*AB174+(1-EXP(-LN(2)/2))/(LN(2)/2)*V175*Y175*VLOOKUP('Données projet'!$B$9,Paramètres!$A$1:$I$89,3,0)*0.475*44/12</f>
        <v>1.822440886591487E-16</v>
      </c>
      <c r="AC175" s="22">
        <f t="shared" si="163"/>
        <v>23.587254865290365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373.78622001879341</v>
      </c>
      <c r="T176" s="59">
        <f t="shared" si="142"/>
        <v>471.13220915651465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20.865332883961194</v>
      </c>
      <c r="AA176" s="21">
        <f>EXP(-LN(2)/25)*AA175+(1-EXP(-LN(2)/25))/(LN(2)/25)*Calculateur!V176*Calculateur!X176*VLOOKUP('Données projet'!$B$9,Paramètres!$A$1:$I$89,3,0)*0.475*44/12</f>
        <v>2.2415628335984077</v>
      </c>
      <c r="AB176" s="21">
        <f>EXP(-LN(2)/2)*AB175+(1-EXP(-LN(2)/2))/(LN(2)/2)*V176*Y176*VLOOKUP('Données projet'!$B$9,Paramètres!$A$1:$I$89,3,0)*0.475*44/12</f>
        <v>1.2886603092204642E-16</v>
      </c>
      <c r="AC176" s="22">
        <f t="shared" si="163"/>
        <v>23.106895717559603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373.78622001879341</v>
      </c>
      <c r="T177" s="59">
        <f t="shared" si="142"/>
        <v>471.13220915651465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20.456176432703128</v>
      </c>
      <c r="AA177" s="21">
        <f>EXP(-LN(2)/25)*AA176+(1-EXP(-LN(2)/25))/(LN(2)/25)*Calculateur!V177*Calculateur!X177*VLOOKUP('Données projet'!$B$9,Paramètres!$A$1:$I$89,3,0)*0.475*44/12</f>
        <v>2.1802671800349929</v>
      </c>
      <c r="AB177" s="21">
        <f>EXP(-LN(2)/2)*AB176+(1-EXP(-LN(2)/2))/(LN(2)/2)*V177*Y177*VLOOKUP('Données projet'!$B$9,Paramètres!$A$1:$I$89,3,0)*0.475*44/12</f>
        <v>9.1122044329574348E-17</v>
      </c>
      <c r="AC177" s="22">
        <f t="shared" si="163"/>
        <v>22.63644361273812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373.78622001879341</v>
      </c>
      <c r="T178" s="59">
        <f t="shared" si="142"/>
        <v>471.13220915651465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20.055043289893437</v>
      </c>
      <c r="AA178" s="21">
        <f>EXP(-LN(2)/25)*AA177+(1-EXP(-LN(2)/25))/(LN(2)/25)*Calculateur!V178*Calculateur!X178*VLOOKUP('Données projet'!$B$9,Paramètres!$A$1:$I$89,3,0)*0.475*44/12</f>
        <v>2.1206476593416679</v>
      </c>
      <c r="AB178" s="21">
        <f>EXP(-LN(2)/2)*AB177+(1-EXP(-LN(2)/2))/(LN(2)/2)*V178*Y178*VLOOKUP('Données projet'!$B$9,Paramètres!$A$1:$I$89,3,0)*0.475*44/12</f>
        <v>6.4433015461023212E-17</v>
      </c>
      <c r="AC178" s="22">
        <f t="shared" si="163"/>
        <v>22.175690949235104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373.78622001879341</v>
      </c>
      <c r="T179" s="59">
        <f t="shared" si="142"/>
        <v>471.13220915651465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19.661776123347188</v>
      </c>
      <c r="AA179" s="21">
        <f>EXP(-LN(2)/25)*AA178+(1-EXP(-LN(2)/25))/(LN(2)/25)*Calculateur!V179*Calculateur!X179*VLOOKUP('Données projet'!$B$9,Paramètres!$A$1:$I$89,3,0)*0.475*44/12</f>
        <v>2.0626584375769563</v>
      </c>
      <c r="AB179" s="21">
        <f>EXP(-LN(2)/2)*AB178+(1-EXP(-LN(2)/2))/(LN(2)/2)*V179*Y179*VLOOKUP('Données projet'!$B$9,Paramètres!$A$1:$I$89,3,0)*0.475*44/12</f>
        <v>4.5561022164787174E-17</v>
      </c>
      <c r="AC179" s="22">
        <f t="shared" si="163"/>
        <v>21.724434560924145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373.78622001879341</v>
      </c>
      <c r="T180" s="59">
        <f t="shared" si="142"/>
        <v>471.13220915651465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19.276220686067624</v>
      </c>
      <c r="AA180" s="21">
        <f>EXP(-LN(2)/25)*AA179+(1-EXP(-LN(2)/25))/(LN(2)/25)*Calculateur!V180*Calculateur!X180*VLOOKUP('Données projet'!$B$9,Paramètres!$A$1:$I$89,3,0)*0.475*44/12</f>
        <v>2.0062549341309217</v>
      </c>
      <c r="AB180" s="21">
        <f>EXP(-LN(2)/2)*AB179+(1-EXP(-LN(2)/2))/(LN(2)/2)*V180*Y180*VLOOKUP('Données projet'!$B$9,Paramètres!$A$1:$I$89,3,0)*0.475*44/12</f>
        <v>3.2216507730511606E-17</v>
      </c>
      <c r="AC180" s="22">
        <f t="shared" si="163"/>
        <v>21.282475620198547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373.78622001879341</v>
      </c>
      <c r="T181" s="59">
        <f t="shared" si="142"/>
        <v>471.13220915651465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18.898225755747518</v>
      </c>
      <c r="AA181" s="21">
        <f>EXP(-LN(2)/25)*AA180+(1-EXP(-LN(2)/25))/(LN(2)/25)*Calculateur!V181*Calculateur!X181*VLOOKUP('Données projet'!$B$9,Paramètres!$A$1:$I$89,3,0)*0.475*44/12</f>
        <v>1.9513937874527501</v>
      </c>
      <c r="AB181" s="21">
        <f>EXP(-LN(2)/2)*AB180+(1-EXP(-LN(2)/2))/(LN(2)/2)*V181*Y181*VLOOKUP('Données projet'!$B$9,Paramètres!$A$1:$I$89,3,0)*0.475*44/12</f>
        <v>2.2780511082393587E-17</v>
      </c>
      <c r="AC181" s="22">
        <f t="shared" si="163"/>
        <v>20.849619543200269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373.78622001879341</v>
      </c>
      <c r="T182" s="59">
        <f t="shared" si="142"/>
        <v>471.13220915651465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18.527643075456844</v>
      </c>
      <c r="AA182" s="21">
        <f>EXP(-LN(2)/25)*AA181+(1-EXP(-LN(2)/25))/(LN(2)/25)*Calculateur!V182*Calculateur!X182*VLOOKUP('Données projet'!$B$9,Paramètres!$A$1:$I$89,3,0)*0.475*44/12</f>
        <v>1.8980328217155154</v>
      </c>
      <c r="AB182" s="21">
        <f>EXP(-LN(2)/2)*AB181+(1-EXP(-LN(2)/2))/(LN(2)/2)*V182*Y182*VLOOKUP('Données projet'!$B$9,Paramètres!$A$1:$I$89,3,0)*0.475*44/12</f>
        <v>1.6108253865255803E-17</v>
      </c>
      <c r="AC182" s="22">
        <f t="shared" si="163"/>
        <v>20.425675897172358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373.78622001879341</v>
      </c>
      <c r="T183" s="59">
        <f t="shared" si="142"/>
        <v>471.13220915651465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18.164327295493553</v>
      </c>
      <c r="AA183" s="21">
        <f>EXP(-LN(2)/25)*AA182+(1-EXP(-LN(2)/25))/(LN(2)/25)*Calculateur!V183*Calculateur!X183*VLOOKUP('Données projet'!$B$9,Paramètres!$A$1:$I$89,3,0)*0.475*44/12</f>
        <v>1.8461310143924965</v>
      </c>
      <c r="AB183" s="21">
        <f>EXP(-LN(2)/2)*AB182+(1-EXP(-LN(2)/2))/(LN(2)/2)*V183*Y183*VLOOKUP('Données projet'!$B$9,Paramètres!$A$1:$I$89,3,0)*0.475*44/12</f>
        <v>1.1390255541196794E-17</v>
      </c>
      <c r="AC183" s="22">
        <f t="shared" si="163"/>
        <v>20.010458309886051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373.78622001879341</v>
      </c>
      <c r="T184" s="59">
        <f t="shared" si="142"/>
        <v>471.13220915651465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17.808135916374599</v>
      </c>
      <c r="AA184" s="21">
        <f>EXP(-LN(2)/25)*AA183+(1-EXP(-LN(2)/25))/(LN(2)/25)*Calculateur!V184*Calculateur!X184*VLOOKUP('Données projet'!$B$9,Paramètres!$A$1:$I$89,3,0)*0.475*44/12</f>
        <v>1.795648464720123</v>
      </c>
      <c r="AB184" s="21">
        <f>EXP(-LN(2)/2)*AB183+(1-EXP(-LN(2)/2))/(LN(2)/2)*V184*Y184*VLOOKUP('Données projet'!$B$9,Paramètres!$A$1:$I$89,3,0)*0.475*44/12</f>
        <v>8.0541269326279015E-18</v>
      </c>
      <c r="AC184" s="22">
        <f t="shared" si="163"/>
        <v>19.603784381094723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373.78622001879341</v>
      </c>
      <c r="T185" s="59">
        <f t="shared" si="142"/>
        <v>471.13220915651465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17.458929232944879</v>
      </c>
      <c r="AA185" s="21">
        <f>EXP(-LN(2)/25)*AA184+(1-EXP(-LN(2)/25))/(LN(2)/25)*Calculateur!V185*Calculateur!X185*VLOOKUP('Données projet'!$B$9,Paramètres!$A$1:$I$89,3,0)*0.475*44/12</f>
        <v>1.7465463630233025</v>
      </c>
      <c r="AB185" s="21">
        <f>EXP(-LN(2)/2)*AB184+(1-EXP(-LN(2)/2))/(LN(2)/2)*V185*Y185*VLOOKUP('Données projet'!$B$9,Paramètres!$A$1:$I$89,3,0)*0.475*44/12</f>
        <v>5.6951277705983968E-18</v>
      </c>
      <c r="AC185" s="22">
        <f t="shared" si="163"/>
        <v>19.205475595968181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373.78622001879341</v>
      </c>
      <c r="T186" s="59">
        <f t="shared" si="142"/>
        <v>471.13220915651465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17.11657027958217</v>
      </c>
      <c r="AA186" s="21">
        <f>EXP(-LN(2)/25)*AA185+(1-EXP(-LN(2)/25))/(LN(2)/25)*Calculateur!V186*Calculateur!X186*VLOOKUP('Données projet'!$B$9,Paramètres!$A$1:$I$89,3,0)*0.475*44/12</f>
        <v>1.6987869608795487</v>
      </c>
      <c r="AB186" s="21">
        <f>EXP(-LN(2)/2)*AB185+(1-EXP(-LN(2)/2))/(LN(2)/2)*V186*Y186*VLOOKUP('Données projet'!$B$9,Paramètres!$A$1:$I$89,3,0)*0.475*44/12</f>
        <v>4.0270634663139507E-18</v>
      </c>
      <c r="AC186" s="22">
        <f t="shared" si="163"/>
        <v>18.815357240461719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373.78622001879341</v>
      </c>
      <c r="T187" s="59">
        <f t="shared" si="142"/>
        <v>471.13220915651465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16.780924776476564</v>
      </c>
      <c r="AA187" s="21">
        <f>EXP(-LN(2)/25)*AA186+(1-EXP(-LN(2)/25))/(LN(2)/25)*Calculateur!V187*Calculateur!X187*VLOOKUP('Données projet'!$B$9,Paramètres!$A$1:$I$89,3,0)*0.475*44/12</f>
        <v>1.6523335420989738</v>
      </c>
      <c r="AB187" s="21">
        <f>EXP(-LN(2)/2)*AB186+(1-EXP(-LN(2)/2))/(LN(2)/2)*V187*Y187*VLOOKUP('Données projet'!$B$9,Paramètres!$A$1:$I$89,3,0)*0.475*44/12</f>
        <v>2.8475638852991984E-18</v>
      </c>
      <c r="AC187" s="22">
        <f t="shared" si="163"/>
        <v>18.433258318575536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373.78622001879341</v>
      </c>
      <c r="T188" s="59">
        <f t="shared" si="142"/>
        <v>471.13220915651465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16.451861076963315</v>
      </c>
      <c r="AA188" s="21">
        <f>EXP(-LN(2)/25)*AA187+(1-EXP(-LN(2)/25))/(LN(2)/25)*Calculateur!V188*Calculateur!X188*VLOOKUP('Données projet'!$B$9,Paramètres!$A$1:$I$89,3,0)*0.475*44/12</f>
        <v>1.6071503944978327</v>
      </c>
      <c r="AB188" s="21">
        <f>EXP(-LN(2)/2)*AB187+(1-EXP(-LN(2)/2))/(LN(2)/2)*V188*Y188*VLOOKUP('Données projet'!$B$9,Paramètres!$A$1:$I$89,3,0)*0.475*44/12</f>
        <v>2.0135317331569754E-18</v>
      </c>
      <c r="AC188" s="22">
        <f t="shared" si="163"/>
        <v>18.059011471461147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373.78622001879341</v>
      </c>
      <c r="T189" s="59">
        <f t="shared" si="142"/>
        <v>471.13220915651465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16.129250115888482</v>
      </c>
      <c r="AA189" s="21">
        <f>EXP(-LN(2)/25)*AA188+(1-EXP(-LN(2)/25))/(LN(2)/25)*Calculateur!V189*Calculateur!X189*VLOOKUP('Données projet'!$B$9,Paramètres!$A$1:$I$89,3,0)*0.475*44/12</f>
        <v>1.5632027824439234</v>
      </c>
      <c r="AB189" s="21">
        <f>EXP(-LN(2)/2)*AB188+(1-EXP(-LN(2)/2))/(LN(2)/2)*V189*Y189*VLOOKUP('Données projet'!$B$9,Paramètres!$A$1:$I$89,3,0)*0.475*44/12</f>
        <v>1.4237819426495992E-18</v>
      </c>
      <c r="AC189" s="22">
        <f t="shared" si="163"/>
        <v>17.692452898332405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373.78622001879341</v>
      </c>
      <c r="T190" s="59">
        <f t="shared" si="142"/>
        <v>471.13220915651465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15.81296535898707</v>
      </c>
      <c r="AA190" s="21">
        <f>EXP(-LN(2)/25)*AA189+(1-EXP(-LN(2)/25))/(LN(2)/25)*Calculateur!V190*Calculateur!X190*VLOOKUP('Données projet'!$B$9,Paramètres!$A$1:$I$89,3,0)*0.475*44/12</f>
        <v>1.5204569201527327</v>
      </c>
      <c r="AB190" s="21">
        <f>EXP(-LN(2)/2)*AB189+(1-EXP(-LN(2)/2))/(LN(2)/2)*V190*Y190*VLOOKUP('Données projet'!$B$9,Paramètres!$A$1:$I$89,3,0)*0.475*44/12</f>
        <v>1.0067658665784877E-18</v>
      </c>
      <c r="AC190" s="22">
        <f t="shared" si="163"/>
        <v>17.333422279139803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373.78622001879341</v>
      </c>
      <c r="T191" s="59">
        <f t="shared" si="142"/>
        <v>471.13220915651465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15.502882753253841</v>
      </c>
      <c r="AA191" s="21">
        <f>EXP(-LN(2)/25)*AA190+(1-EXP(-LN(2)/25))/(LN(2)/25)*Calculateur!V191*Calculateur!X191*VLOOKUP('Données projet'!$B$9,Paramètres!$A$1:$I$89,3,0)*0.475*44/12</f>
        <v>1.4788799457138018</v>
      </c>
      <c r="AB191" s="21">
        <f>EXP(-LN(2)/2)*AB190+(1-EXP(-LN(2)/2))/(LN(2)/2)*V191*Y191*VLOOKUP('Données projet'!$B$9,Paramètres!$A$1:$I$89,3,0)*0.475*44/12</f>
        <v>7.118909713247996E-19</v>
      </c>
      <c r="AC191" s="22">
        <f t="shared" si="163"/>
        <v>16.981762698967643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373.78622001879341</v>
      </c>
      <c r="T192" s="59">
        <f t="shared" si="142"/>
        <v>471.13220915651465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15.198880678287328</v>
      </c>
      <c r="AA192" s="21">
        <f>EXP(-LN(2)/25)*AA191+(1-EXP(-LN(2)/25))/(LN(2)/25)*Calculateur!V192*Calculateur!X192*VLOOKUP('Données projet'!$B$9,Paramètres!$A$1:$I$89,3,0)*0.475*44/12</f>
        <v>1.4384398958273414</v>
      </c>
      <c r="AB192" s="21">
        <f>EXP(-LN(2)/2)*AB191+(1-EXP(-LN(2)/2))/(LN(2)/2)*V192*Y192*VLOOKUP('Données projet'!$B$9,Paramètres!$A$1:$I$89,3,0)*0.475*44/12</f>
        <v>5.0338293328924384E-19</v>
      </c>
      <c r="AC192" s="22">
        <f t="shared" si="163"/>
        <v>16.637320574114668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373.78622001879341</v>
      </c>
      <c r="T193" s="59">
        <f t="shared" si="142"/>
        <v>471.13220915651465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14.90083989858795</v>
      </c>
      <c r="AA193" s="21">
        <f>EXP(-LN(2)/25)*AA192+(1-EXP(-LN(2)/25))/(LN(2)/25)*Calculateur!V193*Calculateur!X193*VLOOKUP('Données projet'!$B$9,Paramètres!$A$1:$I$89,3,0)*0.475*44/12</f>
        <v>1.3991056812316762</v>
      </c>
      <c r="AB193" s="21">
        <f>EXP(-LN(2)/2)*AB192+(1-EXP(-LN(2)/2))/(LN(2)/2)*V193*Y193*VLOOKUP('Données projet'!$B$9,Paramètres!$A$1:$I$89,3,0)*0.475*44/12</f>
        <v>3.559454856623998E-19</v>
      </c>
      <c r="AC193" s="22">
        <f t="shared" si="163"/>
        <v>16.299945579819628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373.78622001879341</v>
      </c>
      <c r="T194" s="59">
        <f t="shared" si="142"/>
        <v>471.13220915651465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14.608643516791552</v>
      </c>
      <c r="AA194" s="21">
        <f>EXP(-LN(2)/25)*AA193+(1-EXP(-LN(2)/25))/(LN(2)/25)*Calculateur!V194*Calculateur!X194*VLOOKUP('Données projet'!$B$9,Paramètres!$A$1:$I$89,3,0)*0.475*44/12</f>
        <v>1.3608470628026259</v>
      </c>
      <c r="AB194" s="21">
        <f>EXP(-LN(2)/2)*AB193+(1-EXP(-LN(2)/2))/(LN(2)/2)*V194*Y194*VLOOKUP('Données projet'!$B$9,Paramètres!$A$1:$I$89,3,0)*0.475*44/12</f>
        <v>2.5169146664462192E-19</v>
      </c>
      <c r="AC194" s="22">
        <f t="shared" si="163"/>
        <v>15.969490579594179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373.78622001879341</v>
      </c>
      <c r="T195" s="59">
        <f t="shared" si="142"/>
        <v>471.13220915651465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14.322176927819987</v>
      </c>
      <c r="AA195" s="21">
        <f>EXP(-LN(2)/25)*AA194+(1-EXP(-LN(2)/25))/(LN(2)/25)*Calculateur!V195*Calculateur!X195*VLOOKUP('Données projet'!$B$9,Paramètres!$A$1:$I$89,3,0)*0.475*44/12</f>
        <v>1.3236346283064513</v>
      </c>
      <c r="AB195" s="21">
        <f>EXP(-LN(2)/2)*AB194+(1-EXP(-LN(2)/2))/(LN(2)/2)*V195*Y195*VLOOKUP('Données projet'!$B$9,Paramètres!$A$1:$I$89,3,0)*0.475*44/12</f>
        <v>1.779727428311999E-19</v>
      </c>
      <c r="AC195" s="22">
        <f t="shared" si="163"/>
        <v>15.645811556126437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373.78622001879341</v>
      </c>
      <c r="T196" s="59">
        <f t="shared" si="142"/>
        <v>471.13220915651465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14.041327773930787</v>
      </c>
      <c r="AA196" s="21">
        <f>EXP(-LN(2)/25)*AA195+(1-EXP(-LN(2)/25))/(LN(2)/25)*Calculateur!V196*Calculateur!X196*VLOOKUP('Données projet'!$B$9,Paramètres!$A$1:$I$89,3,0)*0.475*44/12</f>
        <v>1.2874397697884914</v>
      </c>
      <c r="AB196" s="21">
        <f>EXP(-LN(2)/2)*AB195+(1-EXP(-LN(2)/2))/(LN(2)/2)*V196*Y196*VLOOKUP('Données projet'!$B$9,Paramètres!$A$1:$I$89,3,0)*0.475*44/12</f>
        <v>1.2584573332231096E-19</v>
      </c>
      <c r="AC196" s="22">
        <f t="shared" si="163"/>
        <v>15.328767543719279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373.78622001879341</v>
      </c>
      <c r="T197" s="59">
        <f t="shared" ref="T197:T203" si="204">$T$3</f>
        <v>471.13220915651465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13.765985900648285</v>
      </c>
      <c r="AA197" s="21">
        <f>EXP(-LN(2)/25)*AA196+(1-EXP(-LN(2)/25))/(LN(2)/25)*Calculateur!V197*Calculateur!X197*VLOOKUP('Données projet'!$B$9,Paramètres!$A$1:$I$89,3,0)*0.475*44/12</f>
        <v>1.2522346615801101</v>
      </c>
      <c r="AB197" s="21">
        <f>EXP(-LN(2)/2)*AB196+(1-EXP(-LN(2)/2))/(LN(2)/2)*V197*Y197*VLOOKUP('Données projet'!$B$9,Paramètres!$A$1:$I$89,3,0)*0.475*44/12</f>
        <v>8.898637141559995E-20</v>
      </c>
      <c r="AC197" s="22">
        <f t="shared" si="163"/>
        <v>15.018220562228395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373.78622001879341</v>
      </c>
      <c r="T198" s="59">
        <f t="shared" si="204"/>
        <v>471.13220915651465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13.496043313558895</v>
      </c>
      <c r="AA198" s="21">
        <f>EXP(-LN(2)/25)*AA197+(1-EXP(-LN(2)/25))/(LN(2)/25)*Calculateur!V198*Calculateur!X198*VLOOKUP('Données projet'!$B$9,Paramètres!$A$1:$I$89,3,0)*0.475*44/12</f>
        <v>1.2179922389070432</v>
      </c>
      <c r="AB198" s="21">
        <f>EXP(-LN(2)/2)*AB197+(1-EXP(-LN(2)/2))/(LN(2)/2)*V198*Y198*VLOOKUP('Données projet'!$B$9,Paramètres!$A$1:$I$89,3,0)*0.475*44/12</f>
        <v>6.292286666115548E-20</v>
      </c>
      <c r="AC198" s="22">
        <f t="shared" si="163"/>
        <v>14.714035552465937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373.78622001879341</v>
      </c>
      <c r="T199" s="59">
        <f t="shared" si="204"/>
        <v>471.13220915651465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13.231394135953606</v>
      </c>
      <c r="AA199" s="21">
        <f>EXP(-LN(2)/25)*AA198+(1-EXP(-LN(2)/25))/(LN(2)/25)*Calculateur!V199*Calculateur!X199*VLOOKUP('Données projet'!$B$9,Paramètres!$A$1:$I$89,3,0)*0.475*44/12</f>
        <v>1.184686177082702</v>
      </c>
      <c r="AB199" s="21">
        <f>EXP(-LN(2)/2)*AB198+(1-EXP(-LN(2)/2))/(LN(2)/2)*V199*Y199*VLOOKUP('Données projet'!$B$9,Paramètres!$A$1:$I$89,3,0)*0.475*44/12</f>
        <v>4.4493185707799975E-20</v>
      </c>
      <c r="AC199" s="22">
        <f t="shared" si="163"/>
        <v>14.416080313036307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373.78622001879341</v>
      </c>
      <c r="T200" s="59">
        <f t="shared" si="204"/>
        <v>471.13220915651465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12.971934567301098</v>
      </c>
      <c r="AA200" s="21">
        <f>EXP(-LN(2)/25)*AA199+(1-EXP(-LN(2)/25))/(LN(2)/25)*Calculateur!V200*Calculateur!X200*VLOOKUP('Données projet'!$B$9,Paramètres!$A$1:$I$89,3,0)*0.475*44/12</f>
        <v>1.1522908712704372</v>
      </c>
      <c r="AB200" s="21">
        <f>EXP(-LN(2)/2)*AB199+(1-EXP(-LN(2)/2))/(LN(2)/2)*V200*Y200*VLOOKUP('Données projet'!$B$9,Paramètres!$A$1:$I$89,3,0)*0.475*44/12</f>
        <v>3.146143333057774E-20</v>
      </c>
      <c r="AC200" s="22">
        <f t="shared" si="163"/>
        <v>14.124225438571536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373.78622001879341</v>
      </c>
      <c r="T201" s="59">
        <f t="shared" si="204"/>
        <v>471.13220915651465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12.717562842535154</v>
      </c>
      <c r="AA201" s="21">
        <f>EXP(-LN(2)/25)*AA200+(1-EXP(-LN(2)/25))/(LN(2)/25)*Calculateur!V201*Calculateur!X201*VLOOKUP('Données projet'!$B$9,Paramètres!$A$1:$I$89,3,0)*0.475*44/12</f>
        <v>1.1207814167992038</v>
      </c>
      <c r="AB201" s="21">
        <f>EXP(-LN(2)/2)*AB200+(1-EXP(-LN(2)/2))/(LN(2)/2)*V201*Y201*VLOOKUP('Données projet'!$B$9,Paramètres!$A$1:$I$89,3,0)*0.475*44/12</f>
        <v>2.2246592853899987E-20</v>
      </c>
      <c r="AC201" s="22">
        <f t="shared" si="163"/>
        <v>13.838344259334358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373.78622001879341</v>
      </c>
      <c r="T202" s="59">
        <f t="shared" si="204"/>
        <v>471.13220915651465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12.468179192140438</v>
      </c>
      <c r="AA202" s="21">
        <f>EXP(-LN(2)/25)*AA201+(1-EXP(-LN(2)/25))/(LN(2)/25)*Calculateur!V202*Calculateur!X202*VLOOKUP('Données projet'!$B$9,Paramètres!$A$1:$I$89,3,0)*0.475*44/12</f>
        <v>1.0901335900174964</v>
      </c>
      <c r="AB202" s="21">
        <f>EXP(-LN(2)/2)*AB201+(1-EXP(-LN(2)/2))/(LN(2)/2)*V202*Y202*VLOOKUP('Données projet'!$B$9,Paramètres!$A$1:$I$89,3,0)*0.475*44/12</f>
        <v>1.573071666528887E-20</v>
      </c>
      <c r="AC202" s="22">
        <f t="shared" si="163"/>
        <v>13.558312782157934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373.78622001879341</v>
      </c>
      <c r="T203" s="59">
        <f t="shared" si="204"/>
        <v>471.13220915651465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12.223685803020956</v>
      </c>
      <c r="AA203" s="21">
        <f>EXP(-LN(2)/25)*AA202+(1-EXP(-LN(2)/25))/(LN(2)/25)*Calculateur!V203*Calculateur!X203*VLOOKUP('Données projet'!$B$9,Paramètres!$A$1:$I$89,3,0)*0.475*44/12</f>
        <v>1.0603238296708339</v>
      </c>
      <c r="AB203" s="21">
        <f>EXP(-LN(2)/2)*AB202+(1-EXP(-LN(2)/2))/(LN(2)/2)*V203*Y203*VLOOKUP('Données projet'!$B$9,Paramètres!$A$1:$I$89,3,0)*0.475*44/12</f>
        <v>1.1123296426949994E-20</v>
      </c>
      <c r="AC203" s="22">
        <f t="shared" si="163"/>
        <v>13.28400963269179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1.415512811118399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2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6.2</v>
      </c>
      <c r="C6" s="147">
        <f ca="1">IF(OR('Données projet'!B9="",'Données projet'!C9="",'Données projet'!C9=0%),0,Calculateur!S3)</f>
        <v>373.78622001879341</v>
      </c>
      <c r="D6" s="147">
        <f>IF(OR('Données projet'!B9="",'Données projet'!C9="",'Données projet'!C9=0%),0,Calculateur!T3)</f>
        <v>471.13220915651465</v>
      </c>
      <c r="E6" s="147">
        <f ca="1">MIN(C6,D6)</f>
        <v>373.78622001879341</v>
      </c>
      <c r="F6" s="147">
        <f ca="1">E6*B6</f>
        <v>2317.4745641165191</v>
      </c>
      <c r="G6" s="147">
        <f ca="1">F6*(100%-'Données projet'!$C$24)*(100%-'Données projet'!$C$25)*(100%-'Données projet'!$C$26)*(100%-'Données projet'!$C$27)</f>
        <v>1772.8680415491372</v>
      </c>
      <c r="H6" s="148">
        <f>IF(OR('Données projet'!B9="",'Données projet'!C9="",'Données projet'!C9=0%),0,AVERAGE(Calculateur!$AC$3:$AC$33)*B6)</f>
        <v>104.93268144037887</v>
      </c>
      <c r="I6" s="149">
        <f>H6*(100%-'Données projet'!$C$24)*(100%-'Données projet'!$C$25)*(100%-'Données projet'!$C$26)*(100%-'Données projet'!$C$27)</f>
        <v>80.273501301889837</v>
      </c>
      <c r="J6" s="150">
        <f>IF(OR('Données projet'!B9="",'Données projet'!C9="",'Données projet'!C9=0%),0,SUM(Calculateur!$V$3:$V$33)*VLOOKUP('Données projet'!$B$9,Paramètres!$A$1:$I$89,9,0)*B6)</f>
        <v>691.87411999999995</v>
      </c>
      <c r="K6" s="151">
        <f>J6*(100%-'Données projet'!$C$24)*(100%-'Données projet'!$C$25)*(100%-'Données projet'!$C$26)*(100%-'Données projet'!$C$27)</f>
        <v>529.2837017999999</v>
      </c>
      <c r="L6" s="152">
        <f ca="1">G6+I6+K6</f>
        <v>2382.4252446510268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2317.4745641165191</v>
      </c>
      <c r="G16" s="166">
        <f t="shared" ca="1" si="3"/>
        <v>1772.8680415491372</v>
      </c>
      <c r="H16" s="167">
        <f t="shared" si="3"/>
        <v>104.93268144037887</v>
      </c>
      <c r="I16" s="167">
        <f t="shared" si="3"/>
        <v>80.273501301889837</v>
      </c>
      <c r="J16" s="168">
        <f t="shared" si="3"/>
        <v>691.87411999999995</v>
      </c>
      <c r="K16" s="168">
        <f t="shared" si="3"/>
        <v>529.2837017999999</v>
      </c>
      <c r="L16" s="169">
        <f t="shared" ca="1" si="3"/>
        <v>2382.4252446510268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7" zoomScale="80" zoomScaleNormal="80" workbookViewId="0">
      <selection activeCell="S30" sqref="S3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2631.3884907936431</v>
      </c>
      <c r="U10" s="178">
        <f>'Données projet'!D9</f>
        <v>6.2</v>
      </c>
      <c r="V10" s="177">
        <f>U10*T10</f>
        <v>16314.608642920588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449.99999999999989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64.72</v>
      </c>
      <c r="C23" s="193">
        <v>10</v>
      </c>
      <c r="D23" s="182">
        <f>B23*C23</f>
        <v>647.20000000000005</v>
      </c>
      <c r="E23" s="193">
        <v>400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-1484.434419280371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63.34</v>
      </c>
      <c r="C24" s="193">
        <v>10</v>
      </c>
      <c r="D24" s="182">
        <f t="shared" ref="D24:D42" si="2">B24*C24</f>
        <v>633.40000000000009</v>
      </c>
      <c r="E24" s="193">
        <v>400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744.9300432645382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61.08</v>
      </c>
      <c r="C25" s="193">
        <v>15</v>
      </c>
      <c r="D25" s="182">
        <f t="shared" si="2"/>
        <v>916.19999999999993</v>
      </c>
      <c r="E25" s="193">
        <v>400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-2229.3644625449092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83.88</v>
      </c>
      <c r="C26" s="193">
        <v>20</v>
      </c>
      <c r="D26" s="182">
        <f t="shared" si="2"/>
        <v>1677.6</v>
      </c>
      <c r="E26" s="193">
        <v>400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120.46</v>
      </c>
      <c r="C27" s="193">
        <v>25</v>
      </c>
      <c r="D27" s="182">
        <f t="shared" si="2"/>
        <v>3011.5</v>
      </c>
      <c r="E27" s="193">
        <v>400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109.16</v>
      </c>
      <c r="C28" s="193">
        <v>25</v>
      </c>
      <c r="D28" s="182">
        <f t="shared" si="2"/>
        <v>2729</v>
      </c>
      <c r="E28" s="193">
        <v>400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580.41999999999996</v>
      </c>
      <c r="C29" s="193">
        <v>25</v>
      </c>
      <c r="D29" s="182">
        <f t="shared" si="2"/>
        <v>14510.499999999998</v>
      </c>
      <c r="E29" s="193">
        <v>400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2024-02-28T09:39:01Z</dcterms:modified>
</cp:coreProperties>
</file>