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ZA - CHAPELLE D ALIGNE (72) - SIMON\dossier déposé 20 11 2023\"/>
    </mc:Choice>
  </mc:AlternateContent>
  <xr:revisionPtr revIDLastSave="0" documentId="13_ncr:1_{B6453A72-0599-4D22-9113-07620868ED7C}" xr6:coauthVersionLast="36" xr6:coauthVersionMax="36" xr10:uidLastSave="{00000000-0000-0000-0000-000000000000}"/>
  <bookViews>
    <workbookView xWindow="0" yWindow="0" windowWidth="28800" windowHeight="1210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4" i="2" l="1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11" i="2" l="1"/>
  <c r="BI27" i="2"/>
  <c r="BI36" i="2"/>
  <c r="BI157" i="2"/>
  <c r="BI113" i="2"/>
  <c r="BI35" i="2"/>
  <c r="BI96" i="2"/>
  <c r="BI89" i="2"/>
  <c r="BI66" i="2"/>
  <c r="BI148" i="2"/>
  <c r="BI174" i="2"/>
  <c r="BI47" i="2"/>
  <c r="BI146" i="2"/>
  <c r="BI199" i="2"/>
  <c r="BI164" i="2"/>
  <c r="BI142" i="2"/>
  <c r="BI134" i="2"/>
  <c r="BI118" i="2"/>
  <c r="BI132" i="2"/>
  <c r="BI170" i="2"/>
  <c r="BI155" i="2"/>
  <c r="BI115" i="2"/>
  <c r="BI125" i="2"/>
  <c r="BI109" i="2"/>
  <c r="BI138" i="2"/>
  <c r="BI160" i="2"/>
  <c r="BI102" i="2"/>
  <c r="BI190" i="2"/>
  <c r="BI159" i="2"/>
  <c r="BI182" i="2"/>
  <c r="BI33" i="2"/>
  <c r="BI50" i="2"/>
  <c r="BI197" i="2"/>
  <c r="BI51" i="2"/>
  <c r="BI186" i="2"/>
  <c r="BI44" i="2"/>
  <c r="BI97" i="2"/>
  <c r="BI98" i="2"/>
  <c r="BI105" i="2"/>
  <c r="BI74" i="2"/>
  <c r="BI112" i="2"/>
  <c r="BI21" i="2"/>
  <c r="BI49" i="2"/>
  <c r="BI101" i="2"/>
  <c r="BI188" i="2"/>
  <c r="BI108" i="2"/>
  <c r="BI191" i="2"/>
  <c r="BI15" i="2"/>
  <c r="BI14" i="2"/>
  <c r="BI193" i="2"/>
  <c r="BI60" i="2"/>
  <c r="BI119" i="2"/>
  <c r="BI37" i="2"/>
  <c r="BI184" i="2"/>
  <c r="BI116" i="2"/>
  <c r="BI9" i="2"/>
  <c r="BI59" i="2"/>
  <c r="BI30" i="2"/>
  <c r="BI19" i="2"/>
  <c r="BI153" i="2"/>
  <c r="BI92" i="2"/>
  <c r="BI117" i="2"/>
  <c r="BI152" i="2"/>
  <c r="BI6" i="2"/>
  <c r="BI201" i="2"/>
  <c r="BI173" i="2"/>
  <c r="BI88" i="2"/>
  <c r="BI52" i="2"/>
  <c r="BI180" i="2"/>
  <c r="BI137" i="2"/>
  <c r="BI122" i="2"/>
  <c r="BI202" i="2"/>
  <c r="BI65" i="2"/>
  <c r="BI43" i="2"/>
  <c r="BI12" i="2"/>
  <c r="BI63" i="2"/>
  <c r="BI72" i="2"/>
  <c r="BI124" i="2"/>
  <c r="BI196" i="2"/>
  <c r="BI95" i="2"/>
  <c r="BI145" i="2"/>
  <c r="BI128" i="2"/>
  <c r="BI17" i="2"/>
  <c r="BI83" i="2"/>
  <c r="BI168" i="2"/>
  <c r="BI175" i="2"/>
  <c r="BI54" i="2"/>
  <c r="BI80" i="2"/>
  <c r="BI56" i="2"/>
  <c r="BI34" i="2"/>
  <c r="BI123" i="2"/>
  <c r="BI192" i="2"/>
  <c r="BI67" i="2"/>
  <c r="BI5" i="2"/>
  <c r="BI62" i="2"/>
  <c r="BI91" i="2"/>
  <c r="BI53" i="2"/>
  <c r="BI163" i="2"/>
  <c r="BI176" i="2"/>
  <c r="BI161" i="2"/>
  <c r="BI135" i="2"/>
  <c r="BI46" i="2"/>
  <c r="BI129" i="2"/>
  <c r="BI48" i="2"/>
  <c r="BI121" i="2"/>
  <c r="BI68" i="2"/>
  <c r="BI22" i="2"/>
  <c r="BI177" i="2"/>
  <c r="BI8" i="2"/>
  <c r="BI55" i="2"/>
  <c r="BI79" i="2"/>
  <c r="BI203" i="2"/>
  <c r="BI166" i="2"/>
  <c r="BI130" i="2"/>
  <c r="BI94" i="2"/>
  <c r="BI57" i="2"/>
  <c r="BI39" i="2"/>
  <c r="BI28" i="2"/>
  <c r="BI41" i="2"/>
  <c r="BI181" i="2"/>
  <c r="BI85" i="2"/>
  <c r="BI172" i="2"/>
  <c r="BI167" i="2"/>
  <c r="BI156" i="2"/>
  <c r="BI4" i="2"/>
  <c r="BI13" i="2"/>
  <c r="BI42" i="2"/>
  <c r="BI144" i="2"/>
  <c r="BI110" i="2"/>
  <c r="BI70" i="2"/>
  <c r="BI171" i="2"/>
  <c r="BI24" i="2"/>
  <c r="BI151" i="2"/>
  <c r="BI32" i="2"/>
  <c r="BI23" i="2"/>
  <c r="BI29" i="2"/>
  <c r="BI20" i="2"/>
  <c r="BI150" i="2"/>
  <c r="BI162" i="2"/>
  <c r="BI10" i="2"/>
  <c r="BI126" i="2"/>
  <c r="BI120" i="2"/>
  <c r="BI3" i="2"/>
  <c r="C8" i="4" s="1"/>
  <c r="E8" i="4" s="1"/>
  <c r="F8" i="4" s="1"/>
  <c r="G8" i="4" s="1"/>
  <c r="L8" i="4" s="1"/>
  <c r="BI99" i="2"/>
  <c r="BI77" i="2"/>
  <c r="BI195" i="2"/>
  <c r="BI140" i="2"/>
  <c r="BI81" i="2"/>
  <c r="BI106" i="2"/>
  <c r="BI178" i="2"/>
  <c r="BI194" i="2"/>
  <c r="BI185" i="2"/>
  <c r="BI133" i="2"/>
  <c r="BI187" i="2"/>
  <c r="BI189" i="2"/>
  <c r="BI71" i="2"/>
  <c r="BI139" i="2"/>
  <c r="BI84" i="2"/>
  <c r="BI45" i="2"/>
  <c r="BI179" i="2"/>
  <c r="BI40" i="2"/>
  <c r="BI149" i="2"/>
  <c r="BI114" i="2"/>
  <c r="BI165" i="2"/>
  <c r="BI169" i="2"/>
  <c r="BI58" i="2"/>
  <c r="BI147" i="2"/>
  <c r="BI200" i="2"/>
  <c r="BI158" i="2"/>
  <c r="BI143" i="2"/>
  <c r="BI127" i="2"/>
  <c r="BI16" i="2"/>
  <c r="BI82" i="2"/>
  <c r="BI25" i="2"/>
  <c r="BI87" i="2"/>
  <c r="BI141" i="2"/>
  <c r="BI131" i="2"/>
  <c r="BI93" i="2"/>
  <c r="BI64" i="2"/>
  <c r="BI61" i="2"/>
  <c r="BI198" i="2"/>
  <c r="BI104" i="2"/>
  <c r="BI38" i="2"/>
  <c r="BI107" i="2"/>
  <c r="BI100" i="2"/>
  <c r="BI154" i="2"/>
  <c r="BI26" i="2"/>
  <c r="BI75" i="2"/>
  <c r="BI90" i="2"/>
  <c r="BI76" i="2"/>
  <c r="BI31" i="2"/>
  <c r="BI73" i="2"/>
  <c r="BI136" i="2"/>
  <c r="BI69" i="2"/>
  <c r="BI11" i="2"/>
  <c r="BI18" i="2"/>
  <c r="BI103" i="2"/>
  <c r="BI78" i="2"/>
  <c r="BI183" i="2"/>
  <c r="BI86" i="2"/>
  <c r="BI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<sst xmlns="http://schemas.openxmlformats.org/spreadsheetml/2006/main" count="1172" uniqueCount="324">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</sst>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289.99681160231404</c:v>
                </c:pt>
                <c:pt idx="32">
                  <c:v>314.07191886152782</c:v>
                </c:pt>
                <c:pt idx="33">
                  <c:v>338.10611860508033</c:v>
                </c:pt>
                <c:pt idx="34">
                  <c:v>362.10272554390014</c:v>
                </c:pt>
                <c:pt idx="35">
                  <c:v>386.06457932909711</c:v>
                </c:pt>
                <c:pt idx="36">
                  <c:v>342.1932186321871</c:v>
                </c:pt>
                <c:pt idx="37">
                  <c:v>364.6534648608133</c:v>
                </c:pt>
                <c:pt idx="38">
                  <c:v>387.08350012671559</c:v>
                </c:pt>
                <c:pt idx="39">
                  <c:v>409.48531996489623</c:v>
                </c:pt>
                <c:pt idx="40">
                  <c:v>431.86068387305687</c:v>
                </c:pt>
                <c:pt idx="41">
                  <c:v>396.25118655434966</c:v>
                </c:pt>
                <c:pt idx="42">
                  <c:v>421.69323961894696</c:v>
                </c:pt>
                <c:pt idx="43">
                  <c:v>447.10225323882656</c:v>
                </c:pt>
                <c:pt idx="44">
                  <c:v>472.48036714392646</c:v>
                </c:pt>
                <c:pt idx="45">
                  <c:v>497.8294726490094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491.74823970258649</c:v>
                </c:pt>
                <c:pt idx="49">
                  <c:v>513.78528004261909</c:v>
                </c:pt>
                <c:pt idx="50">
                  <c:v>535.80237321728112</c:v>
                </c:pt>
                <c:pt idx="51">
                  <c:v>500.61617734977295</c:v>
                </c:pt>
                <c:pt idx="52">
                  <c:v>524.92279412001812</c:v>
                </c:pt>
                <c:pt idx="53">
                  <c:v>549.20570960219959</c:v>
                </c:pt>
                <c:pt idx="54">
                  <c:v>573.46611798533252</c:v>
                </c:pt>
                <c:pt idx="55">
                  <c:v>597.7051042871891</c:v>
                </c:pt>
                <c:pt idx="56">
                  <c:v>558.55867937490257</c:v>
                </c:pt>
                <c:pt idx="57">
                  <c:v>580.03291566489895</c:v>
                </c:pt>
                <c:pt idx="58">
                  <c:v>601.49057626451452</c:v>
                </c:pt>
                <c:pt idx="59">
                  <c:v>622.93233512534789</c:v>
                </c:pt>
                <c:pt idx="60">
                  <c:v>644.35881606732414</c:v>
                </c:pt>
                <c:pt idx="61">
                  <c:v>625.95816246292009</c:v>
                </c:pt>
                <c:pt idx="62">
                  <c:v>647.88645878177363</c:v>
                </c:pt>
                <c:pt idx="63">
                  <c:v>669.79945190168917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2.540478112648191</c:v>
                </c:pt>
                <c:pt idx="2">
                  <c:v>2.992452548044215</c:v>
                </c:pt>
                <c:pt idx="3">
                  <c:v>3.5251330718873373</c:v>
                </c:pt>
                <c:pt idx="4">
                  <c:v>4.1529807145447881</c:v>
                </c:pt>
                <c:pt idx="5">
                  <c:v>4.893056037074623</c:v>
                </c:pt>
                <c:pt idx="6">
                  <c:v>5.7654878297850409</c:v>
                </c:pt>
                <c:pt idx="7">
                  <c:v>6.794026552127332</c:v>
                </c:pt>
                <c:pt idx="8">
                  <c:v>8.0066978742882196</c:v>
                </c:pt>
                <c:pt idx="9">
                  <c:v>9.4365744715711575</c:v>
                </c:pt>
                <c:pt idx="10">
                  <c:v>11.122687521480863</c:v>
                </c:pt>
                <c:pt idx="11">
                  <c:v>13.111103253036314</c:v>
                </c:pt>
                <c:pt idx="12">
                  <c:v>15.456194507857447</c:v>
                </c:pt>
                <c:pt idx="13">
                  <c:v>18.222142722658234</c:v>
                </c:pt>
                <c:pt idx="14">
                  <c:v>21.48471218629679</c:v>
                </c:pt>
                <c:pt idx="15">
                  <c:v>25.333346042887626</c:v>
                </c:pt>
                <c:pt idx="16">
                  <c:v>29.873642520259533</c:v>
                </c:pt>
                <c:pt idx="17">
                  <c:v>35.230280514087497</c:v>
                </c:pt>
                <c:pt idx="18">
                  <c:v>41.550476252632279</c:v>
                </c:pt>
                <c:pt idx="19">
                  <c:v>49.00806766044056</c:v>
                </c:pt>
                <c:pt idx="20">
                  <c:v>57.808340651879291</c:v>
                </c:pt>
                <c:pt idx="21">
                  <c:v>68.193732414244224</c:v>
                </c:pt>
                <c:pt idx="22">
                  <c:v>80.450571373702076</c:v>
                </c:pt>
                <c:pt idx="23">
                  <c:v>94.917042671572176</c:v>
                </c:pt>
                <c:pt idx="24">
                  <c:v>111.99260243703104</c:v>
                </c:pt>
                <c:pt idx="25">
                  <c:v>132.14910489975807</c:v>
                </c:pt>
                <c:pt idx="26">
                  <c:v>130.30991517841125</c:v>
                </c:pt>
                <c:pt idx="27">
                  <c:v>143.17159315460219</c:v>
                </c:pt>
                <c:pt idx="28">
                  <c:v>156.00559553023251</c:v>
                </c:pt>
                <c:pt idx="29">
                  <c:v>168.81452176155747</c:v>
                </c:pt>
                <c:pt idx="30">
                  <c:v>181.60054396431892</c:v>
                </c:pt>
                <c:pt idx="31">
                  <c:v>157.83692263801234</c:v>
                </c:pt>
                <c:pt idx="32">
                  <c:v>172.46992207510786</c:v>
                </c:pt>
                <c:pt idx="33">
                  <c:v>187.07372242622981</c:v>
                </c:pt>
                <c:pt idx="34">
                  <c:v>201.65092519188457</c:v>
                </c:pt>
                <c:pt idx="35">
                  <c:v>216.20372460175975</c:v>
                </c:pt>
                <c:pt idx="36">
                  <c:v>193.27214793812973</c:v>
                </c:pt>
                <c:pt idx="37">
                  <c:v>208.5664261543092</c:v>
                </c:pt>
                <c:pt idx="38">
                  <c:v>223.83481773691517</c:v>
                </c:pt>
                <c:pt idx="39">
                  <c:v>239.07933751109388</c:v>
                </c:pt>
                <c:pt idx="40">
                  <c:v>254.30172220416443</c:v>
                </c:pt>
                <c:pt idx="41">
                  <c:v>231.45994723108015</c:v>
                </c:pt>
                <c:pt idx="42">
                  <c:v>246.69319751240889</c:v>
                </c:pt>
                <c:pt idx="43">
                  <c:v>261.90509392198993</c:v>
                </c:pt>
                <c:pt idx="44">
                  <c:v>277.0970514904804</c:v>
                </c:pt>
                <c:pt idx="45">
                  <c:v>292.27031736625918</c:v>
                </c:pt>
                <c:pt idx="46">
                  <c:v>269.14176602787654</c:v>
                </c:pt>
                <c:pt idx="47">
                  <c:v>283.96339386484851</c:v>
                </c:pt>
                <c:pt idx="48">
                  <c:v>298.7677023889039</c:v>
                </c:pt>
                <c:pt idx="49">
                  <c:v>313.55567069110168</c:v>
                </c:pt>
                <c:pt idx="50">
                  <c:v>328.32817795481515</c:v>
                </c:pt>
                <c:pt idx="51">
                  <c:v>304.90122958502047</c:v>
                </c:pt>
                <c:pt idx="52">
                  <c:v>319.32234555972747</c:v>
                </c:pt>
                <c:pt idx="53">
                  <c:v>333.72904960580678</c:v>
                </c:pt>
                <c:pt idx="54">
                  <c:v>348.12205150612681</c:v>
                </c:pt>
                <c:pt idx="55">
                  <c:v>362.50199755720968</c:v>
                </c:pt>
                <c:pt idx="56">
                  <c:v>338.40824566131732</c:v>
                </c:pt>
                <c:pt idx="57">
                  <c:v>352.07781219018153</c:v>
                </c:pt>
                <c:pt idx="58">
                  <c:v>365.73574755728538</c:v>
                </c:pt>
                <c:pt idx="59">
                  <c:v>379.3825473151046</c:v>
                </c:pt>
                <c:pt idx="60">
                  <c:v>393.01866845402537</c:v>
                </c:pt>
                <c:pt idx="61">
                  <c:v>368.25045438962269</c:v>
                </c:pt>
                <c:pt idx="62">
                  <c:v>381.17737444442332</c:v>
                </c:pt>
                <c:pt idx="63">
                  <c:v>394.09476222315897</c:v>
                </c:pt>
                <c:pt idx="64">
                  <c:v>407.00297420734051</c:v>
                </c:pt>
                <c:pt idx="65">
                  <c:v>419.90234242068573</c:v>
                </c:pt>
                <c:pt idx="66">
                  <c:v>394.45344597932922</c:v>
                </c:pt>
                <c:pt idx="67">
                  <c:v>406.64453366510514</c:v>
                </c:pt>
                <c:pt idx="68">
                  <c:v>418.82772515146894</c:v>
                </c:pt>
                <c:pt idx="69">
                  <c:v>431.00328251520642</c:v>
                </c:pt>
                <c:pt idx="70">
                  <c:v>443.17145181723458</c:v>
                </c:pt>
                <c:pt idx="71">
                  <c:v>416.67831216352141</c:v>
                </c:pt>
                <c:pt idx="72">
                  <c:v>427.78106967818326</c:v>
                </c:pt>
                <c:pt idx="73">
                  <c:v>438.87763264294875</c:v>
                </c:pt>
                <c:pt idx="74">
                  <c:v>449.96817978008789</c:v>
                </c:pt>
                <c:pt idx="75">
                  <c:v>461.05288028198464</c:v>
                </c:pt>
                <c:pt idx="76">
                  <c:v>434.22497775587226</c:v>
                </c:pt>
                <c:pt idx="77">
                  <c:v>444.96027949966765</c:v>
                </c:pt>
                <c:pt idx="78">
                  <c:v>455.69003527221344</c:v>
                </c:pt>
                <c:pt idx="79">
                  <c:v>466.41439408694367</c:v>
                </c:pt>
                <c:pt idx="80">
                  <c:v>477.13349754486757</c:v>
                </c:pt>
                <c:pt idx="81">
                  <c:v>449.96817978008789</c:v>
                </c:pt>
                <c:pt idx="82">
                  <c:v>460.33791158124319</c:v>
                </c:pt>
                <c:pt idx="83">
                  <c:v>470.70265841989777</c:v>
                </c:pt>
                <c:pt idx="84">
                  <c:v>481.06254555421032</c:v>
                </c:pt>
                <c:pt idx="85">
                  <c:v>491.41769240661648</c:v>
                </c:pt>
                <c:pt idx="86">
                  <c:v>463.55508464541475</c:v>
                </c:pt>
                <c:pt idx="87">
                  <c:v>473.20376115624663</c:v>
                </c:pt>
                <c:pt idx="88">
                  <c:v>482.84825064496795</c:v>
                </c:pt>
                <c:pt idx="89">
                  <c:v>492.48864855160656</c:v>
                </c:pt>
                <c:pt idx="90">
                  <c:v>502.12504627431389</c:v>
                </c:pt>
                <c:pt idx="91">
                  <c:v>473.56103853531005</c:v>
                </c:pt>
                <c:pt idx="92">
                  <c:v>482.49112087009468</c:v>
                </c:pt>
                <c:pt idx="93">
                  <c:v>491.41769240661642</c:v>
                </c:pt>
                <c:pt idx="94">
                  <c:v>500.34082592690061</c:v>
                </c:pt>
                <c:pt idx="95">
                  <c:v>509.26059140461626</c:v>
                </c:pt>
                <c:pt idx="96">
                  <c:v>480.34822409968433</c:v>
                </c:pt>
                <c:pt idx="97">
                  <c:v>488.91860200532329</c:v>
                </c:pt>
                <c:pt idx="98">
                  <c:v>497.4857929384936</c:v>
                </c:pt>
                <c:pt idx="99">
                  <c:v>506.04985953638561</c:v>
                </c:pt>
                <c:pt idx="100">
                  <c:v>514.61086214265538</c:v>
                </c:pt>
                <c:pt idx="101">
                  <c:v>485.34800219417735</c:v>
                </c:pt>
                <c:pt idx="102">
                  <c:v>493.55955531546334</c:v>
                </c:pt>
                <c:pt idx="103">
                  <c:v>501.76821295558352</c:v>
                </c:pt>
                <c:pt idx="104">
                  <c:v>509.97402917745967</c:v>
                </c:pt>
                <c:pt idx="105">
                  <c:v>518.17705616178989</c:v>
                </c:pt>
                <c:pt idx="106">
                  <c:v>489.9896738522234</c:v>
                </c:pt>
                <c:pt idx="107">
                  <c:v>497.4857929384936</c:v>
                </c:pt>
                <c:pt idx="108">
                  <c:v>504.9795199898486</c:v>
                </c:pt>
                <c:pt idx="109">
                  <c:v>512.47089552301202</c:v>
                </c:pt>
                <c:pt idx="110">
                  <c:v>519.9599587731019</c:v>
                </c:pt>
                <c:pt idx="111">
                  <c:v>492.84562295362849</c:v>
                </c:pt>
                <c:pt idx="112">
                  <c:v>499.62710009899462</c:v>
                </c:pt>
                <c:pt idx="113">
                  <c:v>506.40662874127952</c:v>
                </c:pt>
                <c:pt idx="114">
                  <c:v>513.18423865736406</c:v>
                </c:pt>
                <c:pt idx="115">
                  <c:v>519.95995877310202</c:v>
                </c:pt>
                <c:pt idx="116">
                  <c:v>494.27346578454097</c:v>
                </c:pt>
                <c:pt idx="117">
                  <c:v>500.69768075588399</c:v>
                </c:pt>
                <c:pt idx="118">
                  <c:v>507.12015121083658</c:v>
                </c:pt>
                <c:pt idx="119">
                  <c:v>513.54090237038588</c:v>
                </c:pt>
                <c:pt idx="120">
                  <c:v>519.95995877310224</c:v>
                </c:pt>
                <c:pt idx="121">
                  <c:v>2.6852334783173491E-12</c:v>
                </c:pt>
                <c:pt idx="122">
                  <c:v>2.6852334783173491E-12</c:v>
                </c:pt>
                <c:pt idx="123">
                  <c:v>2.6852334783173491E-12</c:v>
                </c:pt>
                <c:pt idx="124">
                  <c:v>2.6852334783173491E-12</c:v>
                </c:pt>
                <c:pt idx="125">
                  <c:v>2.6852334783173491E-12</c:v>
                </c:pt>
                <c:pt idx="126">
                  <c:v>2.6852334783173491E-12</c:v>
                </c:pt>
                <c:pt idx="127">
                  <c:v>2.6852334783173491E-12</c:v>
                </c:pt>
                <c:pt idx="128">
                  <c:v>2.6852334783173491E-12</c:v>
                </c:pt>
                <c:pt idx="129">
                  <c:v>2.6852334783173491E-12</c:v>
                </c:pt>
                <c:pt idx="130">
                  <c:v>2.6852334783173491E-12</c:v>
                </c:pt>
                <c:pt idx="131">
                  <c:v>2.6852334783173491E-12</c:v>
                </c:pt>
                <c:pt idx="132">
                  <c:v>2.6852334783173491E-12</c:v>
                </c:pt>
                <c:pt idx="133">
                  <c:v>2.6852334783173491E-12</c:v>
                </c:pt>
                <c:pt idx="134">
                  <c:v>2.6852334783173491E-12</c:v>
                </c:pt>
                <c:pt idx="135">
                  <c:v>2.6852334783173491E-12</c:v>
                </c:pt>
                <c:pt idx="136">
                  <c:v>2.6852334783173491E-12</c:v>
                </c:pt>
                <c:pt idx="137">
                  <c:v>2.6852334783173491E-12</c:v>
                </c:pt>
                <c:pt idx="138">
                  <c:v>2.6852334783173491E-12</c:v>
                </c:pt>
                <c:pt idx="139">
                  <c:v>2.6852334783173491E-12</c:v>
                </c:pt>
                <c:pt idx="140">
                  <c:v>2.6852334783173491E-12</c:v>
                </c:pt>
                <c:pt idx="141">
                  <c:v>2.6852334783173491E-12</c:v>
                </c:pt>
                <c:pt idx="142">
                  <c:v>2.6852334783173491E-12</c:v>
                </c:pt>
                <c:pt idx="143">
                  <c:v>2.6852334783173491E-12</c:v>
                </c:pt>
                <c:pt idx="144">
                  <c:v>2.6852334783173491E-12</c:v>
                </c:pt>
                <c:pt idx="145">
                  <c:v>2.6852334783173491E-12</c:v>
                </c:pt>
                <c:pt idx="146">
                  <c:v>2.6852334783173491E-12</c:v>
                </c:pt>
                <c:pt idx="147">
                  <c:v>2.6852334783173491E-12</c:v>
                </c:pt>
                <c:pt idx="148">
                  <c:v>2.6852334783173491E-12</c:v>
                </c:pt>
                <c:pt idx="149">
                  <c:v>2.6852334783173491E-12</c:v>
                </c:pt>
                <c:pt idx="150">
                  <c:v>2.6852334783173491E-12</c:v>
                </c:pt>
                <c:pt idx="151">
                  <c:v>2.6852334783173491E-12</c:v>
                </c:pt>
                <c:pt idx="152">
                  <c:v>2.6852334783173491E-12</c:v>
                </c:pt>
                <c:pt idx="153">
                  <c:v>2.6852334783173491E-12</c:v>
                </c:pt>
                <c:pt idx="154">
                  <c:v>2.6852334783173491E-12</c:v>
                </c:pt>
                <c:pt idx="155">
                  <c:v>2.6852334783173491E-12</c:v>
                </c:pt>
                <c:pt idx="156">
                  <c:v>2.6852334783173491E-12</c:v>
                </c:pt>
                <c:pt idx="157">
                  <c:v>2.6852334783173491E-12</c:v>
                </c:pt>
                <c:pt idx="158">
                  <c:v>2.6852334783173491E-12</c:v>
                </c:pt>
                <c:pt idx="159">
                  <c:v>2.6852334783173491E-12</c:v>
                </c:pt>
                <c:pt idx="160">
                  <c:v>2.6852334783173491E-12</c:v>
                </c:pt>
                <c:pt idx="161">
                  <c:v>2.6852334783173491E-12</c:v>
                </c:pt>
                <c:pt idx="162">
                  <c:v>2.6852334783173491E-12</c:v>
                </c:pt>
                <c:pt idx="163">
                  <c:v>2.6852334783173491E-12</c:v>
                </c:pt>
                <c:pt idx="164">
                  <c:v>2.6852334783173491E-12</c:v>
                </c:pt>
                <c:pt idx="165">
                  <c:v>2.6852334783173491E-12</c:v>
                </c:pt>
                <c:pt idx="166">
                  <c:v>2.6852334783173491E-12</c:v>
                </c:pt>
                <c:pt idx="167">
                  <c:v>2.6852334783173491E-12</c:v>
                </c:pt>
                <c:pt idx="168">
                  <c:v>2.6852334783173491E-12</c:v>
                </c:pt>
                <c:pt idx="169">
                  <c:v>2.6852334783173491E-12</c:v>
                </c:pt>
                <c:pt idx="170">
                  <c:v>2.6852334783173491E-12</c:v>
                </c:pt>
                <c:pt idx="171">
                  <c:v>2.6852334783173491E-12</c:v>
                </c:pt>
                <c:pt idx="172">
                  <c:v>2.6852334783173491E-12</c:v>
                </c:pt>
                <c:pt idx="173">
                  <c:v>2.6852334783173491E-12</c:v>
                </c:pt>
                <c:pt idx="174">
                  <c:v>2.6852334783173491E-12</c:v>
                </c:pt>
                <c:pt idx="175">
                  <c:v>2.6852334783173491E-12</c:v>
                </c:pt>
                <c:pt idx="176">
                  <c:v>2.6852334783173491E-12</c:v>
                </c:pt>
                <c:pt idx="177">
                  <c:v>2.6852334783173491E-12</c:v>
                </c:pt>
                <c:pt idx="178">
                  <c:v>2.6852334783173491E-12</c:v>
                </c:pt>
                <c:pt idx="179">
                  <c:v>2.6852334783173491E-12</c:v>
                </c:pt>
                <c:pt idx="180">
                  <c:v>2.6852334783173491E-12</c:v>
                </c:pt>
                <c:pt idx="181">
                  <c:v>2.6852334783173491E-12</c:v>
                </c:pt>
                <c:pt idx="182">
                  <c:v>2.6852334783173491E-12</c:v>
                </c:pt>
                <c:pt idx="183">
                  <c:v>2.6852334783173491E-12</c:v>
                </c:pt>
                <c:pt idx="184">
                  <c:v>2.6852334783173491E-12</c:v>
                </c:pt>
                <c:pt idx="185">
                  <c:v>2.6852334783173491E-12</c:v>
                </c:pt>
                <c:pt idx="186">
                  <c:v>2.6852334783173491E-12</c:v>
                </c:pt>
                <c:pt idx="187">
                  <c:v>2.6852334783173491E-12</c:v>
                </c:pt>
                <c:pt idx="188">
                  <c:v>2.6852334783173491E-12</c:v>
                </c:pt>
                <c:pt idx="189">
                  <c:v>2.6852334783173491E-12</c:v>
                </c:pt>
                <c:pt idx="190">
                  <c:v>2.6852334783173491E-12</c:v>
                </c:pt>
                <c:pt idx="191">
                  <c:v>2.6852334783173491E-12</c:v>
                </c:pt>
                <c:pt idx="192">
                  <c:v>2.6852334783173491E-12</c:v>
                </c:pt>
                <c:pt idx="193">
                  <c:v>2.6852334783173491E-12</c:v>
                </c:pt>
                <c:pt idx="194">
                  <c:v>2.6852334783173491E-12</c:v>
                </c:pt>
                <c:pt idx="195">
                  <c:v>2.6852334783173491E-12</c:v>
                </c:pt>
                <c:pt idx="196">
                  <c:v>2.6852334783173491E-12</c:v>
                </c:pt>
                <c:pt idx="197">
                  <c:v>2.6852334783173491E-12</c:v>
                </c:pt>
                <c:pt idx="198">
                  <c:v>2.6852334783173491E-12</c:v>
                </c:pt>
                <c:pt idx="199">
                  <c:v>2.6852334783173491E-12</c:v>
                </c:pt>
                <c:pt idx="200">
                  <c:v>2.6852334783173491E-12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D27" sqref="D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3.75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0.25333</v>
      </c>
      <c r="D9" s="36">
        <f t="shared" ref="D9:D18" si="0">C9*$C$5</f>
        <v>0.94998749999999998</v>
      </c>
      <c r="E9" s="37">
        <v>65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0.5333</v>
      </c>
      <c r="D10" s="36">
        <f t="shared" si="0"/>
        <v>1.9998750000000001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</v>
      </c>
      <c r="C11" s="35">
        <v>0.21329999999999999</v>
      </c>
      <c r="D11" s="36">
        <f t="shared" si="0"/>
        <v>0.799875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0.99992999999999999</v>
      </c>
      <c r="D19" s="41">
        <f>SUM(D9:D18)</f>
        <v>3.7497375000000002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17</v>
      </c>
      <c r="B36" s="63">
        <v>118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6.9411764705882355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137</v>
      </c>
      <c r="C37" s="63">
        <v>2</v>
      </c>
      <c r="D37" s="63">
        <v>15</v>
      </c>
      <c r="E37" s="54"/>
      <c r="F37" s="54"/>
      <c r="G37" s="54">
        <v>1</v>
      </c>
      <c r="H37" s="54"/>
      <c r="I37" s="56">
        <f t="shared" ref="I37:I55" si="1">IF(A37&lt;&gt;0,(B37-(B36-D36))/(A37-A36),"")</f>
        <v>11.333333333333334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204</v>
      </c>
      <c r="C38" s="63">
        <v>3</v>
      </c>
      <c r="D38" s="63">
        <v>36</v>
      </c>
      <c r="E38" s="54">
        <v>0.15</v>
      </c>
      <c r="F38" s="54">
        <v>0.4</v>
      </c>
      <c r="G38" s="54">
        <v>0.45</v>
      </c>
      <c r="H38" s="54"/>
      <c r="I38" s="56">
        <f t="shared" si="1"/>
        <v>16.399999999999999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256</v>
      </c>
      <c r="C39" s="63">
        <v>4</v>
      </c>
      <c r="D39" s="63">
        <v>54</v>
      </c>
      <c r="E39" s="54">
        <v>0.2</v>
      </c>
      <c r="F39" s="54">
        <v>0.4</v>
      </c>
      <c r="G39" s="54">
        <v>0.4</v>
      </c>
      <c r="H39" s="54"/>
      <c r="I39" s="52">
        <f t="shared" si="1"/>
        <v>17.600000000000001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296</v>
      </c>
      <c r="C40" s="63">
        <v>5</v>
      </c>
      <c r="D40" s="63">
        <v>52</v>
      </c>
      <c r="E40" s="54"/>
      <c r="F40" s="54"/>
      <c r="G40" s="54"/>
      <c r="H40" s="54"/>
      <c r="I40" s="52">
        <f t="shared" si="1"/>
        <v>18.8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332</v>
      </c>
      <c r="C41" s="63">
        <v>6</v>
      </c>
      <c r="D41" s="63">
        <v>48</v>
      </c>
      <c r="E41" s="54"/>
      <c r="F41" s="54"/>
      <c r="G41" s="54"/>
      <c r="H41" s="54"/>
      <c r="I41" s="56">
        <f t="shared" si="1"/>
        <v>17.600000000000001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384</v>
      </c>
      <c r="C42" s="63">
        <v>7</v>
      </c>
      <c r="D42" s="63">
        <v>57</v>
      </c>
      <c r="E42" s="54"/>
      <c r="F42" s="54"/>
      <c r="G42" s="54"/>
      <c r="H42" s="54"/>
      <c r="I42" s="56">
        <f t="shared" si="1"/>
        <v>20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v>414</v>
      </c>
      <c r="C43" s="63">
        <v>8</v>
      </c>
      <c r="D43" s="63">
        <v>47</v>
      </c>
      <c r="E43" s="54"/>
      <c r="F43" s="54"/>
      <c r="G43" s="54"/>
      <c r="H43" s="54"/>
      <c r="I43" s="52">
        <f t="shared" si="1"/>
        <v>17.399999999999999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463</v>
      </c>
      <c r="C44" s="63">
        <v>9</v>
      </c>
      <c r="D44" s="63">
        <v>48</v>
      </c>
      <c r="E44" s="54"/>
      <c r="F44" s="54"/>
      <c r="G44" s="54"/>
      <c r="H44" s="54"/>
      <c r="I44" s="52">
        <f t="shared" si="1"/>
        <v>19.2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60</v>
      </c>
      <c r="B45" s="63">
        <v>500</v>
      </c>
      <c r="C45" s="63">
        <v>10</v>
      </c>
      <c r="D45" s="63">
        <v>32</v>
      </c>
      <c r="E45" s="54"/>
      <c r="F45" s="54"/>
      <c r="G45" s="54"/>
      <c r="H45" s="54"/>
      <c r="I45" s="52">
        <f t="shared" si="1"/>
        <v>17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65</v>
      </c>
      <c r="B46" s="63">
        <v>555</v>
      </c>
      <c r="C46" s="63">
        <v>11</v>
      </c>
      <c r="D46" s="63">
        <v>555</v>
      </c>
      <c r="E46" s="54"/>
      <c r="F46" s="54"/>
      <c r="G46" s="54"/>
      <c r="H46" s="54"/>
      <c r="I46" s="52">
        <f t="shared" si="1"/>
        <v>17.399999999999999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70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97</v>
      </c>
      <c r="C63" s="63">
        <v>2</v>
      </c>
      <c r="D63" s="63">
        <v>21</v>
      </c>
      <c r="E63" s="54"/>
      <c r="F63" s="54">
        <v>0.3</v>
      </c>
      <c r="G63" s="54">
        <v>0.7</v>
      </c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178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8.1999999999999993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197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252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261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284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4.5999999999999996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285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285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285</v>
      </c>
      <c r="C81" s="53">
        <v>20</v>
      </c>
      <c r="D81" s="53">
        <v>285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pédonculé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70</v>
      </c>
      <c r="C88" s="63">
        <v>1</v>
      </c>
      <c r="D88" s="63">
        <v>8</v>
      </c>
      <c r="E88" s="54"/>
      <c r="F88" s="54"/>
      <c r="G88" s="54"/>
      <c r="H88" s="93">
        <v>1</v>
      </c>
      <c r="I88" s="56">
        <f>IFERROR(B88/A88,"")</f>
        <v>2.8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97</v>
      </c>
      <c r="C89" s="63">
        <v>2</v>
      </c>
      <c r="D89" s="63">
        <v>21</v>
      </c>
      <c r="E89" s="54"/>
      <c r="F89" s="54">
        <v>0.3</v>
      </c>
      <c r="G89" s="54">
        <v>0.7</v>
      </c>
      <c r="H89" s="93"/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178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8.1999999999999993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197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214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252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261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269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5.8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275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279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282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284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4.5999999999999996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285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285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285</v>
      </c>
      <c r="C107" s="53">
        <v>20</v>
      </c>
      <c r="D107" s="53">
        <v>285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6" sqref="G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138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laricio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sessile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pédonculé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348.62416478262719</v>
      </c>
      <c r="T3" s="62">
        <f>IF('Données projet'!E9&gt;30,$R$33-$H$33,LOOKUP('Données projet'!$E$9,$A$3:$A$203,R3:R203)-LOOKUP('Données projet'!$E$9,$A$3:$A$203,$H$3:$H$203))</f>
        <v>371.70674704563288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371.7282125501186</v>
      </c>
      <c r="AO3" s="62">
        <f>IF('Données projet'!E10&gt;30,$AM$33-$H$33,LOOKUP('Données projet'!$E$10,$A$3:$A$203,AM3:AM203)-LOOKUP('Données projet'!$E$10,$A$3:$A$203,$H$3:$H$203))</f>
        <v>231.36959598460686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348.82438445524105</v>
      </c>
      <c r="BJ3" s="62">
        <f>IF('Données projet'!E11&gt;30,$BH$33-$H$33,LOOKUP('Données projet'!$E$11,$A$3:$A$203,BH3:BH203)-LOOKUP('Données projet'!$E$11,$A$3:$A$203,$H$3:$H$203))</f>
        <v>218.26721063098552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6.9411764705882355</v>
      </c>
      <c r="N4" s="14">
        <f>IF('Données projet'!$A$36&gt;35,N3+M4-V3,IF(A4&lt;'Données projet'!$A$36,$K$205^A4,IF(A4='Données projet'!$A$36,'Données projet'!$B$36,N3+M4-V3)))</f>
        <v>1.3239616704988877</v>
      </c>
      <c r="O4" s="14">
        <f>N4*VLOOKUP('Données projet'!$B$9,Paramètres!$A$1:$I$89,3,0)*VLOOKUP('Données projet'!$B$9,Paramètres!$A$1:$I$89,5,0)</f>
        <v>0.79172907895833489</v>
      </c>
      <c r="P4" s="14">
        <f>EXP(-1.0587+0.8836*LN(O4)+0.284)</f>
        <v>0.37491631974909195</v>
      </c>
      <c r="Q4" s="22">
        <f t="shared" ref="Q4:Q34" si="2">(O4+P4)*0.475*44/12</f>
        <v>2.031907402748768</v>
      </c>
      <c r="R4" s="62">
        <f t="shared" si="0"/>
        <v>259.9207962916376</v>
      </c>
      <c r="S4" s="62">
        <f ca="1">AVERAGE(OFFSET($R$3,0,0,'Données projet'!$E$9+1,1))-AVERAGE(OFFSET($H$3,0,0,'Données projet'!$E$9+1,1))</f>
        <v>348.62416478262719</v>
      </c>
      <c r="T4" s="62">
        <f>$T$3</f>
        <v>371.70674704563288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</v>
      </c>
      <c r="AI4" s="14">
        <f>IF('Données projet'!$A$62&gt;35,AI3+AH4-AQ3,IF(A4&lt;'Données projet'!$A$62,$AF$205^A4,IF(A4='Données projet'!$A$62,'Données projet'!$B$62,AI3+AH4-AQ3)))</f>
        <v>1.1852335095914694</v>
      </c>
      <c r="AJ4" s="14">
        <f>AI4*VLOOKUP('Données projet'!$B$10,Paramètres!$A$1:$I$89,3,0)*VLOOKUP('Données projet'!$B$10,Paramètres!$A$1:$I$89,5,0)</f>
        <v>1.0723992794783614</v>
      </c>
      <c r="AK4" s="14">
        <f>EXP(-1.0587+0.8836*LN(AJ4)+0.284)</f>
        <v>0.49020200157376026</v>
      </c>
      <c r="AL4" s="22">
        <f t="shared" ref="AL4:AL67" si="4">(AJ4+AK4)*0.475*44/12</f>
        <v>2.7215305644991119</v>
      </c>
      <c r="AM4" s="62">
        <f t="shared" ref="AM4:AM67" si="5">AL4+(AD4+AE4)*44/12</f>
        <v>260.61041945338798</v>
      </c>
      <c r="AN4" s="62">
        <f ca="1">AVERAGE(OFFSET($AM$3,0,0,'Données projet'!$E$10+1,1))-AVERAGE(OFFSET($H$3,0,0,'Données projet'!$E$10+1,1))</f>
        <v>371.7282125501186</v>
      </c>
      <c r="AO4" s="62">
        <f>$AO$3</f>
        <v>231.36959598460686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</v>
      </c>
      <c r="BD4" s="13">
        <f>IF('Données projet'!$A$88&gt;35,BD3+BC4-BL3,IF(A4&lt;'Données projet'!$A$88,$BA$205^A4,IF(A4='Données projet'!$A$88,'Données projet'!$B$88,BD3+BC4-BL3)))</f>
        <v>1.1852335095914694</v>
      </c>
      <c r="BE4" s="14">
        <f>BD4*VLOOKUP('Données projet'!$B$11,Paramètres!$A$1:$I$89,3,0)*VLOOKUP('Données projet'!$B$11,Paramètres!$A$1:$I$89,5,0)</f>
        <v>0.998440708479854</v>
      </c>
      <c r="BF4" s="14">
        <f>EXP(-1.0587+0.8836*LN(BE4)+0.284)</f>
        <v>0.46020701170092559</v>
      </c>
      <c r="BG4" s="22">
        <f t="shared" ref="BG4:BG67" si="7">(BE4+BF4)*0.475*44/12</f>
        <v>2.540478112648191</v>
      </c>
      <c r="BH4" s="62">
        <f t="shared" ref="BH4:BH67" si="8">BG4+(AY4+AZ4)*44/12</f>
        <v>260.42936700153706</v>
      </c>
      <c r="BI4" s="62">
        <f ca="1">AVERAGE(OFFSET($BH$3,0,0,'Données projet'!$E$11+1,1))-AVERAGE(OFFSET($H$3,0,0,'Données projet'!$E$11+1,1))</f>
        <v>348.82438445524105</v>
      </c>
      <c r="BJ4" s="62">
        <f>$BJ$3</f>
        <v>218.26721063098552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6.9411764705882355</v>
      </c>
      <c r="N5" s="14">
        <f>IF('Données projet'!$A$36&gt;35,N4+M5-V4,IF(A5&lt;'Données projet'!$A$36,$K$205^A5,IF(A5='Données projet'!$A$36,'Données projet'!$B$36,N4+M5-V4)))</f>
        <v>1.7528745049502052</v>
      </c>
      <c r="O5" s="14">
        <f>N5*VLOOKUP('Données projet'!$B$9,Paramètres!$A$1:$I$89,3,0)*VLOOKUP('Données projet'!$B$9,Paramètres!$A$1:$I$89,5,0)</f>
        <v>1.0482189539602227</v>
      </c>
      <c r="P5" s="14">
        <f t="shared" ref="P5:P68" si="33">EXP(-1.0587+0.8836*LN(O5)+0.284)</f>
        <v>0.48042263342477459</v>
      </c>
      <c r="Q5" s="22">
        <f t="shared" si="2"/>
        <v>2.6623840980288702</v>
      </c>
      <c r="R5" s="62">
        <f t="shared" si="0"/>
        <v>261.77349520914004</v>
      </c>
      <c r="S5" s="62">
        <f ca="1">AVERAGE(OFFSET($R$3,0,0,'Données projet'!$E$9+1,1))-AVERAGE(OFFSET($H$3,0,0,'Données projet'!$E$9+1,1))</f>
        <v>348.62416478262719</v>
      </c>
      <c r="T5" s="62">
        <f t="shared" ref="T5:T68" si="34">$T$3</f>
        <v>371.70674704563288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</v>
      </c>
      <c r="AI5" s="14">
        <f>IF('Données projet'!$A$62&gt;35,AI4+AH5-AQ4,IF(A5&lt;'Données projet'!$A$62,$AF$205^A5,IF(A5='Données projet'!$A$62,'Données projet'!$B$62,AI4+AH5-AQ4)))</f>
        <v>1.4047784722585119</v>
      </c>
      <c r="AJ5" s="14">
        <f>AI5*VLOOKUP('Données projet'!$B$10,Paramètres!$A$1:$I$89,3,0)*VLOOKUP('Données projet'!$B$10,Paramètres!$A$1:$I$89,5,0)</f>
        <v>1.2710435616995015</v>
      </c>
      <c r="AK5" s="14">
        <f t="shared" ref="AK5:AK68" si="35">EXP(-1.0587+0.8836*LN(AJ5)+0.284)</f>
        <v>0.56962392939903683</v>
      </c>
      <c r="AL5" s="22">
        <f t="shared" si="4"/>
        <v>3.2058292136632871</v>
      </c>
      <c r="AM5" s="62">
        <f t="shared" si="5"/>
        <v>262.31694032477441</v>
      </c>
      <c r="AN5" s="62">
        <f ca="1">AVERAGE(OFFSET($AM$3,0,0,'Données projet'!$E$10+1,1))-AVERAGE(OFFSET($H$3,0,0,'Données projet'!$E$10+1,1))</f>
        <v>371.7282125501186</v>
      </c>
      <c r="AO5" s="62">
        <f t="shared" ref="AO5:AO68" si="36">$AO$3</f>
        <v>231.36959598460686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</v>
      </c>
      <c r="BD5" s="13">
        <f>IF('Données projet'!$A$88&gt;35,BD4+BC5-BL4,IF(A5&lt;'Données projet'!$A$88,$BA$205^A5,IF(A5='Données projet'!$A$88,'Données projet'!$B$88,BD4+BC5-BL4)))</f>
        <v>1.4047784722585119</v>
      </c>
      <c r="BE5" s="14">
        <f>BD5*VLOOKUP('Données projet'!$B$11,Paramètres!$A$1:$I$89,3,0)*VLOOKUP('Données projet'!$B$11,Paramètres!$A$1:$I$89,5,0)</f>
        <v>1.1833853850305707</v>
      </c>
      <c r="BF5" s="14">
        <f t="shared" ref="BF5:BF68" si="37">EXP(-1.0587+0.8836*LN(BE5)+0.284)</f>
        <v>0.53476918800917028</v>
      </c>
      <c r="BG5" s="22">
        <f t="shared" si="7"/>
        <v>2.992452548044215</v>
      </c>
      <c r="BH5" s="62">
        <f t="shared" si="8"/>
        <v>262.10356365915538</v>
      </c>
      <c r="BI5" s="62">
        <f ca="1">AVERAGE(OFFSET($BH$3,0,0,'Données projet'!$E$11+1,1))-AVERAGE(OFFSET($H$3,0,0,'Données projet'!$E$11+1,1))</f>
        <v>348.82438445524105</v>
      </c>
      <c r="BJ5" s="62">
        <f t="shared" ref="BJ5:BJ68" si="38">$BJ$3</f>
        <v>218.26721063098552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6.9411764705882355</v>
      </c>
      <c r="N6" s="14">
        <f>IF('Données projet'!$A$36&gt;35,N5+M6-V5,IF(A6&lt;'Données projet'!$A$36,$K$205^A6,IF(A6='Données projet'!$A$36,'Données projet'!$B$36,N5+M6-V5)))</f>
        <v>2.3207386577487843</v>
      </c>
      <c r="O6" s="14">
        <f>N6*VLOOKUP('Données projet'!$B$9,Paramètres!$A$1:$I$89,3,0)*VLOOKUP('Données projet'!$B$9,Paramètres!$A$1:$I$89,5,0)</f>
        <v>1.3878017173337731</v>
      </c>
      <c r="P6" s="14">
        <f t="shared" si="33"/>
        <v>0.61561979180116611</v>
      </c>
      <c r="Q6" s="22">
        <f t="shared" si="2"/>
        <v>3.4892924617433518</v>
      </c>
      <c r="R6" s="62">
        <f t="shared" si="0"/>
        <v>263.82262579507665</v>
      </c>
      <c r="S6" s="62">
        <f ca="1">AVERAGE(OFFSET($R$3,0,0,'Données projet'!$E$9+1,1))-AVERAGE(OFFSET($H$3,0,0,'Données projet'!$E$9+1,1))</f>
        <v>348.62416478262719</v>
      </c>
      <c r="T6" s="62">
        <f t="shared" si="34"/>
        <v>371.70674704563288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</v>
      </c>
      <c r="AI6" s="14">
        <f>IF('Données projet'!$A$62&gt;35,AI5+AH6-AQ5,IF(A6&lt;'Données projet'!$A$62,$AF$205^A6,IF(A6='Données projet'!$A$62,'Données projet'!$B$62,AI5+AH6-AQ5)))</f>
        <v>1.6649905188734988</v>
      </c>
      <c r="AJ6" s="14">
        <f>AI6*VLOOKUP('Données projet'!$B$10,Paramètres!$A$1:$I$89,3,0)*VLOOKUP('Données projet'!$B$10,Paramètres!$A$1:$I$89,5,0)</f>
        <v>1.5064834214767417</v>
      </c>
      <c r="AK6" s="14">
        <f t="shared" si="35"/>
        <v>0.66191370068319888</v>
      </c>
      <c r="AL6" s="22">
        <f t="shared" si="4"/>
        <v>3.7766249877618967</v>
      </c>
      <c r="AM6" s="62">
        <f t="shared" si="5"/>
        <v>264.10995832109523</v>
      </c>
      <c r="AN6" s="62">
        <f ca="1">AVERAGE(OFFSET($AM$3,0,0,'Données projet'!$E$10+1,1))-AVERAGE(OFFSET($H$3,0,0,'Données projet'!$E$10+1,1))</f>
        <v>371.7282125501186</v>
      </c>
      <c r="AO6" s="62">
        <f t="shared" si="36"/>
        <v>231.36959598460686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</v>
      </c>
      <c r="BD6" s="13">
        <f>IF('Données projet'!$A$88&gt;35,BD5+BC6-BL5,IF(A6&lt;'Données projet'!$A$88,$BA$205^A6,IF(A6='Données projet'!$A$88,'Données projet'!$B$88,BD5+BC6-BL5)))</f>
        <v>1.6649905188734988</v>
      </c>
      <c r="BE6" s="14">
        <f>BD6*VLOOKUP('Données projet'!$B$11,Paramètres!$A$1:$I$89,3,0)*VLOOKUP('Données projet'!$B$11,Paramètres!$A$1:$I$89,5,0)</f>
        <v>1.4025880130990354</v>
      </c>
      <c r="BF6" s="14">
        <f t="shared" si="37"/>
        <v>0.62141183678843126</v>
      </c>
      <c r="BG6" s="22">
        <f t="shared" si="7"/>
        <v>3.5251330718873373</v>
      </c>
      <c r="BH6" s="62">
        <f t="shared" si="8"/>
        <v>263.85846640522067</v>
      </c>
      <c r="BI6" s="62">
        <f ca="1">AVERAGE(OFFSET($BH$3,0,0,'Données projet'!$E$11+1,1))-AVERAGE(OFFSET($H$3,0,0,'Données projet'!$E$11+1,1))</f>
        <v>348.82438445524105</v>
      </c>
      <c r="BJ6" s="62">
        <f t="shared" si="38"/>
        <v>218.26721063098552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6.9411764705882355</v>
      </c>
      <c r="N7" s="14">
        <f>IF('Données projet'!$A$36&gt;35,N6+M7-V6,IF(A7&lt;'Données projet'!$A$36,$K$205^A7,IF(A7='Données projet'!$A$36,'Données projet'!$B$36,N6+M7-V6)))</f>
        <v>3.0725690301044271</v>
      </c>
      <c r="O7" s="14">
        <f>N7*VLOOKUP('Données projet'!$B$9,Paramètres!$A$1:$I$89,3,0)*VLOOKUP('Données projet'!$B$9,Paramètres!$A$1:$I$89,5,0)</f>
        <v>1.8373962800024475</v>
      </c>
      <c r="P7" s="14">
        <f t="shared" si="33"/>
        <v>0.78886318355909346</v>
      </c>
      <c r="Q7" s="22">
        <f t="shared" si="2"/>
        <v>4.5740685657030165</v>
      </c>
      <c r="R7" s="62">
        <f t="shared" si="0"/>
        <v>266.12962412125859</v>
      </c>
      <c r="S7" s="62">
        <f ca="1">AVERAGE(OFFSET($R$3,0,0,'Données projet'!$E$9+1,1))-AVERAGE(OFFSET($H$3,0,0,'Données projet'!$E$9+1,1))</f>
        <v>348.62416478262719</v>
      </c>
      <c r="T7" s="62">
        <f t="shared" si="34"/>
        <v>371.70674704563288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</v>
      </c>
      <c r="AI7" s="14">
        <f>IF('Données projet'!$A$62&gt;35,AI6+AH7-AQ6,IF(A7&lt;'Données projet'!$A$62,$AF$205^A7,IF(A7='Données projet'!$A$62,'Données projet'!$B$62,AI6+AH7-AQ6)))</f>
        <v>1.9734025561209587</v>
      </c>
      <c r="AJ7" s="14">
        <f>AI7*VLOOKUP('Données projet'!$B$10,Paramètres!$A$1:$I$89,3,0)*VLOOKUP('Données projet'!$B$10,Paramètres!$A$1:$I$89,5,0)</f>
        <v>1.7855346327782433</v>
      </c>
      <c r="AK7" s="14">
        <f t="shared" si="35"/>
        <v>0.7691561476610751</v>
      </c>
      <c r="AL7" s="22">
        <f t="shared" si="4"/>
        <v>4.4494197759318128</v>
      </c>
      <c r="AM7" s="62">
        <f t="shared" si="5"/>
        <v>266.00497533148734</v>
      </c>
      <c r="AN7" s="62">
        <f ca="1">AVERAGE(OFFSET($AM$3,0,0,'Données projet'!$E$10+1,1))-AVERAGE(OFFSET($H$3,0,0,'Données projet'!$E$10+1,1))</f>
        <v>371.7282125501186</v>
      </c>
      <c r="AO7" s="62">
        <f t="shared" si="36"/>
        <v>231.36959598460686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</v>
      </c>
      <c r="BD7" s="13">
        <f>IF('Données projet'!$A$88&gt;35,BD6+BC7-BL6,IF(A7&lt;'Données projet'!$A$88,$BA$205^A7,IF(A7='Données projet'!$A$88,'Données projet'!$B$88,BD6+BC7-BL6)))</f>
        <v>1.9734025561209587</v>
      </c>
      <c r="BE7" s="14">
        <f>BD7*VLOOKUP('Données projet'!$B$11,Paramètres!$A$1:$I$89,3,0)*VLOOKUP('Données projet'!$B$11,Paramètres!$A$1:$I$89,5,0)</f>
        <v>1.6623943132762959</v>
      </c>
      <c r="BF7" s="14">
        <f t="shared" si="37"/>
        <v>0.72209222139056795</v>
      </c>
      <c r="BG7" s="22">
        <f t="shared" si="7"/>
        <v>4.1529807145447881</v>
      </c>
      <c r="BH7" s="62">
        <f t="shared" si="8"/>
        <v>265.70853627010035</v>
      </c>
      <c r="BI7" s="62">
        <f ca="1">AVERAGE(OFFSET($BH$3,0,0,'Données projet'!$E$11+1,1))-AVERAGE(OFFSET($H$3,0,0,'Données projet'!$E$11+1,1))</f>
        <v>348.82438445524105</v>
      </c>
      <c r="BJ7" s="62">
        <f t="shared" si="38"/>
        <v>218.26721063098552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6.9411764705882355</v>
      </c>
      <c r="N8" s="14">
        <f>IF('Données projet'!$A$36&gt;35,N7+M8-V7,IF(A8&lt;'Données projet'!$A$36,$K$205^A8,IF(A8='Données projet'!$A$36,'Données projet'!$B$36,N7+M8-V7)))</f>
        <v>4.0679636258202043</v>
      </c>
      <c r="O8" s="14">
        <f>N8*VLOOKUP('Données projet'!$B$9,Paramètres!$A$1:$I$89,3,0)*VLOOKUP('Données projet'!$B$9,Paramètres!$A$1:$I$89,5,0)</f>
        <v>2.4326422482404824</v>
      </c>
      <c r="P8" s="14">
        <f t="shared" si="33"/>
        <v>1.0108595120931088</v>
      </c>
      <c r="Q8" s="22">
        <f t="shared" si="2"/>
        <v>5.9974322325810041</v>
      </c>
      <c r="R8" s="62">
        <f t="shared" si="0"/>
        <v>268.77521001035876</v>
      </c>
      <c r="S8" s="62">
        <f ca="1">AVERAGE(OFFSET($R$3,0,0,'Données projet'!$E$9+1,1))-AVERAGE(OFFSET($H$3,0,0,'Données projet'!$E$9+1,1))</f>
        <v>348.62416478262719</v>
      </c>
      <c r="T8" s="62">
        <f t="shared" si="34"/>
        <v>371.70674704563288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</v>
      </c>
      <c r="AI8" s="14">
        <f>IF('Données projet'!$A$62&gt;35,AI7+AH8-AQ7,IF(A8&lt;'Données projet'!$A$62,$AF$205^A8,IF(A8='Données projet'!$A$62,'Données projet'!$B$62,AI7+AH8-AQ7)))</f>
        <v>2.3389428374280206</v>
      </c>
      <c r="AJ8" s="14">
        <f>AI8*VLOOKUP('Données projet'!$B$10,Paramètres!$A$1:$I$89,3,0)*VLOOKUP('Données projet'!$B$10,Paramètres!$A$1:$I$89,5,0)</f>
        <v>2.1162754793048726</v>
      </c>
      <c r="AK8" s="14">
        <f t="shared" si="35"/>
        <v>0.89377388453237949</v>
      </c>
      <c r="AL8" s="22">
        <f t="shared" si="4"/>
        <v>5.2425026420165475</v>
      </c>
      <c r="AM8" s="62">
        <f t="shared" si="5"/>
        <v>268.02028041979435</v>
      </c>
      <c r="AN8" s="62">
        <f ca="1">AVERAGE(OFFSET($AM$3,0,0,'Données projet'!$E$10+1,1))-AVERAGE(OFFSET($H$3,0,0,'Données projet'!$E$10+1,1))</f>
        <v>371.7282125501186</v>
      </c>
      <c r="AO8" s="62">
        <f t="shared" si="36"/>
        <v>231.36959598460686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</v>
      </c>
      <c r="BD8" s="13">
        <f>IF('Données projet'!$A$88&gt;35,BD7+BC8-BL7,IF(A8&lt;'Données projet'!$A$88,$BA$205^A8,IF(A8='Données projet'!$A$88,'Données projet'!$B$88,BD7+BC8-BL7)))</f>
        <v>2.3389428374280206</v>
      </c>
      <c r="BE8" s="14">
        <f>BD8*VLOOKUP('Données projet'!$B$11,Paramètres!$A$1:$I$89,3,0)*VLOOKUP('Données projet'!$B$11,Paramètres!$A$1:$I$89,5,0)</f>
        <v>1.9703254462493647</v>
      </c>
      <c r="BF8" s="14">
        <f t="shared" si="37"/>
        <v>0.83908471857817046</v>
      </c>
      <c r="BG8" s="22">
        <f t="shared" si="7"/>
        <v>4.893056037074623</v>
      </c>
      <c r="BH8" s="62">
        <f t="shared" si="8"/>
        <v>267.67083381485241</v>
      </c>
      <c r="BI8" s="62">
        <f ca="1">AVERAGE(OFFSET($BH$3,0,0,'Données projet'!$E$11+1,1))-AVERAGE(OFFSET($H$3,0,0,'Données projet'!$E$11+1,1))</f>
        <v>348.82438445524105</v>
      </c>
      <c r="BJ8" s="62">
        <f t="shared" si="38"/>
        <v>218.26721063098552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6.9411764705882355</v>
      </c>
      <c r="N9" s="14">
        <f>IF('Données projet'!$A$36&gt;35,N8+M9-V8,IF(A9&lt;'Données projet'!$A$36,$K$205^A9,IF(A9='Données projet'!$A$36,'Données projet'!$B$36,N8+M9-V8)))</f>
        <v>5.38582791756963</v>
      </c>
      <c r="O9" s="14">
        <f>N9*VLOOKUP('Données projet'!$B$9,Paramètres!$A$1:$I$89,3,0)*VLOOKUP('Données projet'!$B$9,Paramètres!$A$1:$I$89,5,0)</f>
        <v>3.2207250947066388</v>
      </c>
      <c r="P9" s="14">
        <f t="shared" si="33"/>
        <v>1.2953284859599137</v>
      </c>
      <c r="Q9" s="22">
        <f t="shared" si="2"/>
        <v>7.8654599863275783</v>
      </c>
      <c r="R9" s="62">
        <f t="shared" si="0"/>
        <v>271.86545998632755</v>
      </c>
      <c r="S9" s="62">
        <f ca="1">AVERAGE(OFFSET($R$3,0,0,'Données projet'!$E$9+1,1))-AVERAGE(OFFSET($H$3,0,0,'Données projet'!$E$9+1,1))</f>
        <v>348.62416478262719</v>
      </c>
      <c r="T9" s="62">
        <f t="shared" si="34"/>
        <v>371.70674704563288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</v>
      </c>
      <c r="AI9" s="14">
        <f>IF('Données projet'!$A$62&gt;35,AI8+AH9-AQ8,IF(A9&lt;'Données projet'!$A$62,$AF$205^A9,IF(A9='Données projet'!$A$62,'Données projet'!$B$62,AI8+AH9-AQ8)))</f>
        <v>2.7721934279386429</v>
      </c>
      <c r="AJ9" s="14">
        <f>AI9*VLOOKUP('Données projet'!$B$10,Paramètres!$A$1:$I$89,3,0)*VLOOKUP('Données projet'!$B$10,Paramètres!$A$1:$I$89,5,0)</f>
        <v>2.5082806135988838</v>
      </c>
      <c r="AK9" s="14">
        <f t="shared" si="35"/>
        <v>1.0385820344818992</v>
      </c>
      <c r="AL9" s="22">
        <f t="shared" si="4"/>
        <v>6.1774524454073623</v>
      </c>
      <c r="AM9" s="62">
        <f t="shared" si="5"/>
        <v>270.17745244540737</v>
      </c>
      <c r="AN9" s="62">
        <f ca="1">AVERAGE(OFFSET($AM$3,0,0,'Données projet'!$E$10+1,1))-AVERAGE(OFFSET($H$3,0,0,'Données projet'!$E$10+1,1))</f>
        <v>371.7282125501186</v>
      </c>
      <c r="AO9" s="62">
        <f t="shared" si="36"/>
        <v>231.36959598460686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</v>
      </c>
      <c r="BD9" s="13">
        <f>IF('Données projet'!$A$88&gt;35,BD8+BC9-BL8,IF(A9&lt;'Données projet'!$A$88,$BA$205^A9,IF(A9='Données projet'!$A$88,'Données projet'!$B$88,BD8+BC9-BL8)))</f>
        <v>2.7721934279386429</v>
      </c>
      <c r="BE9" s="14">
        <f>BD9*VLOOKUP('Données projet'!$B$11,Paramètres!$A$1:$I$89,3,0)*VLOOKUP('Données projet'!$B$11,Paramètres!$A$1:$I$89,5,0)</f>
        <v>2.3352957436955131</v>
      </c>
      <c r="BF9" s="14">
        <f t="shared" si="37"/>
        <v>0.97503219685092191</v>
      </c>
      <c r="BG9" s="22">
        <f t="shared" si="7"/>
        <v>5.7654878297850409</v>
      </c>
      <c r="BH9" s="62">
        <f t="shared" si="8"/>
        <v>269.76548782978506</v>
      </c>
      <c r="BI9" s="62">
        <f ca="1">AVERAGE(OFFSET($BH$3,0,0,'Données projet'!$E$11+1,1))-AVERAGE(OFFSET($H$3,0,0,'Données projet'!$E$11+1,1))</f>
        <v>348.82438445524105</v>
      </c>
      <c r="BJ9" s="62">
        <f t="shared" si="38"/>
        <v>218.26721063098552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6.9411764705882355</v>
      </c>
      <c r="N10" s="14">
        <f>IF('Données projet'!$A$36&gt;35,N9+M10-V9,IF(A10&lt;'Données projet'!$A$36,$K$205^A10,IF(A10='Données projet'!$A$36,'Données projet'!$B$36,N9+M10-V9)))</f>
        <v>7.130629726765032</v>
      </c>
      <c r="O10" s="14">
        <f>N10*VLOOKUP('Données projet'!$B$9,Paramètres!$A$1:$I$89,3,0)*VLOOKUP('Données projet'!$B$9,Paramètres!$A$1:$I$89,5,0)</f>
        <v>4.26411657660549</v>
      </c>
      <c r="P10" s="14">
        <f t="shared" si="33"/>
        <v>1.6598507175986843</v>
      </c>
      <c r="Q10" s="22">
        <f t="shared" si="2"/>
        <v>10.317576370738935</v>
      </c>
      <c r="R10" s="62">
        <f t="shared" si="0"/>
        <v>275.53979859296118</v>
      </c>
      <c r="S10" s="62">
        <f ca="1">AVERAGE(OFFSET($R$3,0,0,'Données projet'!$E$9+1,1))-AVERAGE(OFFSET($H$3,0,0,'Données projet'!$E$9+1,1))</f>
        <v>348.62416478262719</v>
      </c>
      <c r="T10" s="62">
        <f t="shared" si="34"/>
        <v>371.70674704563288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</v>
      </c>
      <c r="AI10" s="14">
        <f>IF('Données projet'!$A$62&gt;35,AI9+AH10-AQ9,IF(A10&lt;'Données projet'!$A$62,$AF$205^A10,IF(A10='Données projet'!$A$62,'Données projet'!$B$62,AI9+AH10-AQ9)))</f>
        <v>3.2856965458621241</v>
      </c>
      <c r="AJ10" s="14">
        <f>AI10*VLOOKUP('Données projet'!$B$10,Paramètres!$A$1:$I$89,3,0)*VLOOKUP('Données projet'!$B$10,Paramètres!$A$1:$I$89,5,0)</f>
        <v>2.9728982346960495</v>
      </c>
      <c r="AK10" s="14">
        <f t="shared" si="35"/>
        <v>1.2068518235044534</v>
      </c>
      <c r="AL10" s="22">
        <f t="shared" si="4"/>
        <v>7.279731351365875</v>
      </c>
      <c r="AM10" s="62">
        <f t="shared" si="5"/>
        <v>272.50195357358808</v>
      </c>
      <c r="AN10" s="62">
        <f ca="1">AVERAGE(OFFSET($AM$3,0,0,'Données projet'!$E$10+1,1))-AVERAGE(OFFSET($H$3,0,0,'Données projet'!$E$10+1,1))</f>
        <v>371.7282125501186</v>
      </c>
      <c r="AO10" s="62">
        <f t="shared" si="36"/>
        <v>231.36959598460686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</v>
      </c>
      <c r="BD10" s="13">
        <f>IF('Données projet'!$A$88&gt;35,BD9+BC10-BL9,IF(A10&lt;'Données projet'!$A$88,$BA$205^A10,IF(A10='Données projet'!$A$88,'Données projet'!$B$88,BD9+BC10-BL9)))</f>
        <v>3.2856965458621241</v>
      </c>
      <c r="BE10" s="14">
        <f>BD10*VLOOKUP('Données projet'!$B$11,Paramètres!$A$1:$I$89,3,0)*VLOOKUP('Données projet'!$B$11,Paramètres!$A$1:$I$89,5,0)</f>
        <v>2.7678707702342535</v>
      </c>
      <c r="BF10" s="14">
        <f t="shared" si="37"/>
        <v>1.133005719025459</v>
      </c>
      <c r="BG10" s="22">
        <f t="shared" si="7"/>
        <v>6.794026552127332</v>
      </c>
      <c r="BH10" s="62">
        <f t="shared" si="8"/>
        <v>272.01624877434955</v>
      </c>
      <c r="BI10" s="62">
        <f ca="1">AVERAGE(OFFSET($BH$3,0,0,'Données projet'!$E$11+1,1))-AVERAGE(OFFSET($H$3,0,0,'Données projet'!$E$11+1,1))</f>
        <v>348.82438445524105</v>
      </c>
      <c r="BJ10" s="62">
        <f t="shared" si="38"/>
        <v>218.26721063098552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6.9411764705882355</v>
      </c>
      <c r="N11" s="14">
        <f>IF('Données projet'!$A$36&gt;35,N10+M11-V10,IF(A11&lt;'Données projet'!$A$36,$K$205^A11,IF(A11='Données projet'!$A$36,'Données projet'!$B$36,N10+M11-V10)))</f>
        <v>9.4406804447568593</v>
      </c>
      <c r="O11" s="14">
        <f>N11*VLOOKUP('Données projet'!$B$9,Paramètres!$A$1:$I$89,3,0)*VLOOKUP('Données projet'!$B$9,Paramètres!$A$1:$I$89,5,0)</f>
        <v>5.6455269059646023</v>
      </c>
      <c r="P11" s="14">
        <f t="shared" si="33"/>
        <v>2.1269542317454508</v>
      </c>
      <c r="Q11" s="22">
        <f t="shared" si="2"/>
        <v>13.53707131484501</v>
      </c>
      <c r="R11" s="62">
        <f t="shared" si="0"/>
        <v>279.98151575928949</v>
      </c>
      <c r="S11" s="62">
        <f ca="1">AVERAGE(OFFSET($R$3,0,0,'Données projet'!$E$9+1,1))-AVERAGE(OFFSET($H$3,0,0,'Données projet'!$E$9+1,1))</f>
        <v>348.62416478262719</v>
      </c>
      <c r="T11" s="62">
        <f t="shared" si="34"/>
        <v>371.70674704563288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</v>
      </c>
      <c r="AI11" s="14">
        <f>IF('Données projet'!$A$62&gt;35,AI10+AH11-AQ10,IF(A11&lt;'Données projet'!$A$62,$AF$205^A11,IF(A11='Données projet'!$A$62,'Données projet'!$B$62,AI10+AH11-AQ10)))</f>
        <v>3.8943176485047335</v>
      </c>
      <c r="AJ11" s="14">
        <f>AI11*VLOOKUP('Données projet'!$B$10,Paramètres!$A$1:$I$89,3,0)*VLOOKUP('Données projet'!$B$10,Paramètres!$A$1:$I$89,5,0)</f>
        <v>3.5235786083670826</v>
      </c>
      <c r="AK11" s="14">
        <f t="shared" si="35"/>
        <v>1.4023844776234748</v>
      </c>
      <c r="AL11" s="22">
        <f t="shared" si="4"/>
        <v>8.5793857081002205</v>
      </c>
      <c r="AM11" s="62">
        <f t="shared" si="5"/>
        <v>275.02383015254469</v>
      </c>
      <c r="AN11" s="62">
        <f ca="1">AVERAGE(OFFSET($AM$3,0,0,'Données projet'!$E$10+1,1))-AVERAGE(OFFSET($H$3,0,0,'Données projet'!$E$10+1,1))</f>
        <v>371.7282125501186</v>
      </c>
      <c r="AO11" s="62">
        <f t="shared" si="36"/>
        <v>231.36959598460686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</v>
      </c>
      <c r="BD11" s="13">
        <f>IF('Données projet'!$A$88&gt;35,BD10+BC11-BL10,IF(A11&lt;'Données projet'!$A$88,$BA$205^A11,IF(A11='Données projet'!$A$88,'Données projet'!$B$88,BD10+BC11-BL10)))</f>
        <v>3.8943176485047335</v>
      </c>
      <c r="BE11" s="14">
        <f>BD11*VLOOKUP('Données projet'!$B$11,Paramètres!$A$1:$I$89,3,0)*VLOOKUP('Données projet'!$B$11,Paramètres!$A$1:$I$89,5,0)</f>
        <v>3.280573187100388</v>
      </c>
      <c r="BF11" s="14">
        <f t="shared" si="37"/>
        <v>1.3165739177540918</v>
      </c>
      <c r="BG11" s="22">
        <f t="shared" si="7"/>
        <v>8.0066978742882196</v>
      </c>
      <c r="BH11" s="62">
        <f t="shared" si="8"/>
        <v>274.45114231873265</v>
      </c>
      <c r="BI11" s="62">
        <f ca="1">AVERAGE(OFFSET($BH$3,0,0,'Données projet'!$E$11+1,1))-AVERAGE(OFFSET($H$3,0,0,'Données projet'!$E$11+1,1))</f>
        <v>348.82438445524105</v>
      </c>
      <c r="BJ11" s="62">
        <f t="shared" si="38"/>
        <v>218.26721063098552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6.9411764705882355</v>
      </c>
      <c r="N12" s="14">
        <f>IF('Données projet'!$A$36&gt;35,N11+M12-V11,IF(A12&lt;'Données projet'!$A$36,$K$205^A12,IF(A12='Données projet'!$A$36,'Données projet'!$B$36,N11+M12-V11)))</f>
        <v>12.499099052286473</v>
      </c>
      <c r="O12" s="14">
        <f>N12*VLOOKUP('Données projet'!$B$9,Paramètres!$A$1:$I$89,3,0)*VLOOKUP('Données projet'!$B$9,Paramètres!$A$1:$I$89,5,0)</f>
        <v>7.474461233267311</v>
      </c>
      <c r="P12" s="14">
        <f t="shared" si="33"/>
        <v>2.7255067314033421</v>
      </c>
      <c r="Q12" s="22">
        <f t="shared" si="2"/>
        <v>17.764944205134721</v>
      </c>
      <c r="R12" s="62">
        <f t="shared" si="0"/>
        <v>285.43161087180141</v>
      </c>
      <c r="S12" s="62">
        <f ca="1">AVERAGE(OFFSET($R$3,0,0,'Données projet'!$E$9+1,1))-AVERAGE(OFFSET($H$3,0,0,'Données projet'!$E$9+1,1))</f>
        <v>348.62416478262719</v>
      </c>
      <c r="T12" s="62">
        <f t="shared" si="34"/>
        <v>371.70674704563288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</v>
      </c>
      <c r="AI12" s="14">
        <f>IF('Données projet'!$A$62&gt;35,AI11+AH12-AQ11,IF(A12&lt;'Données projet'!$A$62,$AF$205^A12,IF(A12='Données projet'!$A$62,'Données projet'!$B$62,AI11+AH12-AQ11)))</f>
        <v>4.6156757740012635</v>
      </c>
      <c r="AJ12" s="14">
        <f>AI12*VLOOKUP('Données projet'!$B$10,Paramètres!$A$1:$I$89,3,0)*VLOOKUP('Données projet'!$B$10,Paramètres!$A$1:$I$89,5,0)</f>
        <v>4.176263440316343</v>
      </c>
      <c r="AK12" s="14">
        <f t="shared" si="35"/>
        <v>1.6295970928464274</v>
      </c>
      <c r="AL12" s="22">
        <f t="shared" si="4"/>
        <v>10.111873761925157</v>
      </c>
      <c r="AM12" s="62">
        <f t="shared" si="5"/>
        <v>277.77854042859184</v>
      </c>
      <c r="AN12" s="62">
        <f ca="1">AVERAGE(OFFSET($AM$3,0,0,'Données projet'!$E$10+1,1))-AVERAGE(OFFSET($H$3,0,0,'Données projet'!$E$10+1,1))</f>
        <v>371.7282125501186</v>
      </c>
      <c r="AO12" s="62">
        <f t="shared" si="36"/>
        <v>231.36959598460686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</v>
      </c>
      <c r="BD12" s="13">
        <f>IF('Données projet'!$A$88&gt;35,BD11+BC12-BL11,IF(A12&lt;'Données projet'!$A$88,$BA$205^A12,IF(A12='Données projet'!$A$88,'Données projet'!$B$88,BD11+BC12-BL11)))</f>
        <v>4.6156757740012635</v>
      </c>
      <c r="BE12" s="14">
        <f>BD12*VLOOKUP('Données projet'!$B$11,Paramètres!$A$1:$I$89,3,0)*VLOOKUP('Données projet'!$B$11,Paramètres!$A$1:$I$89,5,0)</f>
        <v>3.8882452720186649</v>
      </c>
      <c r="BF12" s="14">
        <f t="shared" si="37"/>
        <v>1.5298836111800851</v>
      </c>
      <c r="BG12" s="22">
        <f t="shared" si="7"/>
        <v>9.4365744715711575</v>
      </c>
      <c r="BH12" s="62">
        <f t="shared" si="8"/>
        <v>277.10324113823782</v>
      </c>
      <c r="BI12" s="62">
        <f ca="1">AVERAGE(OFFSET($BH$3,0,0,'Données projet'!$E$11+1,1))-AVERAGE(OFFSET($H$3,0,0,'Données projet'!$E$11+1,1))</f>
        <v>348.82438445524105</v>
      </c>
      <c r="BJ12" s="62">
        <f t="shared" si="38"/>
        <v>218.26721063098552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6.9411764705882355</v>
      </c>
      <c r="N13" s="14">
        <f>IF('Données projet'!$A$36&gt;35,N12+M13-V12,IF(A13&lt;'Données projet'!$A$36,$K$205^A13,IF(A13='Données projet'!$A$36,'Données projet'!$B$36,N12+M13-V12)))</f>
        <v>16.548328060996262</v>
      </c>
      <c r="O13" s="14">
        <f>N13*VLOOKUP('Données projet'!$B$9,Paramètres!$A$1:$I$89,3,0)*VLOOKUP('Données projet'!$B$9,Paramètres!$A$1:$I$89,5,0)</f>
        <v>9.8959001804757651</v>
      </c>
      <c r="P13" s="14">
        <f t="shared" si="33"/>
        <v>3.4924996655094662</v>
      </c>
      <c r="Q13" s="22">
        <f t="shared" si="2"/>
        <v>23.318129731757608</v>
      </c>
      <c r="R13" s="62">
        <f t="shared" si="0"/>
        <v>292.20701862064647</v>
      </c>
      <c r="S13" s="62">
        <f ca="1">AVERAGE(OFFSET($R$3,0,0,'Données projet'!$E$9+1,1))-AVERAGE(OFFSET($H$3,0,0,'Données projet'!$E$9+1,1))</f>
        <v>348.62416478262719</v>
      </c>
      <c r="T13" s="62">
        <f t="shared" si="34"/>
        <v>371.70674704563288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</v>
      </c>
      <c r="AI13" s="14">
        <f>IF('Données projet'!$A$62&gt;35,AI12+AH13-AQ12,IF(A13&lt;'Données projet'!$A$62,$AF$205^A13,IF(A13='Données projet'!$A$62,'Données projet'!$B$62,AI12+AH13-AQ12)))</f>
        <v>5.4706535967558398</v>
      </c>
      <c r="AJ13" s="14">
        <f>AI13*VLOOKUP('Données projet'!$B$10,Paramètres!$A$1:$I$89,3,0)*VLOOKUP('Données projet'!$B$10,Paramètres!$A$1:$I$89,5,0)</f>
        <v>4.9498473743446834</v>
      </c>
      <c r="AK13" s="14">
        <f t="shared" si="35"/>
        <v>1.8936224176652101</v>
      </c>
      <c r="AL13" s="22">
        <f t="shared" si="4"/>
        <v>11.919043221083896</v>
      </c>
      <c r="AM13" s="62">
        <f t="shared" si="5"/>
        <v>280.80793210997274</v>
      </c>
      <c r="AN13" s="62">
        <f ca="1">AVERAGE(OFFSET($AM$3,0,0,'Données projet'!$E$10+1,1))-AVERAGE(OFFSET($H$3,0,0,'Données projet'!$E$10+1,1))</f>
        <v>371.7282125501186</v>
      </c>
      <c r="AO13" s="62">
        <f t="shared" si="36"/>
        <v>231.36959598460686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</v>
      </c>
      <c r="BD13" s="13">
        <f>IF('Données projet'!$A$88&gt;35,BD12+BC13-BL12,IF(A13&lt;'Données projet'!$A$88,$BA$205^A13,IF(A13='Données projet'!$A$88,'Données projet'!$B$88,BD12+BC13-BL12)))</f>
        <v>5.4706535967558398</v>
      </c>
      <c r="BE13" s="14">
        <f>BD13*VLOOKUP('Données projet'!$B$11,Paramètres!$A$1:$I$89,3,0)*VLOOKUP('Données projet'!$B$11,Paramètres!$A$1:$I$89,5,0)</f>
        <v>4.6084785899071203</v>
      </c>
      <c r="BF13" s="14">
        <f t="shared" si="37"/>
        <v>1.777753479842658</v>
      </c>
      <c r="BG13" s="22">
        <f t="shared" si="7"/>
        <v>11.122687521480863</v>
      </c>
      <c r="BH13" s="62">
        <f t="shared" si="8"/>
        <v>280.01157641036974</v>
      </c>
      <c r="BI13" s="62">
        <f ca="1">AVERAGE(OFFSET($BH$3,0,0,'Données projet'!$E$11+1,1))-AVERAGE(OFFSET($H$3,0,0,'Données projet'!$E$11+1,1))</f>
        <v>348.82438445524105</v>
      </c>
      <c r="BJ13" s="62">
        <f t="shared" si="38"/>
        <v>218.26721063098552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6.9411764705882355</v>
      </c>
      <c r="N14" s="14">
        <f>IF('Données projet'!$A$36&gt;35,N13+M14-V13,IF(A14&lt;'Données projet'!$A$36,$K$205^A14,IF(A14='Données projet'!$A$36,'Données projet'!$B$36,N13+M14-V13)))</f>
        <v>21.909352063600231</v>
      </c>
      <c r="O14" s="14">
        <f>N14*VLOOKUP('Données projet'!$B$9,Paramètres!$A$1:$I$89,3,0)*VLOOKUP('Données projet'!$B$9,Paramètres!$A$1:$I$89,5,0)</f>
        <v>13.101792534032938</v>
      </c>
      <c r="P14" s="14">
        <f t="shared" si="33"/>
        <v>4.4753343563761101</v>
      </c>
      <c r="Q14" s="22">
        <f t="shared" si="2"/>
        <v>30.613496000795752</v>
      </c>
      <c r="R14" s="62">
        <f t="shared" si="0"/>
        <v>300.72460711190689</v>
      </c>
      <c r="S14" s="62">
        <f ca="1">AVERAGE(OFFSET($R$3,0,0,'Données projet'!$E$9+1,1))-AVERAGE(OFFSET($H$3,0,0,'Données projet'!$E$9+1,1))</f>
        <v>348.62416478262719</v>
      </c>
      <c r="T14" s="62">
        <f t="shared" si="34"/>
        <v>371.70674704563288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</v>
      </c>
      <c r="AI14" s="14">
        <f>IF('Données projet'!$A$62&gt;35,AI13+AH14-AQ13,IF(A14&lt;'Données projet'!$A$62,$AF$205^A14,IF(A14='Données projet'!$A$62,'Données projet'!$B$62,AI13+AH14-AQ13)))</f>
        <v>6.4840019622421199</v>
      </c>
      <c r="AJ14" s="14">
        <f>AI14*VLOOKUP('Données projet'!$B$10,Paramètres!$A$1:$I$89,3,0)*VLOOKUP('Données projet'!$B$10,Paramètres!$A$1:$I$89,5,0)</f>
        <v>5.8667249754366697</v>
      </c>
      <c r="AK14" s="14">
        <f t="shared" si="35"/>
        <v>2.2004248021950543</v>
      </c>
      <c r="AL14" s="22">
        <f t="shared" si="4"/>
        <v>14.050285862708584</v>
      </c>
      <c r="AM14" s="62">
        <f t="shared" si="5"/>
        <v>284.16139697381971</v>
      </c>
      <c r="AN14" s="62">
        <f ca="1">AVERAGE(OFFSET($AM$3,0,0,'Données projet'!$E$10+1,1))-AVERAGE(OFFSET($H$3,0,0,'Données projet'!$E$10+1,1))</f>
        <v>371.7282125501186</v>
      </c>
      <c r="AO14" s="62">
        <f t="shared" si="36"/>
        <v>231.36959598460686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</v>
      </c>
      <c r="BD14" s="13">
        <f>IF('Données projet'!$A$88&gt;35,BD13+BC14-BL13,IF(A14&lt;'Données projet'!$A$88,$BA$205^A14,IF(A14='Données projet'!$A$88,'Données projet'!$B$88,BD13+BC14-BL13)))</f>
        <v>6.4840019622421199</v>
      </c>
      <c r="BE14" s="14">
        <f>BD14*VLOOKUP('Données projet'!$B$11,Paramètres!$A$1:$I$89,3,0)*VLOOKUP('Données projet'!$B$11,Paramètres!$A$1:$I$89,5,0)</f>
        <v>5.4621232529927619</v>
      </c>
      <c r="BF14" s="14">
        <f t="shared" si="37"/>
        <v>2.0657829209993817</v>
      </c>
      <c r="BG14" s="22">
        <f t="shared" si="7"/>
        <v>13.111103253036314</v>
      </c>
      <c r="BH14" s="62">
        <f t="shared" si="8"/>
        <v>283.22221436414748</v>
      </c>
      <c r="BI14" s="62">
        <f ca="1">AVERAGE(OFFSET($BH$3,0,0,'Données projet'!$E$11+1,1))-AVERAGE(OFFSET($H$3,0,0,'Données projet'!$E$11+1,1))</f>
        <v>348.82438445524105</v>
      </c>
      <c r="BJ14" s="62">
        <f t="shared" si="38"/>
        <v>218.26721063098552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6.9411764705882355</v>
      </c>
      <c r="N15" s="14">
        <f>IF('Données projet'!$A$36&gt;35,N14+M15-V14,IF(A15&lt;'Données projet'!$A$36,$K$205^A15,IF(A15='Données projet'!$A$36,'Données projet'!$B$36,N14+M15-V14)))</f>
        <v>29.007142357672414</v>
      </c>
      <c r="O15" s="14">
        <f>N15*VLOOKUP('Données projet'!$B$9,Paramètres!$A$1:$I$89,3,0)*VLOOKUP('Données projet'!$B$9,Paramètres!$A$1:$I$89,5,0)</f>
        <v>17.346271129888105</v>
      </c>
      <c r="P15" s="14">
        <f t="shared" si="33"/>
        <v>5.7347514730366376</v>
      </c>
      <c r="Q15" s="22">
        <f t="shared" si="2"/>
        <v>40.19944770009392</v>
      </c>
      <c r="R15" s="62">
        <f t="shared" si="0"/>
        <v>311.53278103342723</v>
      </c>
      <c r="S15" s="62">
        <f ca="1">AVERAGE(OFFSET($R$3,0,0,'Données projet'!$E$9+1,1))-AVERAGE(OFFSET($H$3,0,0,'Données projet'!$E$9+1,1))</f>
        <v>348.62416478262719</v>
      </c>
      <c r="T15" s="62">
        <f t="shared" si="34"/>
        <v>371.70674704563288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</v>
      </c>
      <c r="AI15" s="14">
        <f>IF('Données projet'!$A$62&gt;35,AI14+AH15-AQ14,IF(A15&lt;'Données projet'!$A$62,$AF$205^A15,IF(A15='Données projet'!$A$62,'Données projet'!$B$62,AI14+AH15-AQ14)))</f>
        <v>7.685056401906202</v>
      </c>
      <c r="AJ15" s="14">
        <f>AI15*VLOOKUP('Données projet'!$B$10,Paramètres!$A$1:$I$89,3,0)*VLOOKUP('Données projet'!$B$10,Paramètres!$A$1:$I$89,5,0)</f>
        <v>6.9534390324447317</v>
      </c>
      <c r="AK15" s="14">
        <f t="shared" si="35"/>
        <v>2.55693493325087</v>
      </c>
      <c r="AL15" s="22">
        <f t="shared" si="4"/>
        <v>16.563901323586503</v>
      </c>
      <c r="AM15" s="62">
        <f t="shared" si="5"/>
        <v>287.89723465691981</v>
      </c>
      <c r="AN15" s="62">
        <f ca="1">AVERAGE(OFFSET($AM$3,0,0,'Données projet'!$E$10+1,1))-AVERAGE(OFFSET($H$3,0,0,'Données projet'!$E$10+1,1))</f>
        <v>371.7282125501186</v>
      </c>
      <c r="AO15" s="62">
        <f t="shared" si="36"/>
        <v>231.36959598460686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</v>
      </c>
      <c r="BD15" s="13">
        <f>IF('Données projet'!$A$88&gt;35,BD14+BC15-BL14,IF(A15&lt;'Données projet'!$A$88,$BA$205^A15,IF(A15='Données projet'!$A$88,'Données projet'!$B$88,BD14+BC15-BL14)))</f>
        <v>7.685056401906202</v>
      </c>
      <c r="BE15" s="14">
        <f>BD15*VLOOKUP('Données projet'!$B$11,Paramètres!$A$1:$I$89,3,0)*VLOOKUP('Données projet'!$B$11,Paramètres!$A$1:$I$89,5,0)</f>
        <v>6.4738915129657846</v>
      </c>
      <c r="BF15" s="14">
        <f t="shared" si="37"/>
        <v>2.4004785393925574</v>
      </c>
      <c r="BG15" s="22">
        <f t="shared" si="7"/>
        <v>15.456194507857447</v>
      </c>
      <c r="BH15" s="62">
        <f t="shared" si="8"/>
        <v>286.78952784119076</v>
      </c>
      <c r="BI15" s="62">
        <f ca="1">AVERAGE(OFFSET($BH$3,0,0,'Données projet'!$E$11+1,1))-AVERAGE(OFFSET($H$3,0,0,'Données projet'!$E$11+1,1))</f>
        <v>348.82438445524105</v>
      </c>
      <c r="BJ15" s="62">
        <f t="shared" si="38"/>
        <v>218.26721063098552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6.9411764705882355</v>
      </c>
      <c r="N16" s="14">
        <f>IF('Données projet'!$A$36&gt;35,N15+M16-V15,IF(A16&lt;'Données projet'!$A$36,$K$205^A16,IF(A16='Données projet'!$A$36,'Données projet'!$B$36,N15+M16-V15)))</f>
        <v>38.404344652263013</v>
      </c>
      <c r="O16" s="14">
        <f>N16*VLOOKUP('Données projet'!$B$9,Paramètres!$A$1:$I$89,3,0)*VLOOKUP('Données projet'!$B$9,Paramètres!$A$1:$I$89,5,0)</f>
        <v>22.965798102053284</v>
      </c>
      <c r="P16" s="14">
        <f t="shared" si="33"/>
        <v>7.3485848963755025</v>
      </c>
      <c r="Q16" s="22">
        <f t="shared" si="2"/>
        <v>52.797550388930141</v>
      </c>
      <c r="R16" s="62">
        <f t="shared" si="0"/>
        <v>325.35310594448566</v>
      </c>
      <c r="S16" s="62">
        <f ca="1">AVERAGE(OFFSET($R$3,0,0,'Données projet'!$E$9+1,1))-AVERAGE(OFFSET($H$3,0,0,'Données projet'!$E$9+1,1))</f>
        <v>348.62416478262719</v>
      </c>
      <c r="T16" s="62">
        <f t="shared" si="34"/>
        <v>371.70674704563288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</v>
      </c>
      <c r="AI16" s="14">
        <f>IF('Données projet'!$A$62&gt;35,AI15+AH16-AQ15,IF(A16&lt;'Données projet'!$A$62,$AF$205^A16,IF(A16='Données projet'!$A$62,'Données projet'!$B$62,AI15+AH16-AQ15)))</f>
        <v>9.1085863706396779</v>
      </c>
      <c r="AJ16" s="14">
        <f>AI16*VLOOKUP('Données projet'!$B$10,Paramètres!$A$1:$I$89,3,0)*VLOOKUP('Données projet'!$B$10,Paramètres!$A$1:$I$89,5,0)</f>
        <v>8.2414489481547797</v>
      </c>
      <c r="AK16" s="14">
        <f t="shared" si="35"/>
        <v>2.971206399035617</v>
      </c>
      <c r="AL16" s="22">
        <f t="shared" si="4"/>
        <v>19.528708063023274</v>
      </c>
      <c r="AM16" s="62">
        <f t="shared" si="5"/>
        <v>292.0842636185788</v>
      </c>
      <c r="AN16" s="62">
        <f ca="1">AVERAGE(OFFSET($AM$3,0,0,'Données projet'!$E$10+1,1))-AVERAGE(OFFSET($H$3,0,0,'Données projet'!$E$10+1,1))</f>
        <v>371.7282125501186</v>
      </c>
      <c r="AO16" s="62">
        <f t="shared" si="36"/>
        <v>231.36959598460686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</v>
      </c>
      <c r="BD16" s="13">
        <f>IF('Données projet'!$A$88&gt;35,BD15+BC16-BL15,IF(A16&lt;'Données projet'!$A$88,$BA$205^A16,IF(A16='Données projet'!$A$88,'Données projet'!$B$88,BD15+BC16-BL15)))</f>
        <v>9.1085863706396779</v>
      </c>
      <c r="BE16" s="14">
        <f>BD16*VLOOKUP('Données projet'!$B$11,Paramètres!$A$1:$I$89,3,0)*VLOOKUP('Données projet'!$B$11,Paramètres!$A$1:$I$89,5,0)</f>
        <v>7.6730731586268659</v>
      </c>
      <c r="BF16" s="14">
        <f t="shared" si="37"/>
        <v>2.7894011318946084</v>
      </c>
      <c r="BG16" s="22">
        <f t="shared" si="7"/>
        <v>18.222142722658234</v>
      </c>
      <c r="BH16" s="62">
        <f t="shared" si="8"/>
        <v>290.77769827821379</v>
      </c>
      <c r="BI16" s="62">
        <f ca="1">AVERAGE(OFFSET($BH$3,0,0,'Données projet'!$E$11+1,1))-AVERAGE(OFFSET($H$3,0,0,'Données projet'!$E$11+1,1))</f>
        <v>348.82438445524105</v>
      </c>
      <c r="BJ16" s="62">
        <f t="shared" si="38"/>
        <v>218.26721063098552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6.9411764705882355</v>
      </c>
      <c r="N17" s="14">
        <f>IF('Données projet'!$A$36&gt;35,N16+M17-V16,IF(A17&lt;'Données projet'!$A$36,$K$205^A17,IF(A17='Données projet'!$A$36,'Données projet'!$B$36,N16+M17-V16)))</f>
        <v>50.845880300225161</v>
      </c>
      <c r="O17" s="14">
        <f>N17*VLOOKUP('Données projet'!$B$9,Paramètres!$A$1:$I$89,3,0)*VLOOKUP('Données projet'!$B$9,Paramètres!$A$1:$I$89,5,0)</f>
        <v>30.405836419534648</v>
      </c>
      <c r="P17" s="14">
        <f t="shared" si="33"/>
        <v>9.4165719705798292</v>
      </c>
      <c r="Q17" s="22">
        <f t="shared" si="2"/>
        <v>69.357361279449364</v>
      </c>
      <c r="R17" s="62">
        <f t="shared" si="0"/>
        <v>343.13513905722715</v>
      </c>
      <c r="S17" s="62">
        <f ca="1">AVERAGE(OFFSET($R$3,0,0,'Données projet'!$E$9+1,1))-AVERAGE(OFFSET($H$3,0,0,'Données projet'!$E$9+1,1))</f>
        <v>348.62416478262719</v>
      </c>
      <c r="T17" s="62">
        <f t="shared" si="34"/>
        <v>371.70674704563288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</v>
      </c>
      <c r="AI17" s="14">
        <f>IF('Données projet'!$A$62&gt;35,AI16+AH17-AQ16,IF(A17&lt;'Données projet'!$A$62,$AF$205^A17,IF(A17='Données projet'!$A$62,'Données projet'!$B$62,AI16+AH17-AQ16)))</f>
        <v>10.795801791490293</v>
      </c>
      <c r="AJ17" s="14">
        <f>AI17*VLOOKUP('Données projet'!$B$10,Paramètres!$A$1:$I$89,3,0)*VLOOKUP('Données projet'!$B$10,Paramètres!$A$1:$I$89,5,0)</f>
        <v>9.7680414609404167</v>
      </c>
      <c r="AK17" s="14">
        <f t="shared" si="35"/>
        <v>3.4525976202477158</v>
      </c>
      <c r="AL17" s="22">
        <f t="shared" si="4"/>
        <v>23.025946399735997</v>
      </c>
      <c r="AM17" s="62">
        <f t="shared" si="5"/>
        <v>296.80372417751374</v>
      </c>
      <c r="AN17" s="62">
        <f ca="1">AVERAGE(OFFSET($AM$3,0,0,'Données projet'!$E$10+1,1))-AVERAGE(OFFSET($H$3,0,0,'Données projet'!$E$10+1,1))</f>
        <v>371.7282125501186</v>
      </c>
      <c r="AO17" s="62">
        <f t="shared" si="36"/>
        <v>231.36959598460686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</v>
      </c>
      <c r="BD17" s="13">
        <f>IF('Données projet'!$A$88&gt;35,BD16+BC17-BL16,IF(A17&lt;'Données projet'!$A$88,$BA$205^A17,IF(A17='Données projet'!$A$88,'Données projet'!$B$88,BD16+BC17-BL16)))</f>
        <v>10.795801791490293</v>
      </c>
      <c r="BE17" s="14">
        <f>BD17*VLOOKUP('Données projet'!$B$11,Paramètres!$A$1:$I$89,3,0)*VLOOKUP('Données projet'!$B$11,Paramètres!$A$1:$I$89,5,0)</f>
        <v>9.0943834291514243</v>
      </c>
      <c r="BF17" s="14">
        <f t="shared" si="37"/>
        <v>3.2413364864256806</v>
      </c>
      <c r="BG17" s="22">
        <f t="shared" si="7"/>
        <v>21.48471218629679</v>
      </c>
      <c r="BH17" s="62">
        <f t="shared" si="8"/>
        <v>295.26248996407458</v>
      </c>
      <c r="BI17" s="62">
        <f ca="1">AVERAGE(OFFSET($BH$3,0,0,'Données projet'!$E$11+1,1))-AVERAGE(OFFSET($H$3,0,0,'Données projet'!$E$11+1,1))</f>
        <v>348.82438445524105</v>
      </c>
      <c r="BJ17" s="62">
        <f t="shared" si="38"/>
        <v>218.26721063098552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6.9411764705882355</v>
      </c>
      <c r="N18" s="14">
        <f>IF('Données projet'!$A$36&gt;35,N17+M18-V17,IF(A18&lt;'Données projet'!$A$36,$K$205^A18,IF(A18='Données projet'!$A$36,'Données projet'!$B$36,N17+M18-V17)))</f>
        <v>67.317996620272581</v>
      </c>
      <c r="O18" s="14">
        <f>N18*VLOOKUP('Données projet'!$B$9,Paramètres!$A$1:$I$89,3,0)*VLOOKUP('Données projet'!$B$9,Paramètres!$A$1:$I$89,5,0)</f>
        <v>40.256161978923011</v>
      </c>
      <c r="P18" s="14">
        <f t="shared" si="33"/>
        <v>12.066517421720839</v>
      </c>
      <c r="Q18" s="22">
        <f t="shared" si="2"/>
        <v>91.128666622788032</v>
      </c>
      <c r="R18" s="62">
        <f t="shared" si="0"/>
        <v>366.12866662278805</v>
      </c>
      <c r="S18" s="62">
        <f ca="1">AVERAGE(OFFSET($R$3,0,0,'Données projet'!$E$9+1,1))-AVERAGE(OFFSET($H$3,0,0,'Données projet'!$E$9+1,1))</f>
        <v>348.62416478262719</v>
      </c>
      <c r="T18" s="62">
        <f t="shared" si="34"/>
        <v>371.70674704563288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</v>
      </c>
      <c r="AI18" s="14">
        <f>IF('Données projet'!$A$62&gt;35,AI17+AH18-AQ17,IF(A18&lt;'Données projet'!$A$62,$AF$205^A18,IF(A18='Données projet'!$A$62,'Données projet'!$B$62,AI17+AH18-AQ17)))</f>
        <v>12.795546046181913</v>
      </c>
      <c r="AJ18" s="14">
        <f>AI18*VLOOKUP('Données projet'!$B$10,Paramètres!$A$1:$I$89,3,0)*VLOOKUP('Données projet'!$B$10,Paramètres!$A$1:$I$89,5,0)</f>
        <v>11.577410062585395</v>
      </c>
      <c r="AK18" s="14">
        <f t="shared" si="35"/>
        <v>4.0119832574435987</v>
      </c>
      <c r="AL18" s="22">
        <f t="shared" si="4"/>
        <v>27.151526699050493</v>
      </c>
      <c r="AM18" s="62">
        <f t="shared" si="5"/>
        <v>302.15152669905046</v>
      </c>
      <c r="AN18" s="62">
        <f ca="1">AVERAGE(OFFSET($AM$3,0,0,'Données projet'!$E$10+1,1))-AVERAGE(OFFSET($H$3,0,0,'Données projet'!$E$10+1,1))</f>
        <v>371.7282125501186</v>
      </c>
      <c r="AO18" s="62">
        <f t="shared" si="36"/>
        <v>231.36959598460686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</v>
      </c>
      <c r="BD18" s="13">
        <f>IF('Données projet'!$A$88&gt;35,BD17+BC18-BL17,IF(A18&lt;'Données projet'!$A$88,$BA$205^A18,IF(A18='Données projet'!$A$88,'Données projet'!$B$88,BD17+BC18-BL17)))</f>
        <v>12.795546046181913</v>
      </c>
      <c r="BE18" s="14">
        <f>BD18*VLOOKUP('Données projet'!$B$11,Paramètres!$A$1:$I$89,3,0)*VLOOKUP('Données projet'!$B$11,Paramètres!$A$1:$I$89,5,0)</f>
        <v>10.778967989303645</v>
      </c>
      <c r="BF18" s="14">
        <f t="shared" si="37"/>
        <v>3.7664938535026482</v>
      </c>
      <c r="BG18" s="22">
        <f t="shared" si="7"/>
        <v>25.333346042887626</v>
      </c>
      <c r="BH18" s="62">
        <f t="shared" si="8"/>
        <v>300.33334604288763</v>
      </c>
      <c r="BI18" s="62">
        <f ca="1">AVERAGE(OFFSET($BH$3,0,0,'Données projet'!$E$11+1,1))-AVERAGE(OFFSET($H$3,0,0,'Données projet'!$E$11+1,1))</f>
        <v>348.82438445524105</v>
      </c>
      <c r="BJ18" s="62">
        <f t="shared" si="38"/>
        <v>218.26721063098552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6.9411764705882355</v>
      </c>
      <c r="N19" s="14">
        <f>IF('Données projet'!$A$36&gt;35,N18+M19-V18,IF(A19&lt;'Données projet'!$A$36,$K$205^A19,IF(A19='Données projet'!$A$36,'Données projet'!$B$36,N18+M19-V18)))</f>
        <v>89.126447260014572</v>
      </c>
      <c r="O19" s="14">
        <f>N19*VLOOKUP('Données projet'!$B$9,Paramètres!$A$1:$I$89,3,0)*VLOOKUP('Données projet'!$B$9,Paramètres!$A$1:$I$89,5,0)</f>
        <v>53.297615461488718</v>
      </c>
      <c r="P19" s="14">
        <f t="shared" si="33"/>
        <v>15.46219188294774</v>
      </c>
      <c r="Q19" s="22">
        <f t="shared" si="2"/>
        <v>119.75666445822681</v>
      </c>
      <c r="R19" s="62">
        <f t="shared" si="0"/>
        <v>395.97888668044902</v>
      </c>
      <c r="S19" s="62">
        <f ca="1">AVERAGE(OFFSET($R$3,0,0,'Données projet'!$E$9+1,1))-AVERAGE(OFFSET($H$3,0,0,'Données projet'!$E$9+1,1))</f>
        <v>348.62416478262719</v>
      </c>
      <c r="T19" s="62">
        <f t="shared" si="34"/>
        <v>371.70674704563288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</v>
      </c>
      <c r="AI19" s="14">
        <f>IF('Données projet'!$A$62&gt;35,AI18+AH19-AQ18,IF(A19&lt;'Données projet'!$A$62,$AF$205^A19,IF(A19='Données projet'!$A$62,'Données projet'!$B$62,AI18+AH19-AQ18)))</f>
        <v>15.165709947455436</v>
      </c>
      <c r="AJ19" s="14">
        <f>AI19*VLOOKUP('Données projet'!$B$10,Paramètres!$A$1:$I$89,3,0)*VLOOKUP('Données projet'!$B$10,Paramètres!$A$1:$I$89,5,0)</f>
        <v>13.721934360457679</v>
      </c>
      <c r="AK19" s="14">
        <f t="shared" si="35"/>
        <v>4.6619998703622194</v>
      </c>
      <c r="AL19" s="22">
        <f t="shared" si="4"/>
        <v>32.018685452011319</v>
      </c>
      <c r="AM19" s="62">
        <f t="shared" si="5"/>
        <v>308.24090767423354</v>
      </c>
      <c r="AN19" s="62">
        <f ca="1">AVERAGE(OFFSET($AM$3,0,0,'Données projet'!$E$10+1,1))-AVERAGE(OFFSET($H$3,0,0,'Données projet'!$E$10+1,1))</f>
        <v>371.7282125501186</v>
      </c>
      <c r="AO19" s="62">
        <f t="shared" si="36"/>
        <v>231.36959598460686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</v>
      </c>
      <c r="BD19" s="13">
        <f>IF('Données projet'!$A$88&gt;35,BD18+BC19-BL18,IF(A19&lt;'Données projet'!$A$88,$BA$205^A19,IF(A19='Données projet'!$A$88,'Données projet'!$B$88,BD18+BC19-BL18)))</f>
        <v>15.165709947455436</v>
      </c>
      <c r="BE19" s="14">
        <f>BD19*VLOOKUP('Données projet'!$B$11,Paramètres!$A$1:$I$89,3,0)*VLOOKUP('Données projet'!$B$11,Paramètres!$A$1:$I$89,5,0)</f>
        <v>12.775594059736461</v>
      </c>
      <c r="BF19" s="14">
        <f t="shared" si="37"/>
        <v>4.3767365739053794</v>
      </c>
      <c r="BG19" s="22">
        <f t="shared" si="7"/>
        <v>29.873642520259533</v>
      </c>
      <c r="BH19" s="62">
        <f t="shared" si="8"/>
        <v>306.09586474248175</v>
      </c>
      <c r="BI19" s="62">
        <f ca="1">AVERAGE(OFFSET($BH$3,0,0,'Données projet'!$E$11+1,1))-AVERAGE(OFFSET($H$3,0,0,'Données projet'!$E$11+1,1))</f>
        <v>348.82438445524105</v>
      </c>
      <c r="BJ19" s="62">
        <f t="shared" si="38"/>
        <v>218.26721063098552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118</v>
      </c>
      <c r="L20" s="13">
        <f>VLOOKUP(A20,'Données projet'!$A$35:$I$55,9,0)</f>
        <v>6.9411764705882355</v>
      </c>
      <c r="M20" s="13">
        <f t="array" ref="M20">INDEX(L:L,MIN(IF(ISNUMBER(L20:L216),ROW(L20:L216),"")))</f>
        <v>6.9411764705882355</v>
      </c>
      <c r="N20" s="14">
        <f>IF('Données projet'!$A$36&gt;35,N19+M20-V19,IF(A20&lt;'Données projet'!$A$36,$K$205^A20,IF(A20='Données projet'!$A$36,'Données projet'!$B$36,N19+M20-V19)))</f>
        <v>118</v>
      </c>
      <c r="O20" s="14">
        <f>N20*VLOOKUP('Données projet'!$B$9,Paramètres!$A$1:$I$89,3,0)*VLOOKUP('Données projet'!$B$9,Paramètres!$A$1:$I$89,5,0)</f>
        <v>70.564000000000007</v>
      </c>
      <c r="P20" s="14">
        <f t="shared" si="33"/>
        <v>19.813453167086163</v>
      </c>
      <c r="Q20" s="22">
        <f t="shared" si="2"/>
        <v>157.40739759934175</v>
      </c>
      <c r="R20" s="62">
        <f t="shared" si="0"/>
        <v>434.85184204378618</v>
      </c>
      <c r="S20" s="62">
        <f ca="1">AVERAGE(OFFSET($R$3,0,0,'Données projet'!$E$9+1,1))-AVERAGE(OFFSET($H$3,0,0,'Données projet'!$E$9+1,1))</f>
        <v>348.62416478262719</v>
      </c>
      <c r="T20" s="62">
        <f t="shared" si="34"/>
        <v>371.70674704563288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15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1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10.1561237088124</v>
      </c>
      <c r="AC20" s="24">
        <f t="shared" si="3"/>
        <v>10.1561237088124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</v>
      </c>
      <c r="AI20" s="14">
        <f>IF('Données projet'!$A$62&gt;35,AI19+AH20-AQ19,IF(A20&lt;'Données projet'!$A$62,$AF$205^A20,IF(A20='Données projet'!$A$62,'Données projet'!$B$62,AI19+AH20-AQ19)))</f>
        <v>17.974907626468866</v>
      </c>
      <c r="AJ20" s="14">
        <f>AI20*VLOOKUP('Données projet'!$B$10,Paramètres!$A$1:$I$89,3,0)*VLOOKUP('Données projet'!$B$10,Paramètres!$A$1:$I$89,5,0)</f>
        <v>16.263696420429028</v>
      </c>
      <c r="AK20" s="14">
        <f t="shared" si="35"/>
        <v>5.4173313786723556</v>
      </c>
      <c r="AL20" s="22">
        <f t="shared" si="4"/>
        <v>37.761123416768235</v>
      </c>
      <c r="AM20" s="62">
        <f t="shared" si="5"/>
        <v>315.20556786121267</v>
      </c>
      <c r="AN20" s="62">
        <f ca="1">AVERAGE(OFFSET($AM$3,0,0,'Données projet'!$E$10+1,1))-AVERAGE(OFFSET($H$3,0,0,'Données projet'!$E$10+1,1))</f>
        <v>371.7282125501186</v>
      </c>
      <c r="AO20" s="62">
        <f t="shared" si="36"/>
        <v>231.36959598460686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</v>
      </c>
      <c r="BD20" s="13">
        <f>IF('Données projet'!$A$88&gt;35,BD19+BC20-BL19,IF(A20&lt;'Données projet'!$A$88,$BA$205^A20,IF(A20='Données projet'!$A$88,'Données projet'!$B$88,BD19+BC20-BL19)))</f>
        <v>17.974907626468866</v>
      </c>
      <c r="BE20" s="14">
        <f>BD20*VLOOKUP('Données projet'!$B$11,Paramètres!$A$1:$I$89,3,0)*VLOOKUP('Données projet'!$B$11,Paramètres!$A$1:$I$89,5,0)</f>
        <v>15.142062184537375</v>
      </c>
      <c r="BF20" s="14">
        <f t="shared" si="37"/>
        <v>5.0858500723549716</v>
      </c>
      <c r="BG20" s="22">
        <f t="shared" si="7"/>
        <v>35.230280514087497</v>
      </c>
      <c r="BH20" s="62">
        <f t="shared" si="8"/>
        <v>312.67472495853195</v>
      </c>
      <c r="BI20" s="62">
        <f ca="1">AVERAGE(OFFSET($BH$3,0,0,'Données projet'!$E$11+1,1))-AVERAGE(OFFSET($H$3,0,0,'Données projet'!$E$11+1,1))</f>
        <v>348.82438445524105</v>
      </c>
      <c r="BJ20" s="62">
        <f t="shared" si="38"/>
        <v>218.26721063098552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11.333333333333334</v>
      </c>
      <c r="N21" s="14">
        <f>IF('Données projet'!$A$36&gt;35,N20+M21-V20,IF(A21&lt;'Données projet'!$A$36,$K$205^A21,IF(A21='Données projet'!$A$36,'Données projet'!$B$36,N20+M21-V20)))</f>
        <v>114.33333333333334</v>
      </c>
      <c r="O21" s="14">
        <f>N21*VLOOKUP('Données projet'!$B$9,Paramètres!$A$1:$I$89,3,0)*VLOOKUP('Données projet'!$B$9,Paramètres!$A$1:$I$89,5,0)</f>
        <v>68.37133333333334</v>
      </c>
      <c r="P21" s="14">
        <f t="shared" si="33"/>
        <v>19.268449754335993</v>
      </c>
      <c r="Q21" s="22">
        <f t="shared" si="2"/>
        <v>152.63928887769075</v>
      </c>
      <c r="R21" s="62">
        <f t="shared" si="0"/>
        <v>431.3059555443574</v>
      </c>
      <c r="S21" s="62">
        <f ca="1">AVERAGE(OFFSET($R$3,0,0,'Données projet'!$E$9+1,1))-AVERAGE(OFFSET($H$3,0,0,'Données projet'!$E$9+1,1))</f>
        <v>348.62416478262719</v>
      </c>
      <c r="T21" s="62">
        <f t="shared" si="34"/>
        <v>371.70674704563288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7.1814639450707176</v>
      </c>
      <c r="AC21" s="24">
        <f t="shared" si="3"/>
        <v>7.1814639450707176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</v>
      </c>
      <c r="AI21" s="14">
        <f>IF('Données projet'!$A$62&gt;35,AI20+AH21-AQ20,IF(A21&lt;'Données projet'!$A$62,$AF$205^A21,IF(A21='Données projet'!$A$62,'Données projet'!$B$62,AI20+AH21-AQ20)))</f>
        <v>21.304462850702166</v>
      </c>
      <c r="AJ21" s="14">
        <f>AI21*VLOOKUP('Données projet'!$B$10,Paramètres!$A$1:$I$89,3,0)*VLOOKUP('Données projet'!$B$10,Paramètres!$A$1:$I$89,5,0)</f>
        <v>19.276277987315318</v>
      </c>
      <c r="AK21" s="14">
        <f t="shared" si="35"/>
        <v>6.2950407727205615</v>
      </c>
      <c r="AL21" s="22">
        <f t="shared" si="4"/>
        <v>44.536713507062494</v>
      </c>
      <c r="AM21" s="62">
        <f t="shared" si="5"/>
        <v>323.20338017372916</v>
      </c>
      <c r="AN21" s="62">
        <f ca="1">AVERAGE(OFFSET($AM$3,0,0,'Données projet'!$E$10+1,1))-AVERAGE(OFFSET($H$3,0,0,'Données projet'!$E$10+1,1))</f>
        <v>371.7282125501186</v>
      </c>
      <c r="AO21" s="62">
        <f t="shared" si="36"/>
        <v>231.36959598460686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</v>
      </c>
      <c r="BD21" s="13">
        <f>IF('Données projet'!$A$88&gt;35,BD20+BC21-BL20,IF(A21&lt;'Données projet'!$A$88,$BA$205^A21,IF(A21='Données projet'!$A$88,'Données projet'!$B$88,BD20+BC21-BL20)))</f>
        <v>21.304462850702166</v>
      </c>
      <c r="BE21" s="14">
        <f>BD21*VLOOKUP('Données projet'!$B$11,Paramètres!$A$1:$I$89,3,0)*VLOOKUP('Données projet'!$B$11,Paramètres!$A$1:$I$89,5,0)</f>
        <v>17.946879505431507</v>
      </c>
      <c r="BF21" s="14">
        <f t="shared" si="37"/>
        <v>5.9098532711994682</v>
      </c>
      <c r="BG21" s="22">
        <f t="shared" si="7"/>
        <v>41.550476252632279</v>
      </c>
      <c r="BH21" s="62">
        <f t="shared" si="8"/>
        <v>320.21714291929896</v>
      </c>
      <c r="BI21" s="62">
        <f ca="1">AVERAGE(OFFSET($BH$3,0,0,'Données projet'!$E$11+1,1))-AVERAGE(OFFSET($H$3,0,0,'Données projet'!$E$11+1,1))</f>
        <v>348.82438445524105</v>
      </c>
      <c r="BJ21" s="62">
        <f t="shared" si="38"/>
        <v>218.26721063098552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11.333333333333334</v>
      </c>
      <c r="N22" s="14">
        <f>IF('Données projet'!$A$36&gt;35,N21+M22-V21,IF(A22&lt;'Données projet'!$A$36,$K$205^A22,IF(A22='Données projet'!$A$36,'Données projet'!$B$36,N21+M22-V21)))</f>
        <v>125.66666666666667</v>
      </c>
      <c r="O22" s="14">
        <f>N22*VLOOKUP('Données projet'!$B$9,Paramètres!$A$1:$I$89,3,0)*VLOOKUP('Données projet'!$B$9,Paramètres!$A$1:$I$89,5,0)</f>
        <v>75.148666666666671</v>
      </c>
      <c r="P22" s="14">
        <f t="shared" si="33"/>
        <v>20.946723857947624</v>
      </c>
      <c r="Q22" s="22">
        <f t="shared" si="2"/>
        <v>167.36613849703656</v>
      </c>
      <c r="R22" s="62">
        <f t="shared" si="0"/>
        <v>447.25502738592542</v>
      </c>
      <c r="S22" s="62">
        <f ca="1">AVERAGE(OFFSET($R$3,0,0,'Données projet'!$E$9+1,1))-AVERAGE(OFFSET($H$3,0,0,'Données projet'!$E$9+1,1))</f>
        <v>348.62416478262719</v>
      </c>
      <c r="T22" s="62">
        <f t="shared" si="34"/>
        <v>371.70674704563288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5.0780618544062008</v>
      </c>
      <c r="AC22" s="24">
        <f t="shared" si="3"/>
        <v>5.0780618544062008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</v>
      </c>
      <c r="AI22" s="14">
        <f>IF('Données projet'!$A$62&gt;35,AI21+AH22-AQ21,IF(A22&lt;'Données projet'!$A$62,$AF$205^A22,IF(A22='Données projet'!$A$62,'Données projet'!$B$62,AI21+AH22-AQ21)))</f>
        <v>25.250763274498809</v>
      </c>
      <c r="AJ22" s="14">
        <f>AI22*VLOOKUP('Données projet'!$B$10,Paramètres!$A$1:$I$89,3,0)*VLOOKUP('Données projet'!$B$10,Paramètres!$A$1:$I$89,5,0)</f>
        <v>22.846890610766522</v>
      </c>
      <c r="AK22" s="14">
        <f t="shared" si="35"/>
        <v>7.3149555676481315</v>
      </c>
      <c r="AL22" s="22">
        <f t="shared" si="4"/>
        <v>52.531882094072188</v>
      </c>
      <c r="AM22" s="62">
        <f t="shared" si="5"/>
        <v>332.42077098296102</v>
      </c>
      <c r="AN22" s="62">
        <f ca="1">AVERAGE(OFFSET($AM$3,0,0,'Données projet'!$E$10+1,1))-AVERAGE(OFFSET($H$3,0,0,'Données projet'!$E$10+1,1))</f>
        <v>371.7282125501186</v>
      </c>
      <c r="AO22" s="62">
        <f t="shared" si="36"/>
        <v>231.36959598460686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</v>
      </c>
      <c r="BD22" s="13">
        <f>IF('Données projet'!$A$88&gt;35,BD21+BC22-BL21,IF(A22&lt;'Données projet'!$A$88,$BA$205^A22,IF(A22='Données projet'!$A$88,'Données projet'!$B$88,BD21+BC22-BL21)))</f>
        <v>25.250763274498809</v>
      </c>
      <c r="BE22" s="14">
        <f>BD22*VLOOKUP('Données projet'!$B$11,Paramètres!$A$1:$I$89,3,0)*VLOOKUP('Données projet'!$B$11,Paramètres!$A$1:$I$89,5,0)</f>
        <v>21.271242982437798</v>
      </c>
      <c r="BF22" s="14">
        <f t="shared" si="37"/>
        <v>6.8673604589634802</v>
      </c>
      <c r="BG22" s="22">
        <f t="shared" si="7"/>
        <v>49.00806766044056</v>
      </c>
      <c r="BH22" s="62">
        <f t="shared" si="8"/>
        <v>328.89695654932939</v>
      </c>
      <c r="BI22" s="62">
        <f ca="1">AVERAGE(OFFSET($BH$3,0,0,'Données projet'!$E$11+1,1))-AVERAGE(OFFSET($H$3,0,0,'Données projet'!$E$11+1,1))</f>
        <v>348.82438445524105</v>
      </c>
      <c r="BJ22" s="62">
        <f t="shared" si="38"/>
        <v>218.26721063098552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137</v>
      </c>
      <c r="L23" s="13">
        <f>VLOOKUP(A23,'Données projet'!$A$35:$I$55,9,0)</f>
        <v>11.333333333333334</v>
      </c>
      <c r="M23" s="13">
        <f t="array" ref="M23">INDEX(L:L,MIN(IF(ISNUMBER(L23:L219),ROW(L23:L219),"")))</f>
        <v>11.333333333333334</v>
      </c>
      <c r="N23" s="14">
        <f>IF('Données projet'!$A$36&gt;35,N22+M23-V22,IF(A23&lt;'Données projet'!$A$36,$K$205^A23,IF(A23='Données projet'!$A$36,'Données projet'!$B$36,N22+M23-V22)))</f>
        <v>137</v>
      </c>
      <c r="O23" s="14">
        <f>N23*VLOOKUP('Données projet'!$B$9,Paramètres!$A$1:$I$89,3,0)*VLOOKUP('Données projet'!$B$9,Paramètres!$A$1:$I$89,5,0)</f>
        <v>81.926000000000002</v>
      </c>
      <c r="P23" s="14">
        <f t="shared" si="33"/>
        <v>22.607447146245146</v>
      </c>
      <c r="Q23" s="22">
        <f t="shared" si="2"/>
        <v>182.06242044637693</v>
      </c>
      <c r="R23" s="62">
        <f t="shared" si="0"/>
        <v>463.1735315574881</v>
      </c>
      <c r="S23" s="62">
        <f ca="1">AVERAGE(OFFSET($R$3,0,0,'Données projet'!$E$9+1,1))-AVERAGE(OFFSET($H$3,0,0,'Données projet'!$E$9+1,1))</f>
        <v>348.62416478262719</v>
      </c>
      <c r="T23" s="62">
        <f t="shared" si="34"/>
        <v>371.70674704563288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15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13.746855681347759</v>
      </c>
      <c r="AC23" s="24">
        <f t="shared" si="3"/>
        <v>13.746855681347759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</v>
      </c>
      <c r="AI23" s="14">
        <f>IF('Données projet'!$A$62&gt;35,AI22+AH23-AQ22,IF(A23&lt;'Données projet'!$A$62,$AF$205^A23,IF(A23='Données projet'!$A$62,'Données projet'!$B$62,AI22+AH23-AQ22)))</f>
        <v>29.92805077569761</v>
      </c>
      <c r="AJ23" s="14">
        <f>AI23*VLOOKUP('Données projet'!$B$10,Paramètres!$A$1:$I$89,3,0)*VLOOKUP('Données projet'!$B$10,Paramètres!$A$1:$I$89,5,0)</f>
        <v>27.078900341851195</v>
      </c>
      <c r="AK23" s="14">
        <f t="shared" si="35"/>
        <v>8.5001157083119736</v>
      </c>
      <c r="AL23" s="22">
        <f t="shared" si="4"/>
        <v>61.966786287367512</v>
      </c>
      <c r="AM23" s="62">
        <f t="shared" si="5"/>
        <v>343.07789739847863</v>
      </c>
      <c r="AN23" s="62">
        <f ca="1">AVERAGE(OFFSET($AM$3,0,0,'Données projet'!$E$10+1,1))-AVERAGE(OFFSET($H$3,0,0,'Données projet'!$E$10+1,1))</f>
        <v>371.7282125501186</v>
      </c>
      <c r="AO23" s="62">
        <f t="shared" si="36"/>
        <v>231.36959598460686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</v>
      </c>
      <c r="BD23" s="13">
        <f>IF('Données projet'!$A$88&gt;35,BD22+BC23-BL22,IF(A23&lt;'Données projet'!$A$88,$BA$205^A23,IF(A23='Données projet'!$A$88,'Données projet'!$B$88,BD22+BC23-BL22)))</f>
        <v>29.92805077569761</v>
      </c>
      <c r="BE23" s="14">
        <f>BD23*VLOOKUP('Données projet'!$B$11,Paramètres!$A$1:$I$89,3,0)*VLOOKUP('Données projet'!$B$11,Paramètres!$A$1:$I$89,5,0)</f>
        <v>25.211389973447666</v>
      </c>
      <c r="BF23" s="14">
        <f t="shared" si="37"/>
        <v>7.9800017883969039</v>
      </c>
      <c r="BG23" s="22">
        <f t="shared" si="7"/>
        <v>57.808340651879291</v>
      </c>
      <c r="BH23" s="62">
        <f t="shared" si="8"/>
        <v>338.91945176299043</v>
      </c>
      <c r="BI23" s="62">
        <f ca="1">AVERAGE(OFFSET($BH$3,0,0,'Données projet'!$E$11+1,1))-AVERAGE(OFFSET($H$3,0,0,'Données projet'!$E$11+1,1))</f>
        <v>348.82438445524105</v>
      </c>
      <c r="BJ23" s="62">
        <f t="shared" si="38"/>
        <v>218.26721063098552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16.399999999999999</v>
      </c>
      <c r="N24" s="14">
        <f>IF('Données projet'!$A$36&gt;35,N23+M24-V23,IF(A24&lt;'Données projet'!$A$36,$K$205^A24,IF(A24='Données projet'!$A$36,'Données projet'!$B$36,N23+M24-V23)))</f>
        <v>138.4</v>
      </c>
      <c r="O24" s="14">
        <f>N24*VLOOKUP('Données projet'!$B$9,Paramètres!$A$1:$I$89,3,0)*VLOOKUP('Données projet'!$B$9,Paramètres!$A$1:$I$89,5,0)</f>
        <v>82.763200000000012</v>
      </c>
      <c r="P24" s="14">
        <f t="shared" si="33"/>
        <v>22.811459894537176</v>
      </c>
      <c r="Q24" s="22">
        <f t="shared" si="2"/>
        <v>183.8758659829856</v>
      </c>
      <c r="R24" s="62">
        <f t="shared" si="0"/>
        <v>466.20919931631892</v>
      </c>
      <c r="S24" s="62">
        <f ca="1">AVERAGE(OFFSET($R$3,0,0,'Données projet'!$E$9+1,1))-AVERAGE(OFFSET($H$3,0,0,'Données projet'!$E$9+1,1))</f>
        <v>348.62416478262719</v>
      </c>
      <c r="T24" s="62">
        <f t="shared" si="34"/>
        <v>371.70674704563288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9.720494872273818</v>
      </c>
      <c r="AC24" s="24">
        <f t="shared" si="3"/>
        <v>9.720494872273818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</v>
      </c>
      <c r="AI24" s="14">
        <f>IF('Données projet'!$A$62&gt;35,AI23+AH24-AQ23,IF(A24&lt;'Données projet'!$A$62,$AF$205^A24,IF(A24='Données projet'!$A$62,'Données projet'!$B$62,AI23+AH24-AQ23)))</f>
        <v>35.471728656111772</v>
      </c>
      <c r="AJ24" s="14">
        <f>AI24*VLOOKUP('Données projet'!$B$10,Paramètres!$A$1:$I$89,3,0)*VLOOKUP('Données projet'!$B$10,Paramètres!$A$1:$I$89,5,0)</f>
        <v>32.094820088049929</v>
      </c>
      <c r="AK24" s="14">
        <f t="shared" si="35"/>
        <v>9.8772940432120837</v>
      </c>
      <c r="AL24" s="22">
        <f t="shared" si="4"/>
        <v>73.101432111948</v>
      </c>
      <c r="AM24" s="62">
        <f t="shared" si="5"/>
        <v>355.4347654452813</v>
      </c>
      <c r="AN24" s="62">
        <f ca="1">AVERAGE(OFFSET($AM$3,0,0,'Données projet'!$E$10+1,1))-AVERAGE(OFFSET($H$3,0,0,'Données projet'!$E$10+1,1))</f>
        <v>371.7282125501186</v>
      </c>
      <c r="AO24" s="62">
        <f t="shared" si="36"/>
        <v>231.36959598460686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</v>
      </c>
      <c r="BD24" s="13">
        <f>IF('Données projet'!$A$88&gt;35,BD23+BC24-BL23,IF(A24&lt;'Données projet'!$A$88,$BA$205^A24,IF(A24='Données projet'!$A$88,'Données projet'!$B$88,BD23+BC24-BL23)))</f>
        <v>35.471728656111772</v>
      </c>
      <c r="BE24" s="14">
        <f>BD24*VLOOKUP('Données projet'!$B$11,Paramètres!$A$1:$I$89,3,0)*VLOOKUP('Données projet'!$B$11,Paramètres!$A$1:$I$89,5,0)</f>
        <v>29.881384219908558</v>
      </c>
      <c r="BF24" s="14">
        <f t="shared" si="37"/>
        <v>9.272911903102484</v>
      </c>
      <c r="BG24" s="22">
        <f t="shared" si="7"/>
        <v>68.193732414244224</v>
      </c>
      <c r="BH24" s="62">
        <f t="shared" si="8"/>
        <v>350.52706574757752</v>
      </c>
      <c r="BI24" s="62">
        <f ca="1">AVERAGE(OFFSET($BH$3,0,0,'Données projet'!$E$11+1,1))-AVERAGE(OFFSET($H$3,0,0,'Données projet'!$E$11+1,1))</f>
        <v>348.82438445524105</v>
      </c>
      <c r="BJ24" s="62">
        <f t="shared" si="38"/>
        <v>218.26721063098552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16.399999999999999</v>
      </c>
      <c r="N25" s="14">
        <f>IF('Données projet'!$A$36&gt;35,N24+M25-V24,IF(A25&lt;'Données projet'!$A$36,$K$205^A25,IF(A25='Données projet'!$A$36,'Données projet'!$B$36,N24+M25-V24)))</f>
        <v>154.80000000000001</v>
      </c>
      <c r="O25" s="14">
        <f>N25*VLOOKUP('Données projet'!$B$9,Paramètres!$A$1:$I$89,3,0)*VLOOKUP('Données projet'!$B$9,Paramètres!$A$1:$I$89,5,0)</f>
        <v>92.570400000000021</v>
      </c>
      <c r="P25" s="14">
        <f t="shared" si="33"/>
        <v>25.184123943972491</v>
      </c>
      <c r="Q25" s="22">
        <f t="shared" si="2"/>
        <v>205.0891292024188</v>
      </c>
      <c r="R25" s="62">
        <f t="shared" si="0"/>
        <v>488.64468475797435</v>
      </c>
      <c r="S25" s="62">
        <f ca="1">AVERAGE(OFFSET($R$3,0,0,'Données projet'!$E$9+1,1))-AVERAGE(OFFSET($H$3,0,0,'Données projet'!$E$9+1,1))</f>
        <v>348.62416478262719</v>
      </c>
      <c r="T25" s="62">
        <f t="shared" si="34"/>
        <v>371.70674704563288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6.8734278406738802</v>
      </c>
      <c r="AC25" s="24">
        <f t="shared" si="3"/>
        <v>6.8734278406738802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</v>
      </c>
      <c r="AI25" s="14">
        <f>IF('Données projet'!$A$62&gt;35,AI24+AH25-AQ24,IF(A25&lt;'Données projet'!$A$62,$AF$205^A25,IF(A25='Données projet'!$A$62,'Données projet'!$B$62,AI24+AH25-AQ24)))</f>
        <v>42.042281446359659</v>
      </c>
      <c r="AJ25" s="14">
        <f>AI25*VLOOKUP('Données projet'!$B$10,Paramètres!$A$1:$I$89,3,0)*VLOOKUP('Données projet'!$B$10,Paramètres!$A$1:$I$89,5,0)</f>
        <v>38.039856252666219</v>
      </c>
      <c r="AK25" s="14">
        <f t="shared" si="35"/>
        <v>11.477601124967212</v>
      </c>
      <c r="AL25" s="22">
        <f t="shared" si="4"/>
        <v>86.242904932711554</v>
      </c>
      <c r="AM25" s="62">
        <f t="shared" si="5"/>
        <v>369.7984604882671</v>
      </c>
      <c r="AN25" s="62">
        <f ca="1">AVERAGE(OFFSET($AM$3,0,0,'Données projet'!$E$10+1,1))-AVERAGE(OFFSET($H$3,0,0,'Données projet'!$E$10+1,1))</f>
        <v>371.7282125501186</v>
      </c>
      <c r="AO25" s="62">
        <f t="shared" si="36"/>
        <v>231.36959598460686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</v>
      </c>
      <c r="BD25" s="13">
        <f>IF('Données projet'!$A$88&gt;35,BD24+BC25-BL24,IF(A25&lt;'Données projet'!$A$88,$BA$205^A25,IF(A25='Données projet'!$A$88,'Données projet'!$B$88,BD24+BC25-BL24)))</f>
        <v>42.042281446359659</v>
      </c>
      <c r="BE25" s="14">
        <f>BD25*VLOOKUP('Données projet'!$B$11,Paramètres!$A$1:$I$89,3,0)*VLOOKUP('Données projet'!$B$11,Paramètres!$A$1:$I$89,5,0)</f>
        <v>35.416417890413385</v>
      </c>
      <c r="BF25" s="14">
        <f t="shared" si="37"/>
        <v>10.775297730850967</v>
      </c>
      <c r="BG25" s="22">
        <f t="shared" si="7"/>
        <v>80.450571373702076</v>
      </c>
      <c r="BH25" s="62">
        <f t="shared" si="8"/>
        <v>364.00612692925762</v>
      </c>
      <c r="BI25" s="62">
        <f ca="1">AVERAGE(OFFSET($BH$3,0,0,'Données projet'!$E$11+1,1))-AVERAGE(OFFSET($H$3,0,0,'Données projet'!$E$11+1,1))</f>
        <v>348.82438445524105</v>
      </c>
      <c r="BJ25" s="62">
        <f t="shared" si="38"/>
        <v>218.26721063098552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16.399999999999999</v>
      </c>
      <c r="N26" s="14">
        <f>IF('Données projet'!$A$36&gt;35,N25+M26-V25,IF(A26&lt;'Données projet'!$A$36,$K$205^A26,IF(A26='Données projet'!$A$36,'Données projet'!$B$36,N25+M26-V25)))</f>
        <v>171.20000000000002</v>
      </c>
      <c r="O26" s="14">
        <f>N26*VLOOKUP('Données projet'!$B$9,Paramètres!$A$1:$I$89,3,0)*VLOOKUP('Données projet'!$B$9,Paramètres!$A$1:$I$89,5,0)</f>
        <v>102.37760000000002</v>
      </c>
      <c r="P26" s="14">
        <f t="shared" si="33"/>
        <v>27.527651005505614</v>
      </c>
      <c r="Q26" s="22">
        <f t="shared" si="2"/>
        <v>226.25164550125564</v>
      </c>
      <c r="R26" s="62">
        <f t="shared" si="0"/>
        <v>511.02942327903338</v>
      </c>
      <c r="S26" s="62">
        <f ca="1">AVERAGE(OFFSET($R$3,0,0,'Données projet'!$E$9+1,1))-AVERAGE(OFFSET($H$3,0,0,'Données projet'!$E$9+1,1))</f>
        <v>348.62416478262719</v>
      </c>
      <c r="T26" s="62">
        <f t="shared" si="34"/>
        <v>371.70674704563288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4.8602474361369099</v>
      </c>
      <c r="AC26" s="24">
        <f t="shared" si="3"/>
        <v>4.8602474361369099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</v>
      </c>
      <c r="AI26" s="14">
        <f>IF('Données projet'!$A$62&gt;35,AI25+AH26-AQ25,IF(A26&lt;'Données projet'!$A$62,$AF$205^A26,IF(A26='Données projet'!$A$62,'Données projet'!$B$62,AI25+AH26-AQ25)))</f>
        <v>49.82992078990118</v>
      </c>
      <c r="AJ26" s="14">
        <f>AI26*VLOOKUP('Données projet'!$B$10,Paramètres!$A$1:$I$89,3,0)*VLOOKUP('Données projet'!$B$10,Paramètres!$A$1:$I$89,5,0)</f>
        <v>45.086112330702591</v>
      </c>
      <c r="AK26" s="14">
        <f t="shared" si="35"/>
        <v>13.337187999822708</v>
      </c>
      <c r="AL26" s="22">
        <f t="shared" si="4"/>
        <v>101.75391474233156</v>
      </c>
      <c r="AM26" s="62">
        <f t="shared" si="5"/>
        <v>386.53169252010935</v>
      </c>
      <c r="AN26" s="62">
        <f ca="1">AVERAGE(OFFSET($AM$3,0,0,'Données projet'!$E$10+1,1))-AVERAGE(OFFSET($H$3,0,0,'Données projet'!$E$10+1,1))</f>
        <v>371.7282125501186</v>
      </c>
      <c r="AO26" s="62">
        <f t="shared" si="36"/>
        <v>231.36959598460686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</v>
      </c>
      <c r="BD26" s="13">
        <f>IF('Données projet'!$A$88&gt;35,BD25+BC26-BL25,IF(A26&lt;'Données projet'!$A$88,$BA$205^A26,IF(A26='Données projet'!$A$88,'Données projet'!$B$88,BD25+BC26-BL25)))</f>
        <v>49.82992078990118</v>
      </c>
      <c r="BE26" s="14">
        <f>BD26*VLOOKUP('Données projet'!$B$11,Paramètres!$A$1:$I$89,3,0)*VLOOKUP('Données projet'!$B$11,Paramètres!$A$1:$I$89,5,0)</f>
        <v>41.976725273412761</v>
      </c>
      <c r="BF26" s="14">
        <f t="shared" si="37"/>
        <v>12.521098270073658</v>
      </c>
      <c r="BG26" s="22">
        <f t="shared" si="7"/>
        <v>94.917042671572176</v>
      </c>
      <c r="BH26" s="62">
        <f t="shared" si="8"/>
        <v>379.69482044934995</v>
      </c>
      <c r="BI26" s="62">
        <f ca="1">AVERAGE(OFFSET($BH$3,0,0,'Données projet'!$E$11+1,1))-AVERAGE(OFFSET($H$3,0,0,'Données projet'!$E$11+1,1))</f>
        <v>348.82438445524105</v>
      </c>
      <c r="BJ26" s="62">
        <f t="shared" si="38"/>
        <v>218.26721063098552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16.399999999999999</v>
      </c>
      <c r="N27" s="14">
        <f>IF('Données projet'!$A$36&gt;35,N26+M27-V26,IF(A27&lt;'Données projet'!$A$36,$K$205^A27,IF(A27='Données projet'!$A$36,'Données projet'!$B$36,N26+M27-V26)))</f>
        <v>187.60000000000002</v>
      </c>
      <c r="O27" s="14">
        <f>N27*VLOOKUP('Données projet'!$B$9,Paramètres!$A$1:$I$89,3,0)*VLOOKUP('Données projet'!$B$9,Paramètres!$A$1:$I$89,5,0)</f>
        <v>112.18480000000002</v>
      </c>
      <c r="P27" s="14">
        <f t="shared" si="33"/>
        <v>29.845149809641946</v>
      </c>
      <c r="Q27" s="22">
        <f t="shared" si="2"/>
        <v>247.36882925179307</v>
      </c>
      <c r="R27" s="62">
        <f t="shared" si="0"/>
        <v>533.36882925179304</v>
      </c>
      <c r="S27" s="62">
        <f ca="1">AVERAGE(OFFSET($R$3,0,0,'Données projet'!$E$9+1,1))-AVERAGE(OFFSET($H$3,0,0,'Données projet'!$E$9+1,1))</f>
        <v>348.62416478262719</v>
      </c>
      <c r="T27" s="62">
        <f t="shared" si="34"/>
        <v>371.70674704563288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3.436713920336941</v>
      </c>
      <c r="AC27" s="24">
        <f t="shared" si="3"/>
        <v>3.436713920336941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</v>
      </c>
      <c r="AI27" s="14">
        <f>IF('Données projet'!$A$62&gt;35,AI26+AH27-AQ26,IF(A27&lt;'Données projet'!$A$62,$AF$205^A27,IF(A27='Données projet'!$A$62,'Données projet'!$B$62,AI26+AH27-AQ26)))</f>
        <v>59.060091900479499</v>
      </c>
      <c r="AJ27" s="14">
        <f>AI27*VLOOKUP('Données projet'!$B$10,Paramètres!$A$1:$I$89,3,0)*VLOOKUP('Données projet'!$B$10,Paramètres!$A$1:$I$89,5,0)</f>
        <v>53.437571151553847</v>
      </c>
      <c r="AK27" s="14">
        <f t="shared" si="35"/>
        <v>15.498062862253629</v>
      </c>
      <c r="AL27" s="22">
        <f t="shared" si="4"/>
        <v>120.06289590738133</v>
      </c>
      <c r="AM27" s="62">
        <f t="shared" si="5"/>
        <v>406.06289590738135</v>
      </c>
      <c r="AN27" s="62">
        <f ca="1">AVERAGE(OFFSET($AM$3,0,0,'Données projet'!$E$10+1,1))-AVERAGE(OFFSET($H$3,0,0,'Données projet'!$E$10+1,1))</f>
        <v>371.7282125501186</v>
      </c>
      <c r="AO27" s="62">
        <f t="shared" si="36"/>
        <v>231.36959598460686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</v>
      </c>
      <c r="BD27" s="13">
        <f>IF('Données projet'!$A$88&gt;35,BD26+BC27-BL26,IF(A27&lt;'Données projet'!$A$88,$BA$205^A27,IF(A27='Données projet'!$A$88,'Données projet'!$B$88,BD26+BC27-BL26)))</f>
        <v>59.060091900479499</v>
      </c>
      <c r="BE27" s="14">
        <f>BD27*VLOOKUP('Données projet'!$B$11,Paramètres!$A$1:$I$89,3,0)*VLOOKUP('Données projet'!$B$11,Paramètres!$A$1:$I$89,5,0)</f>
        <v>49.752221416963934</v>
      </c>
      <c r="BF27" s="14">
        <f t="shared" si="37"/>
        <v>14.549751274154364</v>
      </c>
      <c r="BG27" s="22">
        <f t="shared" si="7"/>
        <v>111.99260243703104</v>
      </c>
      <c r="BH27" s="62">
        <f t="shared" si="8"/>
        <v>397.99260243703105</v>
      </c>
      <c r="BI27" s="62">
        <f ca="1">AVERAGE(OFFSET($BH$3,0,0,'Données projet'!$E$11+1,1))-AVERAGE(OFFSET($H$3,0,0,'Données projet'!$E$11+1,1))</f>
        <v>348.82438445524105</v>
      </c>
      <c r="BJ27" s="62">
        <f t="shared" si="38"/>
        <v>218.26721063098552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204</v>
      </c>
      <c r="L28" s="13">
        <f>VLOOKUP(A28,'Données projet'!$A$35:$I$55,9,0)</f>
        <v>16.399999999999999</v>
      </c>
      <c r="M28" s="13">
        <f t="array" ref="M28">INDEX(L:L,MIN(IF(ISNUMBER(L28:L224),ROW(L28:L224),"")))</f>
        <v>16.399999999999999</v>
      </c>
      <c r="N28" s="14">
        <f>IF('Données projet'!$A$36&gt;35,N27+M28-V27,IF(A28&lt;'Données projet'!$A$36,$K$205^A28,IF(A28='Données projet'!$A$36,'Données projet'!$B$36,N27+M28-V27)))</f>
        <v>204.00000000000003</v>
      </c>
      <c r="O28" s="14">
        <f>N28*VLOOKUP('Données projet'!$B$9,Paramètres!$A$1:$I$89,3,0)*VLOOKUP('Données projet'!$B$9,Paramètres!$A$1:$I$89,5,0)</f>
        <v>121.99200000000003</v>
      </c>
      <c r="P28" s="14">
        <f t="shared" si="33"/>
        <v>32.139154469866327</v>
      </c>
      <c r="Q28" s="22">
        <f t="shared" si="2"/>
        <v>268.44509403501723</v>
      </c>
      <c r="R28" s="62">
        <f t="shared" si="0"/>
        <v>555.66731625723946</v>
      </c>
      <c r="S28" s="62">
        <f ca="1">AVERAGE(OFFSET($R$3,0,0,'Données projet'!$E$9+1,1))-AVERAGE(OFFSET($H$3,0,0,'Données projet'!$E$9+1,1))</f>
        <v>348.62416478262719</v>
      </c>
      <c r="T28" s="62">
        <f t="shared" si="34"/>
        <v>371.70674704563288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36</v>
      </c>
      <c r="W28" s="17">
        <f>IF(ISNA(VLOOKUP(A28,'Données projet'!$A$35:$I$55,5,0)),0%,VLOOKUP(A28,'Données projet'!$A$35:$I$55,5,0)*VLOOKUP('Données projet'!$B$9,Paramètres!$A$1:$I$89,7,0))</f>
        <v>6.7500000000000004E-2</v>
      </c>
      <c r="X28" s="17">
        <f>IF(ISNA(VLOOKUP(A28,'Données projet'!$A$35:$I$55,6,0)),0%,VLOOKUP(A28,'Données projet'!$A$35:$I$55,6,0)*VLOOKUP('Données projet'!$B$9,Paramètres!$A$1:$I$89,7,0))</f>
        <v>0.18000000000000002</v>
      </c>
      <c r="Y28" s="17">
        <f>IF(ISNA(VLOOKUP(A28,'Données projet'!$A$35:$I$55,7,0)),0%,VLOOKUP(A28,'Données projet'!$A$35:$I$55,7,0))</f>
        <v>0.45</v>
      </c>
      <c r="Z28" s="23">
        <f>EXP(-LN(2)/35)*Z27+(1-EXP(-LN(2)/35))/(LN(2)/35)*V28*W28*VLOOKUP('Données projet'!$B$9,Paramètres!$A$1:$I$89,3,0)*0.475*44/12</f>
        <v>1.927683872777413</v>
      </c>
      <c r="AA28" s="23">
        <f>EXP(-LN(2)/25)*AA27+(1-EXP(-LN(2)/25))/(LN(2)/25)*Calculateur!V28*Calculateur!X28*VLOOKUP('Données projet'!$B$9,Paramètres!$A$1:$I$89,3,0)*0.475*44/12</f>
        <v>5.1202502583070659</v>
      </c>
      <c r="AB28" s="23">
        <f>EXP(-LN(2)/2)*AB27+(1-EXP(-LN(2)/2))/(LN(2)/2)*V28*Y28*VLOOKUP('Données projet'!$B$9,Paramètres!$A$1:$I$89,3,0)*0.475*44/12</f>
        <v>13.398737323585845</v>
      </c>
      <c r="AC28" s="24">
        <f t="shared" si="3"/>
        <v>20.446671454670323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2.8</v>
      </c>
      <c r="AH28" s="13">
        <f t="array" ref="AH28">INDEX(AG:AG,MIN(IF(ISNUMBER(AG28:AG224),ROW(AG28:AG224),"")))</f>
        <v>2.8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428.89816692885358</v>
      </c>
      <c r="AN28" s="62">
        <f ca="1">AVERAGE(OFFSET($AM$3,0,0,'Données projet'!$E$10+1,1))-AVERAGE(OFFSET($H$3,0,0,'Données projet'!$E$10+1,1))</f>
        <v>371.7282125501186</v>
      </c>
      <c r="AO28" s="62">
        <f t="shared" si="36"/>
        <v>231.36959598460686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2.8</v>
      </c>
      <c r="BC28" s="13">
        <f t="array" ref="BC28">INDEX(BB:BB,MIN(IF(ISNUMBER(BB28:BB224),ROW(BB28:BB224),"")))</f>
        <v>2.8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58.968000000000011</v>
      </c>
      <c r="BF28" s="14">
        <f t="shared" si="37"/>
        <v>16.907084152971134</v>
      </c>
      <c r="BG28" s="22">
        <f t="shared" si="7"/>
        <v>132.14910489975807</v>
      </c>
      <c r="BH28" s="62">
        <f t="shared" si="8"/>
        <v>419.3713271219803</v>
      </c>
      <c r="BI28" s="62">
        <f ca="1">AVERAGE(OFFSET($BH$3,0,0,'Données projet'!$E$11+1,1))-AVERAGE(OFFSET($H$3,0,0,'Données projet'!$E$11+1,1))</f>
        <v>348.82438445524105</v>
      </c>
      <c r="BJ28" s="62">
        <f t="shared" si="38"/>
        <v>218.26721063098552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17.600000000000001</v>
      </c>
      <c r="N29" s="14">
        <f>IF('Données projet'!$A$36&gt;35,N28+M29-V28,IF(A29&lt;'Données projet'!$A$36,$K$205^A29,IF(A29='Données projet'!$A$36,'Données projet'!$B$36,N28+M29-V28)))</f>
        <v>185.60000000000002</v>
      </c>
      <c r="O29" s="14">
        <f>N29*VLOOKUP('Données projet'!$B$9,Paramètres!$A$1:$I$89,3,0)*VLOOKUP('Données projet'!$B$9,Paramètres!$A$1:$I$89,5,0)</f>
        <v>110.98880000000003</v>
      </c>
      <c r="P29" s="14">
        <f t="shared" si="33"/>
        <v>29.56383208945169</v>
      </c>
      <c r="Q29" s="22">
        <f t="shared" si="2"/>
        <v>244.79583422246174</v>
      </c>
      <c r="R29" s="62">
        <f t="shared" si="0"/>
        <v>533.24027866690619</v>
      </c>
      <c r="S29" s="62">
        <f ca="1">AVERAGE(OFFSET($R$3,0,0,'Données projet'!$E$9+1,1))-AVERAGE(OFFSET($H$3,0,0,'Données projet'!$E$9+1,1))</f>
        <v>348.62416478262719</v>
      </c>
      <c r="T29" s="62">
        <f t="shared" si="34"/>
        <v>371.70674704563288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1.8898831678033126</v>
      </c>
      <c r="AA29" s="23">
        <f>EXP(-LN(2)/25)*AA28+(1-EXP(-LN(2)/25))/(LN(2)/25)*Calculateur!V29*Calculateur!X29*VLOOKUP('Données projet'!$B$9,Paramètres!$A$1:$I$89,3,0)*0.475*44/12</f>
        <v>4.9802367457314007</v>
      </c>
      <c r="AB29" s="23">
        <f>EXP(-LN(2)/2)*AB28+(1-EXP(-LN(2)/2))/(LN(2)/2)*V29*Y29*VLOOKUP('Données projet'!$B$9,Paramètres!$A$1:$I$89,3,0)*0.475*44/12</f>
        <v>9.4743380208448436</v>
      </c>
      <c r="AC29" s="24">
        <f t="shared" si="3"/>
        <v>16.344457934379555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62.431199999999997</v>
      </c>
      <c r="AK29" s="14">
        <f t="shared" si="35"/>
        <v>17.781524466058684</v>
      </c>
      <c r="AL29" s="22">
        <f t="shared" si="4"/>
        <v>139.70382844505221</v>
      </c>
      <c r="AM29" s="62">
        <f t="shared" si="5"/>
        <v>428.14827288949664</v>
      </c>
      <c r="AN29" s="62">
        <f ca="1">AVERAGE(OFFSET($AM$3,0,0,'Données projet'!$E$10+1,1))-AVERAGE(OFFSET($H$3,0,0,'Données projet'!$E$10+1,1))</f>
        <v>371.7282125501186</v>
      </c>
      <c r="AO29" s="62">
        <f t="shared" si="36"/>
        <v>231.36959598460686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projet'!$B$11,Paramètres!$A$1:$I$89,3,0)*VLOOKUP('Données projet'!$B$11,Paramètres!$A$1:$I$89,5,0)</f>
        <v>58.125600000000013</v>
      </c>
      <c r="BF29" s="14">
        <f t="shared" si="37"/>
        <v>16.693490054590175</v>
      </c>
      <c r="BG29" s="22">
        <f t="shared" si="7"/>
        <v>130.30991517841125</v>
      </c>
      <c r="BH29" s="62">
        <f t="shared" si="8"/>
        <v>418.7543596228557</v>
      </c>
      <c r="BI29" s="62">
        <f ca="1">AVERAGE(OFFSET($BH$3,0,0,'Données projet'!$E$11+1,1))-AVERAGE(OFFSET($H$3,0,0,'Données projet'!$E$11+1,1))</f>
        <v>348.82438445524105</v>
      </c>
      <c r="BJ29" s="62">
        <f t="shared" si="38"/>
        <v>218.26721063098552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17.600000000000001</v>
      </c>
      <c r="N30" s="14">
        <f>IF('Données projet'!$A$36&gt;35,N29+M30-V29,IF(A30&lt;'Données projet'!$A$36,$K$205^A30,IF(A30='Données projet'!$A$36,'Données projet'!$B$36,N29+M30-V29)))</f>
        <v>203.20000000000002</v>
      </c>
      <c r="O30" s="14">
        <f>N30*VLOOKUP('Données projet'!$B$9,Paramètres!$A$1:$I$89,3,0)*VLOOKUP('Données projet'!$B$9,Paramètres!$A$1:$I$89,5,0)</f>
        <v>121.51360000000001</v>
      </c>
      <c r="P30" s="14">
        <f t="shared" si="33"/>
        <v>32.027763694063836</v>
      </c>
      <c r="Q30" s="22">
        <f t="shared" si="2"/>
        <v>267.41787510049454</v>
      </c>
      <c r="R30" s="62">
        <f t="shared" si="0"/>
        <v>557.08454176716123</v>
      </c>
      <c r="S30" s="62">
        <f ca="1">AVERAGE(OFFSET($R$3,0,0,'Données projet'!$E$9+1,1))-AVERAGE(OFFSET($H$3,0,0,'Données projet'!$E$9+1,1))</f>
        <v>348.62416478262719</v>
      </c>
      <c r="T30" s="62">
        <f t="shared" si="34"/>
        <v>371.70674704563288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1.8528237115976007</v>
      </c>
      <c r="AA30" s="23">
        <f>EXP(-LN(2)/25)*AA29+(1-EXP(-LN(2)/25))/(LN(2)/25)*Calculateur!V30*Calculateur!X30*VLOOKUP('Données projet'!$B$9,Paramètres!$A$1:$I$89,3,0)*0.475*44/12</f>
        <v>4.8440519100201076</v>
      </c>
      <c r="AB30" s="23">
        <f>EXP(-LN(2)/2)*AB29+(1-EXP(-LN(2)/2))/(LN(2)/2)*V30*Y30*VLOOKUP('Données projet'!$B$9,Paramètres!$A$1:$I$89,3,0)*0.475*44/12</f>
        <v>6.6993686617929233</v>
      </c>
      <c r="AC30" s="24">
        <f t="shared" si="3"/>
        <v>13.396244283410631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68.764799999999994</v>
      </c>
      <c r="AK30" s="14">
        <f t="shared" si="35"/>
        <v>19.366396769521369</v>
      </c>
      <c r="AL30" s="22">
        <f t="shared" si="4"/>
        <v>153.49516770691636</v>
      </c>
      <c r="AM30" s="62">
        <f t="shared" si="5"/>
        <v>443.16183437358302</v>
      </c>
      <c r="AN30" s="62">
        <f ca="1">AVERAGE(OFFSET($AM$3,0,0,'Données projet'!$E$10+1,1))-AVERAGE(OFFSET($H$3,0,0,'Données projet'!$E$10+1,1))</f>
        <v>371.7282125501186</v>
      </c>
      <c r="AO30" s="62">
        <f t="shared" si="36"/>
        <v>231.36959598460686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projet'!$B$11,Paramètres!$A$1:$I$89,3,0)*VLOOKUP('Données projet'!$B$11,Paramètres!$A$1:$I$89,5,0)</f>
        <v>64.022400000000019</v>
      </c>
      <c r="BF30" s="14">
        <f t="shared" si="37"/>
        <v>18.181385543312242</v>
      </c>
      <c r="BG30" s="22">
        <f t="shared" si="7"/>
        <v>143.17159315460219</v>
      </c>
      <c r="BH30" s="62">
        <f t="shared" si="8"/>
        <v>432.83825982126888</v>
      </c>
      <c r="BI30" s="62">
        <f ca="1">AVERAGE(OFFSET($BH$3,0,0,'Données projet'!$E$11+1,1))-AVERAGE(OFFSET($H$3,0,0,'Données projet'!$E$11+1,1))</f>
        <v>348.82438445524105</v>
      </c>
      <c r="BJ30" s="62">
        <f t="shared" si="38"/>
        <v>218.26721063098552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17.600000000000001</v>
      </c>
      <c r="N31" s="14">
        <f>IF('Données projet'!$A$36&gt;35,N30+M31-V30,IF(A31&lt;'Données projet'!$A$36,$K$205^A31,IF(A31='Données projet'!$A$36,'Données projet'!$B$36,N30+M31-V30)))</f>
        <v>220.8</v>
      </c>
      <c r="O31" s="14">
        <f>N31*VLOOKUP('Données projet'!$B$9,Paramètres!$A$1:$I$89,3,0)*VLOOKUP('Données projet'!$B$9,Paramètres!$A$1:$I$89,5,0)</f>
        <v>132.03840000000002</v>
      </c>
      <c r="P31" s="14">
        <f t="shared" si="33"/>
        <v>34.466946374534373</v>
      </c>
      <c r="Q31" s="22">
        <f t="shared" si="2"/>
        <v>289.99681160231404</v>
      </c>
      <c r="R31" s="62">
        <f t="shared" si="0"/>
        <v>580.8857004912029</v>
      </c>
      <c r="S31" s="62">
        <f ca="1">AVERAGE(OFFSET($R$3,0,0,'Données projet'!$E$9+1,1))-AVERAGE(OFFSET($H$3,0,0,'Données projet'!$E$9+1,1))</f>
        <v>348.62416478262719</v>
      </c>
      <c r="T31" s="62">
        <f t="shared" si="34"/>
        <v>371.70674704563288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1.8164909687240467</v>
      </c>
      <c r="AA31" s="23">
        <f>EXP(-LN(2)/25)*AA30+(1-EXP(-LN(2)/25))/(LN(2)/25)*Calculateur!V31*Calculateur!X31*VLOOKUP('Données projet'!$B$9,Paramètres!$A$1:$I$89,3,0)*0.475*44/12</f>
        <v>4.7115910558029892</v>
      </c>
      <c r="AB31" s="23">
        <f>EXP(-LN(2)/2)*AB30+(1-EXP(-LN(2)/2))/(LN(2)/2)*V31*Y31*VLOOKUP('Données projet'!$B$9,Paramètres!$A$1:$I$89,3,0)*0.475*44/12</f>
        <v>4.7371690104224227</v>
      </c>
      <c r="AC31" s="24">
        <f t="shared" si="3"/>
        <v>11.265251034949458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75.098399999999998</v>
      </c>
      <c r="AK31" s="14">
        <f t="shared" si="35"/>
        <v>20.934343091450742</v>
      </c>
      <c r="AL31" s="22">
        <f t="shared" si="4"/>
        <v>167.25702755094335</v>
      </c>
      <c r="AM31" s="62">
        <f t="shared" si="5"/>
        <v>458.14591643983221</v>
      </c>
      <c r="AN31" s="62">
        <f ca="1">AVERAGE(OFFSET($AM$3,0,0,'Données projet'!$E$10+1,1))-AVERAGE(OFFSET($H$3,0,0,'Données projet'!$E$10+1,1))</f>
        <v>371.7282125501186</v>
      </c>
      <c r="AO31" s="62">
        <f t="shared" si="36"/>
        <v>231.36959598460686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projet'!$B$11,Paramètres!$A$1:$I$89,3,0)*VLOOKUP('Données projet'!$B$11,Paramètres!$A$1:$I$89,5,0)</f>
        <v>69.919200000000004</v>
      </c>
      <c r="BF31" s="14">
        <f t="shared" si="37"/>
        <v>19.653390735061731</v>
      </c>
      <c r="BG31" s="22">
        <f t="shared" si="7"/>
        <v>156.00559553023251</v>
      </c>
      <c r="BH31" s="62">
        <f t="shared" si="8"/>
        <v>446.89448441912134</v>
      </c>
      <c r="BI31" s="62">
        <f ca="1">AVERAGE(OFFSET($BH$3,0,0,'Données projet'!$E$11+1,1))-AVERAGE(OFFSET($H$3,0,0,'Données projet'!$E$11+1,1))</f>
        <v>348.82438445524105</v>
      </c>
      <c r="BJ31" s="62">
        <f t="shared" si="38"/>
        <v>218.26721063098552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17.600000000000001</v>
      </c>
      <c r="N32" s="14">
        <f>IF('Données projet'!$A$36&gt;35,N31+M32-V31,IF(A32&lt;'Données projet'!$A$36,$K$205^A32,IF(A32='Données projet'!$A$36,'Données projet'!$B$36,N31+M32-V31)))</f>
        <v>238.4</v>
      </c>
      <c r="O32" s="14">
        <f>N32*VLOOKUP('Données projet'!$B$9,Paramètres!$A$1:$I$89,3,0)*VLOOKUP('Données projet'!$B$9,Paramètres!$A$1:$I$89,5,0)</f>
        <v>142.56319999999999</v>
      </c>
      <c r="P32" s="14">
        <f t="shared" si="33"/>
        <v>36.883577154665602</v>
      </c>
      <c r="Q32" s="22">
        <f t="shared" si="2"/>
        <v>312.53647021104257</v>
      </c>
      <c r="R32" s="62">
        <f t="shared" si="0"/>
        <v>604.64758132215366</v>
      </c>
      <c r="S32" s="62">
        <f ca="1">AVERAGE(OFFSET($R$3,0,0,'Données projet'!$E$9+1,1))-AVERAGE(OFFSET($H$3,0,0,'Données projet'!$E$9+1,1))</f>
        <v>348.62416478262719</v>
      </c>
      <c r="T32" s="62">
        <f t="shared" si="34"/>
        <v>371.70674704563288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1.7808706887774581</v>
      </c>
      <c r="AA32" s="23">
        <f>EXP(-LN(2)/25)*AA31+(1-EXP(-LN(2)/25))/(LN(2)/25)*Calculateur!V32*Calculateur!X32*VLOOKUP('Données projet'!$B$9,Paramètres!$A$1:$I$89,3,0)*0.475*44/12</f>
        <v>4.5827523506102512</v>
      </c>
      <c r="AB32" s="23">
        <f>EXP(-LN(2)/2)*AB31+(1-EXP(-LN(2)/2))/(LN(2)/2)*V32*Y32*VLOOKUP('Données projet'!$B$9,Paramètres!$A$1:$I$89,3,0)*0.475*44/12</f>
        <v>3.3496843308964621</v>
      </c>
      <c r="AC32" s="24">
        <f t="shared" si="3"/>
        <v>9.7133073702841717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81.432000000000002</v>
      </c>
      <c r="AK32" s="14">
        <f t="shared" si="35"/>
        <v>22.486953220240881</v>
      </c>
      <c r="AL32" s="22">
        <f t="shared" si="4"/>
        <v>180.99217685858619</v>
      </c>
      <c r="AM32" s="62">
        <f t="shared" si="5"/>
        <v>473.10328796969736</v>
      </c>
      <c r="AN32" s="62">
        <f ca="1">AVERAGE(OFFSET($AM$3,0,0,'Données projet'!$E$10+1,1))-AVERAGE(OFFSET($H$3,0,0,'Données projet'!$E$10+1,1))</f>
        <v>371.7282125501186</v>
      </c>
      <c r="AO32" s="62">
        <f t="shared" si="36"/>
        <v>231.36959598460686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projet'!$B$11,Paramètres!$A$1:$I$89,3,0)*VLOOKUP('Données projet'!$B$11,Paramètres!$A$1:$I$89,5,0)</f>
        <v>75.816000000000003</v>
      </c>
      <c r="BF32" s="14">
        <f t="shared" si="37"/>
        <v>21.110998140607162</v>
      </c>
      <c r="BG32" s="22">
        <f t="shared" si="7"/>
        <v>168.81452176155747</v>
      </c>
      <c r="BH32" s="62">
        <f t="shared" si="8"/>
        <v>460.92563287266864</v>
      </c>
      <c r="BI32" s="62">
        <f ca="1">AVERAGE(OFFSET($BH$3,0,0,'Données projet'!$E$11+1,1))-AVERAGE(OFFSET($H$3,0,0,'Données projet'!$E$11+1,1))</f>
        <v>348.82438445524105</v>
      </c>
      <c r="BJ32" s="62">
        <f t="shared" si="38"/>
        <v>218.26721063098552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256</v>
      </c>
      <c r="L33" s="13">
        <f>VLOOKUP(A33,'Données projet'!$A$35:$I$55,9,0)</f>
        <v>17.600000000000001</v>
      </c>
      <c r="M33" s="13">
        <f t="array" ref="M33">INDEX(L:L,MIN(IF(ISNUMBER(L33:L229),ROW(L33:L229),"")))</f>
        <v>17.600000000000001</v>
      </c>
      <c r="N33" s="14">
        <f>IF('Données projet'!$A$36&gt;35,N32+M33-V32,IF(A33&lt;'Données projet'!$A$36,$K$205^A33,IF(A33='Données projet'!$A$36,'Données projet'!$B$36,N32+M33-V32)))</f>
        <v>256</v>
      </c>
      <c r="O33" s="14">
        <f>N33*VLOOKUP('Données projet'!$B$9,Paramètres!$A$1:$I$89,3,0)*VLOOKUP('Données projet'!$B$9,Paramètres!$A$1:$I$89,5,0)</f>
        <v>153.08800000000002</v>
      </c>
      <c r="P33" s="14">
        <f t="shared" si="33"/>
        <v>39.27951026543515</v>
      </c>
      <c r="Q33" s="22">
        <f t="shared" si="2"/>
        <v>335.04008037896625</v>
      </c>
      <c r="R33" s="62">
        <f t="shared" si="0"/>
        <v>628.37341371229957</v>
      </c>
      <c r="S33" s="62">
        <f ca="1">AVERAGE(OFFSET($R$3,0,0,'Données projet'!$E$9+1,1))-AVERAGE(OFFSET($H$3,0,0,'Données projet'!$E$9+1,1))</f>
        <v>348.62416478262719</v>
      </c>
      <c r="T33" s="62">
        <f t="shared" si="34"/>
        <v>371.70674704563288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projet'!$B$9,Paramètres!$A$1:$I$89,7,0))</f>
        <v>9.0000000000000011E-2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5.6013166463492237</v>
      </c>
      <c r="AA33" s="23">
        <f>EXP(-LN(2)/25)*AA32+(1-EXP(-LN(2)/25))/(LN(2)/25)*Calculateur!V33*Calculateur!X33*VLOOKUP('Données projet'!$B$9,Paramètres!$A$1:$I$89,3,0)*0.475*44/12</f>
        <v>12.137812134046939</v>
      </c>
      <c r="AB33" s="23">
        <f>EXP(-LN(2)/2)*AB32+(1-EXP(-LN(2)/2))/(LN(2)/2)*V33*Y33*VLOOKUP('Données projet'!$B$9,Paramètres!$A$1:$I$89,3,0)*0.475*44/12</f>
        <v>16.993402645901067</v>
      </c>
      <c r="AC33" s="24">
        <f t="shared" si="3"/>
        <v>34.732531426297228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87.765600000000006</v>
      </c>
      <c r="AK33" s="14">
        <f t="shared" si="35"/>
        <v>24.025555589247954</v>
      </c>
      <c r="AL33" s="22">
        <f t="shared" si="4"/>
        <v>194.7029293179402</v>
      </c>
      <c r="AM33" s="62">
        <f t="shared" si="5"/>
        <v>488.03626265127355</v>
      </c>
      <c r="AN33" s="62">
        <f ca="1">AVERAGE(OFFSET($AM$3,0,0,'Données projet'!$E$10+1,1))-AVERAGE(OFFSET($H$3,0,0,'Données projet'!$E$10+1,1))</f>
        <v>371.7282125501186</v>
      </c>
      <c r="AO33" s="62">
        <f t="shared" si="36"/>
        <v>231.36959598460686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0.129</v>
      </c>
      <c r="AT33" s="17">
        <f>IF(ISNA(VLOOKUP(A33,'Données projet'!$A$61:$I$81,7,0)),0%,VLOOKUP(A33,'Données projet'!$A$61:$I$81,7,0))</f>
        <v>0.7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2.6989531705774374</v>
      </c>
      <c r="AW33" s="23">
        <f>EXP(-LN(2)/2)*AW32+(1-EXP(-LN(2)/2))/(LN(2)/2)*AQ33*AT33*VLOOKUP('Données projet'!$B$10,Paramètres!$A$1:$I$89,3,0)*0.475*44/12</f>
        <v>12.54943633932384</v>
      </c>
      <c r="AX33" s="23">
        <f t="shared" si="6"/>
        <v>15.248389509901278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projet'!$B$11,Paramètres!$A$1:$I$89,3,0)*VLOOKUP('Données projet'!$B$11,Paramètres!$A$1:$I$89,5,0)</f>
        <v>81.712800000000001</v>
      </c>
      <c r="BF33" s="14">
        <f t="shared" si="37"/>
        <v>22.55545490774292</v>
      </c>
      <c r="BG33" s="22">
        <f t="shared" si="7"/>
        <v>181.60054396431892</v>
      </c>
      <c r="BH33" s="62">
        <f t="shared" si="8"/>
        <v>474.9338772976522</v>
      </c>
      <c r="BI33" s="62">
        <f ca="1">AVERAGE(OFFSET($BH$3,0,0,'Données projet'!$E$11+1,1))-AVERAGE(OFFSET($H$3,0,0,'Données projet'!$E$11+1,1))</f>
        <v>348.82438445524105</v>
      </c>
      <c r="BJ33" s="62">
        <f t="shared" si="38"/>
        <v>218.26721063098552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0.129</v>
      </c>
      <c r="BO33" s="17">
        <f>IF(ISNA(VLOOKUP(A33,'Données projet'!$A$87:$I$107,7,0)),0%,VLOOKUP(A33,'Données projet'!$A$87:$I$107,7,0))</f>
        <v>0.7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2.512818469158304</v>
      </c>
      <c r="BR33" s="23">
        <f>EXP(-LN(2)/2)*BR32+(1-EXP(-LN(2)/2))/(LN(2)/2)*BL33*BO33*VLOOKUP('Données projet'!$B$11,Paramètres!$A$1:$I$89,3,0)*0.475*44/12</f>
        <v>11.683957971094612</v>
      </c>
      <c r="BS33" s="24">
        <f t="shared" si="9"/>
        <v>14.196776440252917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18.8</v>
      </c>
      <c r="N34" s="14">
        <f>IF('Données projet'!$A$36&gt;35,N33+M34-V33,IF(A34&lt;'Données projet'!$A$36,$K$205^A34,IF(A34='Données projet'!$A$36,'Données projet'!$B$36,N33+M34-V33)))</f>
        <v>220.8</v>
      </c>
      <c r="O34" s="14">
        <f>N34*VLOOKUP('Données projet'!$B$9,Paramètres!$A$1:$I$89,3,0)*VLOOKUP('Données projet'!$B$9,Paramètres!$A$1:$I$89,5,0)</f>
        <v>132.03840000000002</v>
      </c>
      <c r="P34" s="14">
        <f t="shared" si="33"/>
        <v>34.466946374534373</v>
      </c>
      <c r="Q34" s="22">
        <f t="shared" si="2"/>
        <v>289.99681160231404</v>
      </c>
      <c r="R34" s="62">
        <f t="shared" si="0"/>
        <v>583.33014493564735</v>
      </c>
      <c r="S34" s="62">
        <f ca="1">AVERAGE(OFFSET($R$3,0,0,'Données projet'!$E$9+1,1))-AVERAGE(OFFSET($H$3,0,0,'Données projet'!$E$9+1,1))</f>
        <v>348.62416478262719</v>
      </c>
      <c r="T34" s="62">
        <f t="shared" si="34"/>
        <v>371.70674704563288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5.4914782433801212</v>
      </c>
      <c r="AA34" s="23">
        <f>EXP(-LN(2)/25)*AA33+(1-EXP(-LN(2)/25))/(LN(2)/25)*Calculateur!V34*Calculateur!X34*VLOOKUP('Données projet'!$B$9,Paramètres!$A$1:$I$89,3,0)*0.475*44/12</f>
        <v>11.805903022941626</v>
      </c>
      <c r="AB34" s="23">
        <f>EXP(-LN(2)/2)*AB33+(1-EXP(-LN(2)/2))/(LN(2)/2)*V34*Y34*VLOOKUP('Données projet'!$B$9,Paramètres!$A$1:$I$89,3,0)*0.475*44/12</f>
        <v>12.016150246350065</v>
      </c>
      <c r="AC34" s="24">
        <f t="shared" si="3"/>
        <v>29.313531512671812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2">
        <f t="shared" si="5"/>
        <v>462.55410206940076</v>
      </c>
      <c r="AN34" s="62">
        <f ca="1">AVERAGE(OFFSET($AM$3,0,0,'Données projet'!$E$10+1,1))-AVERAGE(OFFSET($H$3,0,0,'Données projet'!$E$10+1,1))</f>
        <v>371.7282125501186</v>
      </c>
      <c r="AO34" s="62">
        <f t="shared" si="36"/>
        <v>231.36959598460686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2.6251501541962186</v>
      </c>
      <c r="AW34" s="23">
        <f>EXP(-LN(2)/2)*AW33+(1-EXP(-LN(2)/2))/(LN(2)/2)*AQ34*AT34*VLOOKUP('Données projet'!$B$10,Paramètres!$A$1:$I$89,3,0)*0.475*44/12</f>
        <v>8.8737915356047719</v>
      </c>
      <c r="AX34" s="23">
        <f t="shared" si="6"/>
        <v>11.49894168980099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70.761600000000001</v>
      </c>
      <c r="BF34" s="14">
        <f t="shared" si="37"/>
        <v>19.862470414169767</v>
      </c>
      <c r="BG34" s="22">
        <f t="shared" si="7"/>
        <v>157.83692263801234</v>
      </c>
      <c r="BH34" s="62">
        <f t="shared" si="8"/>
        <v>451.17025597134568</v>
      </c>
      <c r="BI34" s="62">
        <f ca="1">AVERAGE(OFFSET($BH$3,0,0,'Données projet'!$E$11+1,1))-AVERAGE(OFFSET($H$3,0,0,'Données projet'!$E$11+1,1))</f>
        <v>348.82438445524105</v>
      </c>
      <c r="BJ34" s="62">
        <f t="shared" si="38"/>
        <v>218.26721063098552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2.4441053159757899</v>
      </c>
      <c r="BR34" s="23">
        <f>EXP(-LN(2)/2)*BR33+(1-EXP(-LN(2)/2))/(LN(2)/2)*BL34*BO34*VLOOKUP('Données projet'!$B$11,Paramètres!$A$1:$I$89,3,0)*0.475*44/12</f>
        <v>8.2618059124596162</v>
      </c>
      <c r="BS34" s="24">
        <f t="shared" si="9"/>
        <v>10.705911228435406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18.8</v>
      </c>
      <c r="N35" s="14">
        <f>IF('Données projet'!$A$36&gt;35,N34+M35-V34,IF(A35&lt;'Données projet'!$A$36,$K$205^A35,IF(A35='Données projet'!$A$36,'Données projet'!$B$36,N34+M35-V34)))</f>
        <v>239.60000000000002</v>
      </c>
      <c r="O35" s="14">
        <f>N35*VLOOKUP('Données projet'!$B$9,Paramètres!$A$1:$I$89,3,0)*VLOOKUP('Données projet'!$B$9,Paramètres!$A$1:$I$89,5,0)</f>
        <v>143.28080000000003</v>
      </c>
      <c r="P35" s="14">
        <f t="shared" si="33"/>
        <v>37.047574465948976</v>
      </c>
      <c r="Q35" s="22">
        <f t="shared" ref="Q35:Q66" si="53">(O35+P35)*0.475*44/12</f>
        <v>314.07191886152782</v>
      </c>
      <c r="R35" s="62">
        <f t="shared" si="0"/>
        <v>607.40525219486108</v>
      </c>
      <c r="S35" s="62">
        <f ca="1">AVERAGE(OFFSET($R$3,0,0,'Données projet'!$E$9+1,1))-AVERAGE(OFFSET($H$3,0,0,'Données projet'!$E$9+1,1))</f>
        <v>348.62416478262719</v>
      </c>
      <c r="T35" s="62">
        <f t="shared" si="34"/>
        <v>371.70674704563288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5.3837937044984328</v>
      </c>
      <c r="AA35" s="23">
        <f>EXP(-LN(2)/25)*AA34+(1-EXP(-LN(2)/25))/(LN(2)/25)*Calculateur!V35*Calculateur!X35*VLOOKUP('Données projet'!$B$9,Paramètres!$A$1:$I$89,3,0)*0.475*44/12</f>
        <v>11.483069983933831</v>
      </c>
      <c r="AB35" s="23">
        <f>EXP(-LN(2)/2)*AB34+(1-EXP(-LN(2)/2))/(LN(2)/2)*V35*Y35*VLOOKUP('Données projet'!$B$9,Paramètres!$A$1:$I$89,3,0)*0.475*44/12</f>
        <v>8.4967013229505355</v>
      </c>
      <c r="AC35" s="24">
        <f t="shared" si="3"/>
        <v>25.3635650113828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2">
        <f t="shared" si="5"/>
        <v>478.24526587136597</v>
      </c>
      <c r="AN35" s="62">
        <f ca="1">AVERAGE(OFFSET($AM$3,0,0,'Données projet'!$E$10+1,1))-AVERAGE(OFFSET($H$3,0,0,'Données projet'!$E$10+1,1))</f>
        <v>371.7282125501186</v>
      </c>
      <c r="AO35" s="62">
        <f t="shared" si="36"/>
        <v>231.36959598460686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2.5533652851790762</v>
      </c>
      <c r="AW35" s="23">
        <f>EXP(-LN(2)/2)*AW34+(1-EXP(-LN(2)/2))/(LN(2)/2)*AQ35*AT35*VLOOKUP('Données projet'!$B$10,Paramètres!$A$1:$I$89,3,0)*0.475*44/12</f>
        <v>6.274718169661921</v>
      </c>
      <c r="AX35" s="23">
        <f t="shared" si="6"/>
        <v>8.8280834548409963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77.500800000000012</v>
      </c>
      <c r="BF35" s="14">
        <f t="shared" si="37"/>
        <v>21.524992579009275</v>
      </c>
      <c r="BG35" s="22">
        <f t="shared" si="7"/>
        <v>172.46992207510786</v>
      </c>
      <c r="BH35" s="62">
        <f t="shared" si="8"/>
        <v>465.80325540844115</v>
      </c>
      <c r="BI35" s="62">
        <f ca="1">AVERAGE(OFFSET($BH$3,0,0,'Données projet'!$E$11+1,1))-AVERAGE(OFFSET($H$3,0,0,'Données projet'!$E$11+1,1))</f>
        <v>348.82438445524105</v>
      </c>
      <c r="BJ35" s="62">
        <f t="shared" si="38"/>
        <v>218.26721063098552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2.3772711275805194</v>
      </c>
      <c r="BR35" s="23">
        <f>EXP(-LN(2)/2)*BR34+(1-EXP(-LN(2)/2))/(LN(2)/2)*BL35*BO35*VLOOKUP('Données projet'!$B$11,Paramètres!$A$1:$I$89,3,0)*0.475*44/12</f>
        <v>5.841978985547307</v>
      </c>
      <c r="BS35" s="24">
        <f t="shared" si="9"/>
        <v>8.2192501131278259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18.8</v>
      </c>
      <c r="N36" s="14">
        <f>IF('Données projet'!$A$36&gt;35,N35+M36-V35,IF(A36&lt;'Données projet'!$A$36,$K$205^A36,IF(A36='Données projet'!$A$36,'Données projet'!$B$36,N35+M36-V35)))</f>
        <v>258.40000000000003</v>
      </c>
      <c r="O36" s="14">
        <f>N36*VLOOKUP('Données projet'!$B$9,Paramètres!$A$1:$I$89,3,0)*VLOOKUP('Données projet'!$B$9,Paramètres!$A$1:$I$89,5,0)</f>
        <v>154.52320000000003</v>
      </c>
      <c r="P36" s="14">
        <f t="shared" si="33"/>
        <v>39.60471498856284</v>
      </c>
      <c r="Q36" s="22">
        <f t="shared" si="53"/>
        <v>338.10611860508033</v>
      </c>
      <c r="R36" s="62">
        <f t="shared" si="0"/>
        <v>631.43945193841364</v>
      </c>
      <c r="S36" s="62">
        <f ca="1">AVERAGE(OFFSET($R$3,0,0,'Données projet'!$E$9+1,1))-AVERAGE(OFFSET($H$3,0,0,'Données projet'!$E$9+1,1))</f>
        <v>348.62416478262719</v>
      </c>
      <c r="T36" s="62">
        <f t="shared" si="34"/>
        <v>371.70674704563288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5.2782207937431309</v>
      </c>
      <c r="AA36" s="23">
        <f>EXP(-LN(2)/25)*AA35+(1-EXP(-LN(2)/25))/(LN(2)/25)*Calculateur!V36*Calculateur!X36*VLOOKUP('Données projet'!$B$9,Paramètres!$A$1:$I$89,3,0)*0.475*44/12</f>
        <v>11.169064831354754</v>
      </c>
      <c r="AB36" s="23">
        <f>EXP(-LN(2)/2)*AB35+(1-EXP(-LN(2)/2))/(LN(2)/2)*V36*Y36*VLOOKUP('Données projet'!$B$9,Paramètres!$A$1:$I$89,3,0)*0.475*44/12</f>
        <v>6.0080751231750336</v>
      </c>
      <c r="AC36" s="24">
        <f t="shared" si="3"/>
        <v>22.455360748272916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2">
        <f t="shared" si="5"/>
        <v>493.9053274736159</v>
      </c>
      <c r="AN36" s="62">
        <f ca="1">AVERAGE(OFFSET($AM$3,0,0,'Données projet'!$E$10+1,1))-AVERAGE(OFFSET($H$3,0,0,'Données projet'!$E$10+1,1))</f>
        <v>371.7282125501186</v>
      </c>
      <c r="AO36" s="62">
        <f t="shared" si="36"/>
        <v>231.36959598460686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2.4835433771802098</v>
      </c>
      <c r="AW36" s="23">
        <f>EXP(-LN(2)/2)*AW35+(1-EXP(-LN(2)/2))/(LN(2)/2)*AQ36*AT36*VLOOKUP('Données projet'!$B$10,Paramètres!$A$1:$I$89,3,0)*0.475*44/12</f>
        <v>4.4368957678023859</v>
      </c>
      <c r="AX36" s="23">
        <f t="shared" si="6"/>
        <v>6.9204391449825957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84.240000000000009</v>
      </c>
      <c r="BF36" s="14">
        <f t="shared" si="37"/>
        <v>23.170749718409468</v>
      </c>
      <c r="BG36" s="22">
        <f t="shared" si="7"/>
        <v>187.07372242622981</v>
      </c>
      <c r="BH36" s="62">
        <f t="shared" si="8"/>
        <v>480.40705575956315</v>
      </c>
      <c r="BI36" s="62">
        <f ca="1">AVERAGE(OFFSET($BH$3,0,0,'Données projet'!$E$11+1,1))-AVERAGE(OFFSET($H$3,0,0,'Données projet'!$E$11+1,1))</f>
        <v>348.82438445524105</v>
      </c>
      <c r="BJ36" s="62">
        <f t="shared" si="38"/>
        <v>218.26721063098552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2.3122645235815749</v>
      </c>
      <c r="BR36" s="23">
        <f>EXP(-LN(2)/2)*BR35+(1-EXP(-LN(2)/2))/(LN(2)/2)*BL36*BO36*VLOOKUP('Données projet'!$B$11,Paramètres!$A$1:$I$89,3,0)*0.475*44/12</f>
        <v>4.130902956229809</v>
      </c>
      <c r="BS36" s="24">
        <f t="shared" si="9"/>
        <v>6.4431674798113843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18.8</v>
      </c>
      <c r="N37" s="14">
        <f>IF('Données projet'!$A$36&gt;35,N36+M37-V36,IF(A37&lt;'Données projet'!$A$36,$K$205^A37,IF(A37='Données projet'!$A$36,'Données projet'!$B$36,N36+M37-V36)))</f>
        <v>277.20000000000005</v>
      </c>
      <c r="O37" s="14">
        <f>N37*VLOOKUP('Données projet'!$B$9,Paramètres!$A$1:$I$89,3,0)*VLOOKUP('Données projet'!$B$9,Paramètres!$A$1:$I$89,5,0)</f>
        <v>165.76560000000003</v>
      </c>
      <c r="P37" s="14">
        <f t="shared" si="33"/>
        <v>42.140271125684265</v>
      </c>
      <c r="Q37" s="22">
        <f t="shared" si="53"/>
        <v>362.10272554390014</v>
      </c>
      <c r="R37" s="62">
        <f t="shared" si="0"/>
        <v>655.43605887723345</v>
      </c>
      <c r="S37" s="62">
        <f ca="1">AVERAGE(OFFSET($R$3,0,0,'Données projet'!$E$9+1,1))-AVERAGE(OFFSET($H$3,0,0,'Données projet'!$E$9+1,1))</f>
        <v>348.62416478262719</v>
      </c>
      <c r="T37" s="62">
        <f t="shared" si="34"/>
        <v>371.70674704563288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5.174718103374623</v>
      </c>
      <c r="AA37" s="23">
        <f>EXP(-LN(2)/25)*AA36+(1-EXP(-LN(2)/25))/(LN(2)/25)*Calculateur!V37*Calculateur!X37*VLOOKUP('Données projet'!$B$9,Paramètres!$A$1:$I$89,3,0)*0.475*44/12</f>
        <v>10.863646166185767</v>
      </c>
      <c r="AB37" s="23">
        <f>EXP(-LN(2)/2)*AB36+(1-EXP(-LN(2)/2))/(LN(2)/2)*V37*Y37*VLOOKUP('Données projet'!$B$9,Paramètres!$A$1:$I$89,3,0)*0.475*44/12</f>
        <v>4.2483506614752686</v>
      </c>
      <c r="AC37" s="24">
        <f t="shared" si="3"/>
        <v>20.286714931035657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2">
        <f t="shared" si="5"/>
        <v>509.537057935093</v>
      </c>
      <c r="AN37" s="62">
        <f ca="1">AVERAGE(OFFSET($AM$3,0,0,'Données projet'!$E$10+1,1))-AVERAGE(OFFSET($H$3,0,0,'Données projet'!$E$10+1,1))</f>
        <v>371.7282125501186</v>
      </c>
      <c r="AO37" s="62">
        <f t="shared" si="36"/>
        <v>231.36959598460686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2.4156307529273469</v>
      </c>
      <c r="AW37" s="23">
        <f>EXP(-LN(2)/2)*AW36+(1-EXP(-LN(2)/2))/(LN(2)/2)*AQ37*AT37*VLOOKUP('Données projet'!$B$10,Paramètres!$A$1:$I$89,3,0)*0.475*44/12</f>
        <v>3.1373590848309605</v>
      </c>
      <c r="AX37" s="23">
        <f t="shared" si="6"/>
        <v>5.5529898377583073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90.97920000000002</v>
      </c>
      <c r="BF37" s="14">
        <f t="shared" si="37"/>
        <v>24.801235516871511</v>
      </c>
      <c r="BG37" s="22">
        <f t="shared" si="7"/>
        <v>201.65092519188457</v>
      </c>
      <c r="BH37" s="62">
        <f t="shared" si="8"/>
        <v>494.98425852521791</v>
      </c>
      <c r="BI37" s="62">
        <f ca="1">AVERAGE(OFFSET($BH$3,0,0,'Données projet'!$E$11+1,1))-AVERAGE(OFFSET($H$3,0,0,'Données projet'!$E$11+1,1))</f>
        <v>348.82438445524105</v>
      </c>
      <c r="BJ37" s="62">
        <f t="shared" si="38"/>
        <v>218.26721063098552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2.2490355285875303</v>
      </c>
      <c r="BR37" s="23">
        <f>EXP(-LN(2)/2)*BR36+(1-EXP(-LN(2)/2))/(LN(2)/2)*BL37*BO37*VLOOKUP('Données projet'!$B$11,Paramètres!$A$1:$I$89,3,0)*0.475*44/12</f>
        <v>2.9209894927736539</v>
      </c>
      <c r="BS37" s="24">
        <f t="shared" si="9"/>
        <v>5.1700250213611838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296</v>
      </c>
      <c r="L38" s="13">
        <f>VLOOKUP(A38,'Données projet'!$A$35:$I$55,9,0)</f>
        <v>18.8</v>
      </c>
      <c r="M38" s="13">
        <f t="array" ref="M38">INDEX(L:L,MIN(IF(ISNUMBER(L38:L234),ROW(L38:L234),"")))</f>
        <v>18.8</v>
      </c>
      <c r="N38" s="14">
        <f>IF('Données projet'!$A$36&gt;35,N37+M38-V37,IF(A38&lt;'Données projet'!$A$36,$K$205^A38,IF(A38='Données projet'!$A$36,'Données projet'!$B$36,N37+M38-V37)))</f>
        <v>296.00000000000006</v>
      </c>
      <c r="O38" s="14">
        <f>N38*VLOOKUP('Données projet'!$B$9,Paramètres!$A$1:$I$89,3,0)*VLOOKUP('Données projet'!$B$9,Paramètres!$A$1:$I$89,5,0)</f>
        <v>177.00800000000004</v>
      </c>
      <c r="P38" s="14">
        <f t="shared" si="33"/>
        <v>44.65587329900309</v>
      </c>
      <c r="Q38" s="22">
        <f t="shared" si="53"/>
        <v>386.06457932909711</v>
      </c>
      <c r="R38" s="62">
        <f t="shared" si="0"/>
        <v>679.39791266243037</v>
      </c>
      <c r="S38" s="62">
        <f ca="1">AVERAGE(OFFSET($R$3,0,0,'Données projet'!$E$9+1,1))-AVERAGE(OFFSET($H$3,0,0,'Données projet'!$E$9+1,1))</f>
        <v>348.62416478262719</v>
      </c>
      <c r="T38" s="62">
        <f t="shared" si="34"/>
        <v>371.70674704563288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52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5.0732450376338347</v>
      </c>
      <c r="AA38" s="23">
        <f>EXP(-LN(2)/25)*AA37+(1-EXP(-LN(2)/25))/(LN(2)/25)*Calculateur!V38*Calculateur!X38*VLOOKUP('Données projet'!$B$9,Paramètres!$A$1:$I$89,3,0)*0.475*44/12</f>
        <v>10.566579190477094</v>
      </c>
      <c r="AB38" s="23">
        <f>EXP(-LN(2)/2)*AB37+(1-EXP(-LN(2)/2))/(LN(2)/2)*V38*Y38*VLOOKUP('Données projet'!$B$9,Paramètres!$A$1:$I$89,3,0)*0.475*44/12</f>
        <v>3.0040375615875172</v>
      </c>
      <c r="AC38" s="24">
        <f t="shared" si="3"/>
        <v>18.643861789698445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525.14279449916307</v>
      </c>
      <c r="AN38" s="62">
        <f ca="1">AVERAGE(OFFSET($AM$3,0,0,'Données projet'!$E$10+1,1))-AVERAGE(OFFSET($H$3,0,0,'Données projet'!$E$10+1,1))</f>
        <v>371.7282125501186</v>
      </c>
      <c r="AO38" s="62">
        <f t="shared" si="36"/>
        <v>231.36959598460686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2.3495752029560482</v>
      </c>
      <c r="AW38" s="23">
        <f>EXP(-LN(2)/2)*AW37+(1-EXP(-LN(2)/2))/(LN(2)/2)*AQ38*AT38*VLOOKUP('Données projet'!$B$10,Paramètres!$A$1:$I$89,3,0)*0.475*44/12</f>
        <v>2.218447883901193</v>
      </c>
      <c r="AX38" s="23">
        <f t="shared" si="6"/>
        <v>4.5680230868572416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97.718400000000003</v>
      </c>
      <c r="BF38" s="14">
        <f t="shared" si="37"/>
        <v>26.417709819192194</v>
      </c>
      <c r="BG38" s="22">
        <f t="shared" si="7"/>
        <v>216.20372460175975</v>
      </c>
      <c r="BH38" s="62">
        <f t="shared" si="8"/>
        <v>509.53705793509306</v>
      </c>
      <c r="BI38" s="62">
        <f ca="1">AVERAGE(OFFSET($BH$3,0,0,'Données projet'!$E$11+1,1))-AVERAGE(OFFSET($H$3,0,0,'Données projet'!$E$11+1,1))</f>
        <v>348.82438445524105</v>
      </c>
      <c r="BJ38" s="62">
        <f t="shared" si="38"/>
        <v>218.26721063098552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2.187535533786666</v>
      </c>
      <c r="BR38" s="23">
        <f>EXP(-LN(2)/2)*BR37+(1-EXP(-LN(2)/2))/(LN(2)/2)*BL38*BO38*VLOOKUP('Données projet'!$B$11,Paramètres!$A$1:$I$89,3,0)*0.475*44/12</f>
        <v>2.0654514781149045</v>
      </c>
      <c r="BS38" s="24">
        <f t="shared" si="9"/>
        <v>4.2529870119015705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17.600000000000001</v>
      </c>
      <c r="N39" s="14">
        <f>IF('Données projet'!$A$36&gt;35,N38+M39-V38,IF(A39&lt;'Données projet'!$A$36,$K$205^A39,IF(A39='Données projet'!$A$36,'Données projet'!$B$36,N38+M39-V38)))</f>
        <v>261.60000000000008</v>
      </c>
      <c r="O39" s="14">
        <f>N39*VLOOKUP('Données projet'!$B$9,Paramètres!$A$1:$I$89,3,0)*VLOOKUP('Données projet'!$B$9,Paramètres!$A$1:$I$89,5,0)</f>
        <v>156.43680000000006</v>
      </c>
      <c r="P39" s="14">
        <f t="shared" si="33"/>
        <v>40.037775291207829</v>
      </c>
      <c r="Q39" s="22">
        <f t="shared" si="53"/>
        <v>342.1932186321871</v>
      </c>
      <c r="R39" s="62">
        <f t="shared" si="0"/>
        <v>635.52655196552041</v>
      </c>
      <c r="S39" s="62">
        <f ca="1">AVERAGE(OFFSET($R$3,0,0,'Données projet'!$E$9+1,1))-AVERAGE(OFFSET($H$3,0,0,'Données projet'!$E$9+1,1))</f>
        <v>348.62416478262719</v>
      </c>
      <c r="T39" s="62">
        <f t="shared" si="34"/>
        <v>371.70674704563288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4.9737617968197645</v>
      </c>
      <c r="AA39" s="23">
        <f>EXP(-LN(2)/25)*AA38+(1-EXP(-LN(2)/25))/(LN(2)/25)*Calculateur!V39*Calculateur!X39*VLOOKUP('Données projet'!$B$9,Paramètres!$A$1:$I$89,3,0)*0.475*44/12</f>
        <v>10.27763552684125</v>
      </c>
      <c r="AB39" s="23">
        <f>EXP(-LN(2)/2)*AB38+(1-EXP(-LN(2)/2))/(LN(2)/2)*V39*Y39*VLOOKUP('Données projet'!$B$9,Paramètres!$A$1:$I$89,3,0)*0.475*44/12</f>
        <v>2.1241753307376343</v>
      </c>
      <c r="AC39" s="24">
        <f t="shared" si="3"/>
        <v>17.375572654398649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500.55213023987449</v>
      </c>
      <c r="AN39" s="62">
        <f ca="1">AVERAGE(OFFSET($AM$3,0,0,'Données projet'!$E$10+1,1))-AVERAGE(OFFSET($H$3,0,0,'Données projet'!$E$10+1,1))</f>
        <v>371.7282125501186</v>
      </c>
      <c r="AO39" s="62">
        <f t="shared" si="36"/>
        <v>231.36959598460686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2.2853259454724251</v>
      </c>
      <c r="AW39" s="23">
        <f>EXP(-LN(2)/2)*AW38+(1-EXP(-LN(2)/2))/(LN(2)/2)*AQ39*AT39*VLOOKUP('Données projet'!$B$10,Paramètres!$A$1:$I$89,3,0)*0.475*44/12</f>
        <v>1.5686795424154802</v>
      </c>
      <c r="AX39" s="23">
        <f t="shared" si="6"/>
        <v>3.8540054878879051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103.4</v>
      </c>
      <c r="BE39" s="14">
        <f>BD39*VLOOKUP('Données projet'!$B$11,Paramètres!$A$1:$I$89,3,0)*VLOOKUP('Données projet'!$B$11,Paramètres!$A$1:$I$89,5,0)</f>
        <v>87.104160000000007</v>
      </c>
      <c r="BF39" s="14">
        <f t="shared" si="37"/>
        <v>23.865494318543401</v>
      </c>
      <c r="BG39" s="22">
        <f t="shared" si="7"/>
        <v>193.27214793812973</v>
      </c>
      <c r="BH39" s="62">
        <f t="shared" si="8"/>
        <v>486.60548127146308</v>
      </c>
      <c r="BI39" s="62">
        <f ca="1">AVERAGE(OFFSET($BH$3,0,0,'Données projet'!$E$11+1,1))-AVERAGE(OFFSET($H$3,0,0,'Données projet'!$E$11+1,1))</f>
        <v>348.82438445524105</v>
      </c>
      <c r="BJ39" s="62">
        <f t="shared" si="38"/>
        <v>218.26721063098552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2.1277172595777754</v>
      </c>
      <c r="BR39" s="23">
        <f>EXP(-LN(2)/2)*BR38+(1-EXP(-LN(2)/2))/(LN(2)/2)*BL39*BO39*VLOOKUP('Données projet'!$B$11,Paramètres!$A$1:$I$89,3,0)*0.475*44/12</f>
        <v>1.460494746386827</v>
      </c>
      <c r="BS39" s="24">
        <f t="shared" si="9"/>
        <v>3.5882120059646025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17.600000000000001</v>
      </c>
      <c r="N40" s="14">
        <f>IF('Données projet'!$A$36&gt;35,N39+M40-V39,IF(A40&lt;'Données projet'!$A$36,$K$205^A40,IF(A40='Données projet'!$A$36,'Données projet'!$B$36,N39+M40-V39)))</f>
        <v>279.2000000000001</v>
      </c>
      <c r="O40" s="14">
        <f>N40*VLOOKUP('Données projet'!$B$9,Paramètres!$A$1:$I$89,3,0)*VLOOKUP('Données projet'!$B$9,Paramètres!$A$1:$I$89,5,0)</f>
        <v>166.96160000000006</v>
      </c>
      <c r="P40" s="14">
        <f t="shared" si="33"/>
        <v>42.408810446399933</v>
      </c>
      <c r="Q40" s="22">
        <f t="shared" si="53"/>
        <v>364.6534648608133</v>
      </c>
      <c r="R40" s="62">
        <f t="shared" si="0"/>
        <v>657.98679819414656</v>
      </c>
      <c r="S40" s="62">
        <f ca="1">AVERAGE(OFFSET($R$3,0,0,'Données projet'!$E$9+1,1))-AVERAGE(OFFSET($H$3,0,0,'Données projet'!$E$9+1,1))</f>
        <v>348.62416478262719</v>
      </c>
      <c r="T40" s="62">
        <f t="shared" si="34"/>
        <v>371.70674704563288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4.8762293616792727</v>
      </c>
      <c r="AA40" s="23">
        <f>EXP(-LN(2)/25)*AA39+(1-EXP(-LN(2)/25))/(LN(2)/25)*Calculateur!V40*Calculateur!X40*VLOOKUP('Données projet'!$B$9,Paramètres!$A$1:$I$89,3,0)*0.475*44/12</f>
        <v>9.996593042882413</v>
      </c>
      <c r="AB40" s="23">
        <f>EXP(-LN(2)/2)*AB39+(1-EXP(-LN(2)/2))/(LN(2)/2)*V40*Y40*VLOOKUP('Données projet'!$B$9,Paramètres!$A$1:$I$89,3,0)*0.475*44/12</f>
        <v>1.5020187807937586</v>
      </c>
      <c r="AC40" s="24">
        <f t="shared" si="3"/>
        <v>16.374841185355443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101.15664000000001</v>
      </c>
      <c r="AK40" s="14">
        <f t="shared" si="35"/>
        <v>27.237366379381644</v>
      </c>
      <c r="AL40" s="22">
        <f t="shared" si="4"/>
        <v>223.61956111075639</v>
      </c>
      <c r="AM40" s="62">
        <f t="shared" si="5"/>
        <v>516.95289444408968</v>
      </c>
      <c r="AN40" s="62">
        <f ca="1">AVERAGE(OFFSET($AM$3,0,0,'Données projet'!$E$10+1,1))-AVERAGE(OFFSET($H$3,0,0,'Données projet'!$E$10+1,1))</f>
        <v>371.7282125501186</v>
      </c>
      <c r="AO40" s="62">
        <f t="shared" si="36"/>
        <v>231.36959598460686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2.2228335873134135</v>
      </c>
      <c r="AW40" s="23">
        <f>EXP(-LN(2)/2)*AW39+(1-EXP(-LN(2)/2))/(LN(2)/2)*AQ40*AT40*VLOOKUP('Données projet'!$B$10,Paramètres!$A$1:$I$89,3,0)*0.475*44/12</f>
        <v>1.1092239419505965</v>
      </c>
      <c r="AX40" s="23">
        <f t="shared" si="6"/>
        <v>3.3320575292640102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111.80000000000001</v>
      </c>
      <c r="BE40" s="14">
        <f>BD40*VLOOKUP('Données projet'!$B$11,Paramètres!$A$1:$I$89,3,0)*VLOOKUP('Données projet'!$B$11,Paramètres!$A$1:$I$89,5,0)</f>
        <v>94.180320000000009</v>
      </c>
      <c r="BF40" s="14">
        <f t="shared" si="37"/>
        <v>25.570738079029208</v>
      </c>
      <c r="BG40" s="22">
        <f t="shared" si="7"/>
        <v>208.5664261543092</v>
      </c>
      <c r="BH40" s="62">
        <f t="shared" si="8"/>
        <v>501.89975948764254</v>
      </c>
      <c r="BI40" s="62">
        <f ca="1">AVERAGE(OFFSET($BH$3,0,0,'Données projet'!$E$11+1,1))-AVERAGE(OFFSET($H$3,0,0,'Données projet'!$E$11+1,1))</f>
        <v>348.82438445524105</v>
      </c>
      <c r="BJ40" s="62">
        <f t="shared" si="38"/>
        <v>218.26721063098552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2.0695347192228333</v>
      </c>
      <c r="BR40" s="23">
        <f>EXP(-LN(2)/2)*BR39+(1-EXP(-LN(2)/2))/(LN(2)/2)*BL40*BO40*VLOOKUP('Données projet'!$B$11,Paramètres!$A$1:$I$89,3,0)*0.475*44/12</f>
        <v>1.0327257390574522</v>
      </c>
      <c r="BS40" s="24">
        <f t="shared" si="9"/>
        <v>3.1022604582802855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17.600000000000001</v>
      </c>
      <c r="N41" s="14">
        <f>IF('Données projet'!$A$36&gt;35,N40+M41-V40,IF(A41&lt;'Données projet'!$A$36,$K$205^A41,IF(A41='Données projet'!$A$36,'Données projet'!$B$36,N40+M41-V40)))</f>
        <v>296.80000000000013</v>
      </c>
      <c r="O41" s="14">
        <f>N41*VLOOKUP('Données projet'!$B$9,Paramètres!$A$1:$I$89,3,0)*VLOOKUP('Données projet'!$B$9,Paramètres!$A$1:$I$89,5,0)</f>
        <v>177.48640000000012</v>
      </c>
      <c r="P41" s="14">
        <f t="shared" si="33"/>
        <v>44.762499594286361</v>
      </c>
      <c r="Q41" s="22">
        <f t="shared" si="53"/>
        <v>387.08350012671559</v>
      </c>
      <c r="R41" s="62">
        <f t="shared" si="0"/>
        <v>680.41683346004891</v>
      </c>
      <c r="S41" s="62">
        <f ca="1">AVERAGE(OFFSET($R$3,0,0,'Données projet'!$E$9+1,1))-AVERAGE(OFFSET($H$3,0,0,'Données projet'!$E$9+1,1))</f>
        <v>348.62416478262719</v>
      </c>
      <c r="T41" s="62">
        <f t="shared" si="34"/>
        <v>371.70674704563288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4.7806094781029742</v>
      </c>
      <c r="AA41" s="23">
        <f>EXP(-LN(2)/25)*AA40+(1-EXP(-LN(2)/25))/(LN(2)/25)*Calculateur!V41*Calculateur!X41*VLOOKUP('Données projet'!$B$9,Paramètres!$A$1:$I$89,3,0)*0.475*44/12</f>
        <v>9.7232356804268125</v>
      </c>
      <c r="AB41" s="23">
        <f>EXP(-LN(2)/2)*AB40+(1-EXP(-LN(2)/2))/(LN(2)/2)*V41*Y41*VLOOKUP('Données projet'!$B$9,Paramètres!$A$1:$I$89,3,0)*0.475*44/12</f>
        <v>1.0620876653688172</v>
      </c>
      <c r="AC41" s="24">
        <f t="shared" si="3"/>
        <v>15.565932823898605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108.75696000000002</v>
      </c>
      <c r="AK41" s="14">
        <f t="shared" si="35"/>
        <v>29.037921223305609</v>
      </c>
      <c r="AL41" s="22">
        <f t="shared" si="4"/>
        <v>239.99275146392395</v>
      </c>
      <c r="AM41" s="62">
        <f t="shared" si="5"/>
        <v>533.32608479725729</v>
      </c>
      <c r="AN41" s="62">
        <f ca="1">AVERAGE(OFFSET($AM$3,0,0,'Données projet'!$E$10+1,1))-AVERAGE(OFFSET($H$3,0,0,'Données projet'!$E$10+1,1))</f>
        <v>371.7282125501186</v>
      </c>
      <c r="AO41" s="62">
        <f t="shared" si="36"/>
        <v>231.36959598460686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2.1620500859745904</v>
      </c>
      <c r="AW41" s="23">
        <f>EXP(-LN(2)/2)*AW40+(1-EXP(-LN(2)/2))/(LN(2)/2)*AQ41*AT41*VLOOKUP('Données projet'!$B$10,Paramètres!$A$1:$I$89,3,0)*0.475*44/12</f>
        <v>0.78433977120774012</v>
      </c>
      <c r="AX41" s="23">
        <f t="shared" si="6"/>
        <v>2.9463898571823304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120.20000000000002</v>
      </c>
      <c r="BE41" s="14">
        <f>BD41*VLOOKUP('Données projet'!$B$11,Paramètres!$A$1:$I$89,3,0)*VLOOKUP('Données projet'!$B$11,Paramètres!$A$1:$I$89,5,0)</f>
        <v>101.25648000000002</v>
      </c>
      <c r="BF41" s="14">
        <f t="shared" si="37"/>
        <v>27.261118700621143</v>
      </c>
      <c r="BG41" s="22">
        <f t="shared" si="7"/>
        <v>223.83481773691517</v>
      </c>
      <c r="BH41" s="62">
        <f t="shared" si="8"/>
        <v>517.16815107024854</v>
      </c>
      <c r="BI41" s="62">
        <f ca="1">AVERAGE(OFFSET($BH$3,0,0,'Données projet'!$E$11+1,1))-AVERAGE(OFFSET($H$3,0,0,'Données projet'!$E$11+1,1))</f>
        <v>348.82438445524105</v>
      </c>
      <c r="BJ41" s="62">
        <f t="shared" si="38"/>
        <v>218.26721063098552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2.0129431834935838</v>
      </c>
      <c r="BR41" s="23">
        <f>EXP(-LN(2)/2)*BR40+(1-EXP(-LN(2)/2))/(LN(2)/2)*BL41*BO41*VLOOKUP('Données projet'!$B$11,Paramètres!$A$1:$I$89,3,0)*0.475*44/12</f>
        <v>0.73024737319341348</v>
      </c>
      <c r="BS41" s="24">
        <f t="shared" si="9"/>
        <v>2.7431905566869972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17.600000000000001</v>
      </c>
      <c r="N42" s="14">
        <f>IF('Données projet'!$A$36&gt;35,N41+M42-V41,IF(A42&lt;'Données projet'!$A$36,$K$205^A42,IF(A42='Données projet'!$A$36,'Données projet'!$B$36,N41+M42-V41)))</f>
        <v>314.40000000000015</v>
      </c>
      <c r="O42" s="14">
        <f>N42*VLOOKUP('Données projet'!$B$9,Paramètres!$A$1:$I$89,3,0)*VLOOKUP('Données projet'!$B$9,Paramètres!$A$1:$I$89,5,0)</f>
        <v>188.01120000000012</v>
      </c>
      <c r="P42" s="14">
        <f t="shared" si="33"/>
        <v>47.099988496591031</v>
      </c>
      <c r="Q42" s="22">
        <f t="shared" si="53"/>
        <v>409.48531996489623</v>
      </c>
      <c r="R42" s="62">
        <f t="shared" si="0"/>
        <v>702.81865329822949</v>
      </c>
      <c r="S42" s="62">
        <f ca="1">AVERAGE(OFFSET($R$3,0,0,'Données projet'!$E$9+1,1))-AVERAGE(OFFSET($H$3,0,0,'Données projet'!$E$9+1,1))</f>
        <v>348.62416478262719</v>
      </c>
      <c r="T42" s="62">
        <f t="shared" si="34"/>
        <v>371.70674704563288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4.686864642121237</v>
      </c>
      <c r="AA42" s="23">
        <f>EXP(-LN(2)/25)*AA41+(1-EXP(-LN(2)/25))/(LN(2)/25)*Calculateur!V42*Calculateur!X42*VLOOKUP('Données projet'!$B$9,Paramètres!$A$1:$I$89,3,0)*0.475*44/12</f>
        <v>9.4573532894227998</v>
      </c>
      <c r="AB42" s="23">
        <f>EXP(-LN(2)/2)*AB41+(1-EXP(-LN(2)/2))/(LN(2)/2)*V42*Y42*VLOOKUP('Données projet'!$B$9,Paramètres!$A$1:$I$89,3,0)*0.475*44/12</f>
        <v>0.75100939039687931</v>
      </c>
      <c r="AC42" s="24">
        <f t="shared" si="3"/>
        <v>14.895227321940917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116.35728000000002</v>
      </c>
      <c r="AK42" s="14">
        <f t="shared" si="35"/>
        <v>30.823876427820704</v>
      </c>
      <c r="AL42" s="22">
        <f t="shared" si="4"/>
        <v>256.34051411178774</v>
      </c>
      <c r="AM42" s="62">
        <f t="shared" si="5"/>
        <v>549.67384744512105</v>
      </c>
      <c r="AN42" s="62">
        <f ca="1">AVERAGE(OFFSET($AM$3,0,0,'Données projet'!$E$10+1,1))-AVERAGE(OFFSET($H$3,0,0,'Données projet'!$E$10+1,1))</f>
        <v>371.7282125501186</v>
      </c>
      <c r="AO42" s="62">
        <f t="shared" si="36"/>
        <v>231.36959598460686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2.1029287126763427</v>
      </c>
      <c r="AW42" s="23">
        <f>EXP(-LN(2)/2)*AW41+(1-EXP(-LN(2)/2))/(LN(2)/2)*AQ42*AT42*VLOOKUP('Données projet'!$B$10,Paramètres!$A$1:$I$89,3,0)*0.475*44/12</f>
        <v>0.55461197097529824</v>
      </c>
      <c r="AX42" s="23">
        <f t="shared" si="6"/>
        <v>2.6575406836516411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128.60000000000002</v>
      </c>
      <c r="BE42" s="14">
        <f>BD42*VLOOKUP('Données projet'!$B$11,Paramètres!$A$1:$I$89,3,0)*VLOOKUP('Données projet'!$B$11,Paramètres!$A$1:$I$89,5,0)</f>
        <v>108.33264000000003</v>
      </c>
      <c r="BF42" s="14">
        <f t="shared" si="37"/>
        <v>28.937793020723745</v>
      </c>
      <c r="BG42" s="22">
        <f t="shared" si="7"/>
        <v>239.07933751109388</v>
      </c>
      <c r="BH42" s="62">
        <f t="shared" si="8"/>
        <v>532.41267084442723</v>
      </c>
      <c r="BI42" s="62">
        <f ca="1">AVERAGE(OFFSET($BH$3,0,0,'Données projet'!$E$11+1,1))-AVERAGE(OFFSET($H$3,0,0,'Données projet'!$E$11+1,1))</f>
        <v>348.82438445524105</v>
      </c>
      <c r="BJ42" s="62">
        <f t="shared" si="38"/>
        <v>218.26721063098552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1.9578991462848705</v>
      </c>
      <c r="BR42" s="23">
        <f>EXP(-LN(2)/2)*BR41+(1-EXP(-LN(2)/2))/(LN(2)/2)*BL42*BO42*VLOOKUP('Données projet'!$B$11,Paramètres!$A$1:$I$89,3,0)*0.475*44/12</f>
        <v>0.51636286952872612</v>
      </c>
      <c r="BS42" s="24">
        <f t="shared" si="9"/>
        <v>2.4742620158135966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332</v>
      </c>
      <c r="L43" s="13">
        <f>VLOOKUP(A43,'Données projet'!$A$35:$I$55,9,0)</f>
        <v>17.600000000000001</v>
      </c>
      <c r="M43" s="13">
        <f t="array" ref="M43">INDEX(L:L,MIN(IF(ISNUMBER(L43:L239),ROW(L43:L239),"")))</f>
        <v>17.600000000000001</v>
      </c>
      <c r="N43" s="14">
        <f>IF('Données projet'!$A$36&gt;35,N42+M43-V42,IF(A43&lt;'Données projet'!$A$36,$K$205^A43,IF(A43='Données projet'!$A$36,'Données projet'!$B$36,N42+M43-V42)))</f>
        <v>332.00000000000017</v>
      </c>
      <c r="O43" s="14">
        <f>N43*VLOOKUP('Données projet'!$B$9,Paramètres!$A$1:$I$89,3,0)*VLOOKUP('Données projet'!$B$9,Paramètres!$A$1:$I$89,5,0)</f>
        <v>198.53600000000012</v>
      </c>
      <c r="P43" s="14">
        <f t="shared" si="33"/>
        <v>49.42228739122875</v>
      </c>
      <c r="Q43" s="22">
        <f t="shared" si="53"/>
        <v>431.86068387305687</v>
      </c>
      <c r="R43" s="62">
        <f t="shared" si="0"/>
        <v>725.19401720639019</v>
      </c>
      <c r="S43" s="62">
        <f ca="1">AVERAGE(OFFSET($R$3,0,0,'Données projet'!$E$9+1,1))-AVERAGE(OFFSET($H$3,0,0,'Données projet'!$E$9+1,1))</f>
        <v>348.62416478262719</v>
      </c>
      <c r="T43" s="62">
        <f t="shared" si="34"/>
        <v>371.70674704563288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48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4.5949580851943974</v>
      </c>
      <c r="AA43" s="23">
        <f>EXP(-LN(2)/25)*AA42+(1-EXP(-LN(2)/25))/(LN(2)/25)*Calculateur!V43*Calculateur!X43*VLOOKUP('Données projet'!$B$9,Paramètres!$A$1:$I$89,3,0)*0.475*44/12</f>
        <v>9.1987414663829394</v>
      </c>
      <c r="AB43" s="23">
        <f>EXP(-LN(2)/2)*AB42+(1-EXP(-LN(2)/2))/(LN(2)/2)*V43*Y43*VLOOKUP('Données projet'!$B$9,Paramètres!$A$1:$I$89,3,0)*0.475*44/12</f>
        <v>0.53104383268440858</v>
      </c>
      <c r="AC43" s="24">
        <f t="shared" si="3"/>
        <v>14.324743384261746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123.95760000000001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565.99803230996918</v>
      </c>
      <c r="AN43" s="62">
        <f ca="1">AVERAGE(OFFSET($AM$3,0,0,'Données projet'!$E$10+1,1))-AVERAGE(OFFSET($H$3,0,0,'Données projet'!$E$10+1,1))</f>
        <v>371.7282125501186</v>
      </c>
      <c r="AO43" s="62">
        <f t="shared" si="36"/>
        <v>231.36959598460686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2.0454240164399935</v>
      </c>
      <c r="AW43" s="23">
        <f>EXP(-LN(2)/2)*AW42+(1-EXP(-LN(2)/2))/(LN(2)/2)*AQ43*AT43*VLOOKUP('Données projet'!$B$10,Paramètres!$A$1:$I$89,3,0)*0.475*44/12</f>
        <v>0.39216988560387006</v>
      </c>
      <c r="AX43" s="23">
        <f t="shared" si="6"/>
        <v>2.4375939020438637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137.00000000000003</v>
      </c>
      <c r="BE43" s="14">
        <f>BD43*VLOOKUP('Données projet'!$B$11,Paramètres!$A$1:$I$89,3,0)*VLOOKUP('Données projet'!$B$11,Paramètres!$A$1:$I$89,5,0)</f>
        <v>115.40880000000003</v>
      </c>
      <c r="BF43" s="14">
        <f t="shared" si="37"/>
        <v>30.60175820334798</v>
      </c>
      <c r="BG43" s="22">
        <f t="shared" si="7"/>
        <v>254.30172220416443</v>
      </c>
      <c r="BH43" s="62">
        <f t="shared" si="8"/>
        <v>547.63505553749769</v>
      </c>
      <c r="BI43" s="62">
        <f ca="1">AVERAGE(OFFSET($BH$3,0,0,'Données projet'!$E$11+1,1))-AVERAGE(OFFSET($H$3,0,0,'Données projet'!$E$11+1,1))</f>
        <v>348.82438445524105</v>
      </c>
      <c r="BJ43" s="62">
        <f t="shared" si="38"/>
        <v>218.26721063098552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1.9043602911682695</v>
      </c>
      <c r="BR43" s="23">
        <f>EXP(-LN(2)/2)*BR42+(1-EXP(-LN(2)/2))/(LN(2)/2)*BL43*BO43*VLOOKUP('Données projet'!$B$11,Paramètres!$A$1:$I$89,3,0)*0.475*44/12</f>
        <v>0.36512368659670674</v>
      </c>
      <c r="BS43" s="24">
        <f t="shared" si="9"/>
        <v>2.2694839777649762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</v>
      </c>
      <c r="N44" s="14">
        <f>IF('Données projet'!$A$36&gt;35,N43+M44-V43,IF(A44&lt;'Données projet'!$A$36,$K$205^A44,IF(A44='Données projet'!$A$36,'Données projet'!$B$36,N43+M44-V43)))</f>
        <v>304.00000000000017</v>
      </c>
      <c r="O44" s="14">
        <f>N44*VLOOKUP('Données projet'!$B$9,Paramètres!$A$1:$I$89,3,0)*VLOOKUP('Données projet'!$B$9,Paramètres!$A$1:$I$89,5,0)</f>
        <v>181.79200000000012</v>
      </c>
      <c r="P44" s="14">
        <f t="shared" si="33"/>
        <v>45.720642997712574</v>
      </c>
      <c r="Q44" s="22">
        <f t="shared" si="53"/>
        <v>396.25118655434966</v>
      </c>
      <c r="R44" s="62">
        <f t="shared" si="0"/>
        <v>689.58451988768297</v>
      </c>
      <c r="S44" s="62">
        <f ca="1">AVERAGE(OFFSET($R$3,0,0,'Données projet'!$E$9+1,1))-AVERAGE(OFFSET($H$3,0,0,'Données projet'!$E$9+1,1))</f>
        <v>348.62416478262719</v>
      </c>
      <c r="T44" s="62">
        <f t="shared" si="34"/>
        <v>371.70674704563288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4.5048537597914287</v>
      </c>
      <c r="AA44" s="23">
        <f>EXP(-LN(2)/25)*AA43+(1-EXP(-LN(2)/25))/(LN(2)/25)*Calculateur!V44*Calculateur!X44*VLOOKUP('Données projet'!$B$9,Paramètres!$A$1:$I$89,3,0)*0.475*44/12</f>
        <v>8.9472013972439086</v>
      </c>
      <c r="AB44" s="23">
        <f>EXP(-LN(2)/2)*AB43+(1-EXP(-LN(2)/2))/(LN(2)/2)*V44*Y44*VLOOKUP('Données projet'!$B$9,Paramètres!$A$1:$I$89,3,0)*0.475*44/12</f>
        <v>0.37550469519843965</v>
      </c>
      <c r="AC44" s="24">
        <f t="shared" si="3"/>
        <v>13.827559852233778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2">
        <f t="shared" si="5"/>
        <v>541.50302276112825</v>
      </c>
      <c r="AN44" s="62">
        <f ca="1">AVERAGE(OFFSET($AM$3,0,0,'Données projet'!$E$10+1,1))-AVERAGE(OFFSET($H$3,0,0,'Données projet'!$E$10+1,1))</f>
        <v>371.7282125501186</v>
      </c>
      <c r="AO44" s="62">
        <f t="shared" si="36"/>
        <v>231.36959598460686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1.9894917891462678</v>
      </c>
      <c r="AW44" s="23">
        <f>EXP(-LN(2)/2)*AW43+(1-EXP(-LN(2)/2))/(LN(2)/2)*AQ44*AT44*VLOOKUP('Données projet'!$B$10,Paramètres!$A$1:$I$89,3,0)*0.475*44/12</f>
        <v>0.27730598548764912</v>
      </c>
      <c r="AX44" s="23">
        <f t="shared" si="6"/>
        <v>2.266797774633917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104.79456000000003</v>
      </c>
      <c r="BF44" s="14">
        <f t="shared" si="37"/>
        <v>28.101103481959861</v>
      </c>
      <c r="BG44" s="22">
        <f t="shared" si="7"/>
        <v>231.45994723108015</v>
      </c>
      <c r="BH44" s="62">
        <f t="shared" si="8"/>
        <v>524.79328056441341</v>
      </c>
      <c r="BI44" s="62">
        <f ca="1">AVERAGE(OFFSET($BH$3,0,0,'Données projet'!$E$11+1,1))-AVERAGE(OFFSET($H$3,0,0,'Données projet'!$E$11+1,1))</f>
        <v>348.82438445524105</v>
      </c>
      <c r="BJ44" s="62">
        <f t="shared" si="38"/>
        <v>218.26721063098552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1.8522854588603179</v>
      </c>
      <c r="BR44" s="23">
        <f>EXP(-LN(2)/2)*BR43+(1-EXP(-LN(2)/2))/(LN(2)/2)*BL44*BO44*VLOOKUP('Données projet'!$B$11,Paramètres!$A$1:$I$89,3,0)*0.475*44/12</f>
        <v>0.25818143476436306</v>
      </c>
      <c r="BS44" s="24">
        <f t="shared" si="9"/>
        <v>2.1104668936246811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</v>
      </c>
      <c r="N45" s="14">
        <f>IF('Données projet'!$A$36&gt;35,N44+M45-V44,IF(A45&lt;'Données projet'!$A$36,$K$205^A45,IF(A45='Données projet'!$A$36,'Données projet'!$B$36,N44+M45-V44)))</f>
        <v>324.00000000000017</v>
      </c>
      <c r="O45" s="14">
        <f>N45*VLOOKUP('Données projet'!$B$9,Paramètres!$A$1:$I$89,3,0)*VLOOKUP('Données projet'!$B$9,Paramètres!$A$1:$I$89,5,0)</f>
        <v>193.75200000000009</v>
      </c>
      <c r="P45" s="14">
        <f t="shared" si="33"/>
        <v>48.368520355376113</v>
      </c>
      <c r="Q45" s="22">
        <f t="shared" si="53"/>
        <v>421.69323961894696</v>
      </c>
      <c r="R45" s="62">
        <f t="shared" si="0"/>
        <v>715.02657295228028</v>
      </c>
      <c r="S45" s="62">
        <f ca="1">AVERAGE(OFFSET($R$3,0,0,'Données projet'!$E$9+1,1))-AVERAGE(OFFSET($H$3,0,0,'Données projet'!$E$9+1,1))</f>
        <v>348.62416478262719</v>
      </c>
      <c r="T45" s="62">
        <f t="shared" si="34"/>
        <v>371.70674704563288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4.4165163252514006</v>
      </c>
      <c r="AA45" s="23">
        <f>EXP(-LN(2)/25)*AA44+(1-EXP(-LN(2)/25))/(LN(2)/25)*Calculateur!V45*Calculateur!X45*VLOOKUP('Données projet'!$B$9,Paramètres!$A$1:$I$89,3,0)*0.475*44/12</f>
        <v>8.7025397045234012</v>
      </c>
      <c r="AB45" s="23">
        <f>EXP(-LN(2)/2)*AB44+(1-EXP(-LN(2)/2))/(LN(2)/2)*V45*Y45*VLOOKUP('Données projet'!$B$9,Paramètres!$A$1:$I$89,3,0)*0.475*44/12</f>
        <v>0.26552191634220429</v>
      </c>
      <c r="AC45" s="24">
        <f t="shared" si="3"/>
        <v>13.384577946117005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2">
        <f t="shared" si="5"/>
        <v>557.83878140250954</v>
      </c>
      <c r="AN45" s="62">
        <f ca="1">AVERAGE(OFFSET($AM$3,0,0,'Données projet'!$E$10+1,1))-AVERAGE(OFFSET($H$3,0,0,'Données projet'!$E$10+1,1))</f>
        <v>371.7282125501186</v>
      </c>
      <c r="AO45" s="62">
        <f t="shared" si="36"/>
        <v>231.36959598460686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1.9350890315492368</v>
      </c>
      <c r="AW45" s="23">
        <f>EXP(-LN(2)/2)*AW44+(1-EXP(-LN(2)/2))/(LN(2)/2)*AQ45*AT45*VLOOKUP('Données projet'!$B$10,Paramètres!$A$1:$I$89,3,0)*0.475*44/12</f>
        <v>0.19608494280193503</v>
      </c>
      <c r="AX45" s="23">
        <f t="shared" si="6"/>
        <v>2.1311739743511717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111.87072000000005</v>
      </c>
      <c r="BF45" s="14">
        <f t="shared" si="37"/>
        <v>29.771307279851975</v>
      </c>
      <c r="BG45" s="22">
        <f t="shared" si="7"/>
        <v>246.69319751240889</v>
      </c>
      <c r="BH45" s="62">
        <f t="shared" si="8"/>
        <v>540.02653084574217</v>
      </c>
      <c r="BI45" s="62">
        <f ca="1">AVERAGE(OFFSET($BH$3,0,0,'Données projet'!$E$11+1,1))-AVERAGE(OFFSET($H$3,0,0,'Données projet'!$E$11+1,1))</f>
        <v>348.82438445524105</v>
      </c>
      <c r="BJ45" s="62">
        <f t="shared" si="38"/>
        <v>218.26721063098552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1.8016346155803238</v>
      </c>
      <c r="BR45" s="23">
        <f>EXP(-LN(2)/2)*BR44+(1-EXP(-LN(2)/2))/(LN(2)/2)*BL45*BO45*VLOOKUP('Données projet'!$B$11,Paramètres!$A$1:$I$89,3,0)*0.475*44/12</f>
        <v>0.18256184329835337</v>
      </c>
      <c r="BS45" s="24">
        <f t="shared" si="9"/>
        <v>1.9841964588786771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</v>
      </c>
      <c r="N46" s="14">
        <f>IF('Données projet'!$A$36&gt;35,N45+M46-V45,IF(A46&lt;'Données projet'!$A$36,$K$205^A46,IF(A46='Données projet'!$A$36,'Données projet'!$B$36,N45+M46-V45)))</f>
        <v>344.00000000000017</v>
      </c>
      <c r="O46" s="14">
        <f>N46*VLOOKUP('Données projet'!$B$9,Paramètres!$A$1:$I$89,3,0)*VLOOKUP('Données projet'!$B$9,Paramètres!$A$1:$I$89,5,0)</f>
        <v>205.71200000000013</v>
      </c>
      <c r="P46" s="14">
        <f t="shared" si="33"/>
        <v>50.997427696933762</v>
      </c>
      <c r="Q46" s="22">
        <f t="shared" si="53"/>
        <v>447.10225323882656</v>
      </c>
      <c r="R46" s="62">
        <f t="shared" si="0"/>
        <v>740.43558657215988</v>
      </c>
      <c r="S46" s="62">
        <f ca="1">AVERAGE(OFFSET($R$3,0,0,'Données projet'!$E$9+1,1))-AVERAGE(OFFSET($H$3,0,0,'Données projet'!$E$9+1,1))</f>
        <v>348.62416478262719</v>
      </c>
      <c r="T46" s="62">
        <f t="shared" si="34"/>
        <v>371.70674704563288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4.3299111339221872</v>
      </c>
      <c r="AA46" s="23">
        <f>EXP(-LN(2)/25)*AA45+(1-EXP(-LN(2)/25))/(LN(2)/25)*Calculateur!V46*Calculateur!X46*VLOOKUP('Données projet'!$B$9,Paramètres!$A$1:$I$89,3,0)*0.475*44/12</f>
        <v>8.4645682986565358</v>
      </c>
      <c r="AB46" s="23">
        <f>EXP(-LN(2)/2)*AB45+(1-EXP(-LN(2)/2))/(LN(2)/2)*V46*Y46*VLOOKUP('Données projet'!$B$9,Paramètres!$A$1:$I$89,3,0)*0.475*44/12</f>
        <v>0.18775234759921983</v>
      </c>
      <c r="AC46" s="24">
        <f t="shared" si="3"/>
        <v>12.982231780177942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574.15179438724942</v>
      </c>
      <c r="AN46" s="62">
        <f ca="1">AVERAGE(OFFSET($AM$3,0,0,'Données projet'!$E$10+1,1))-AVERAGE(OFFSET($H$3,0,0,'Données projet'!$E$10+1,1))</f>
        <v>371.7282125501186</v>
      </c>
      <c r="AO46" s="62">
        <f t="shared" si="36"/>
        <v>231.36959598460686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1.8821739202196135</v>
      </c>
      <c r="AW46" s="23">
        <f>EXP(-LN(2)/2)*AW45+(1-EXP(-LN(2)/2))/(LN(2)/2)*AQ46*AT46*VLOOKUP('Données projet'!$B$10,Paramètres!$A$1:$I$89,3,0)*0.475*44/12</f>
        <v>0.13865299274382456</v>
      </c>
      <c r="AX46" s="23">
        <f t="shared" si="6"/>
        <v>2.0208269129634382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118.94688000000005</v>
      </c>
      <c r="BF46" s="14">
        <f t="shared" si="37"/>
        <v>31.429250481525276</v>
      </c>
      <c r="BG46" s="22">
        <f t="shared" si="7"/>
        <v>261.90509392198993</v>
      </c>
      <c r="BH46" s="62">
        <f t="shared" si="8"/>
        <v>555.23842725532324</v>
      </c>
      <c r="BI46" s="62">
        <f ca="1">AVERAGE(OFFSET($BH$3,0,0,'Données projet'!$E$11+1,1))-AVERAGE(OFFSET($H$3,0,0,'Données projet'!$E$11+1,1))</f>
        <v>348.82438445524105</v>
      </c>
      <c r="BJ46" s="62">
        <f t="shared" si="38"/>
        <v>218.26721063098552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1.752368822273433</v>
      </c>
      <c r="BR46" s="23">
        <f>EXP(-LN(2)/2)*BR45+(1-EXP(-LN(2)/2))/(LN(2)/2)*BL46*BO46*VLOOKUP('Données projet'!$B$11,Paramètres!$A$1:$I$89,3,0)*0.475*44/12</f>
        <v>0.12909071738218153</v>
      </c>
      <c r="BS46" s="24">
        <f t="shared" si="9"/>
        <v>1.8814595396556146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</v>
      </c>
      <c r="N47" s="14">
        <f>IF('Données projet'!$A$36&gt;35,N46+M47-V46,IF(A47&lt;'Données projet'!$A$36,$K$205^A47,IF(A47='Données projet'!$A$36,'Données projet'!$B$36,N46+M47-V46)))</f>
        <v>364.00000000000017</v>
      </c>
      <c r="O47" s="14">
        <f>N47*VLOOKUP('Données projet'!$B$9,Paramètres!$A$1:$I$89,3,0)*VLOOKUP('Données projet'!$B$9,Paramètres!$A$1:$I$89,5,0)</f>
        <v>217.67200000000011</v>
      </c>
      <c r="P47" s="14">
        <f t="shared" si="33"/>
        <v>53.60859357546007</v>
      </c>
      <c r="Q47" s="22">
        <f t="shared" si="53"/>
        <v>472.48036714392646</v>
      </c>
      <c r="R47" s="62">
        <f t="shared" si="0"/>
        <v>765.81370047725977</v>
      </c>
      <c r="S47" s="62">
        <f ca="1">AVERAGE(OFFSET($R$3,0,0,'Données projet'!$E$9+1,1))-AVERAGE(OFFSET($H$3,0,0,'Données projet'!$E$9+1,1))</f>
        <v>348.62416478262719</v>
      </c>
      <c r="T47" s="62">
        <f t="shared" si="34"/>
        <v>371.70674704563288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4.2450042175709894</v>
      </c>
      <c r="AA47" s="23">
        <f>EXP(-LN(2)/25)*AA46+(1-EXP(-LN(2)/25))/(LN(2)/25)*Calculateur!V47*Calculateur!X47*VLOOKUP('Données projet'!$B$9,Paramètres!$A$1:$I$89,3,0)*0.475*44/12</f>
        <v>8.2331042333974729</v>
      </c>
      <c r="AB47" s="23">
        <f>EXP(-LN(2)/2)*AB46+(1-EXP(-LN(2)/2))/(LN(2)/2)*V47*Y47*VLOOKUP('Données projet'!$B$9,Paramètres!$A$1:$I$89,3,0)*0.475*44/12</f>
        <v>0.13276095817110214</v>
      </c>
      <c r="AC47" s="24">
        <f t="shared" si="3"/>
        <v>12.610869409139566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2">
        <f t="shared" si="5"/>
        <v>590.44356897369653</v>
      </c>
      <c r="AN47" s="62">
        <f ca="1">AVERAGE(OFFSET($AM$3,0,0,'Données projet'!$E$10+1,1))-AVERAGE(OFFSET($H$3,0,0,'Données projet'!$E$10+1,1))</f>
        <v>371.7282125501186</v>
      </c>
      <c r="AO47" s="62">
        <f t="shared" si="36"/>
        <v>231.36959598460686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1.8307057753919835</v>
      </c>
      <c r="AW47" s="23">
        <f>EXP(-LN(2)/2)*AW46+(1-EXP(-LN(2)/2))/(LN(2)/2)*AQ47*AT47*VLOOKUP('Données projet'!$B$10,Paramètres!$A$1:$I$89,3,0)*0.475*44/12</f>
        <v>9.8042471400967515E-2</v>
      </c>
      <c r="AX47" s="23">
        <f t="shared" si="6"/>
        <v>1.9287482467929511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126.02304000000005</v>
      </c>
      <c r="BF47" s="14">
        <f t="shared" si="37"/>
        <v>33.075745544773369</v>
      </c>
      <c r="BG47" s="22">
        <f t="shared" si="7"/>
        <v>277.0970514904804</v>
      </c>
      <c r="BH47" s="62">
        <f t="shared" si="8"/>
        <v>570.43038482381371</v>
      </c>
      <c r="BI47" s="62">
        <f ca="1">AVERAGE(OFFSET($BH$3,0,0,'Données projet'!$E$11+1,1))-AVERAGE(OFFSET($H$3,0,0,'Données projet'!$E$11+1,1))</f>
        <v>348.82438445524105</v>
      </c>
      <c r="BJ47" s="62">
        <f t="shared" si="38"/>
        <v>218.26721063098552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1.7044502046752947</v>
      </c>
      <c r="BR47" s="23">
        <f>EXP(-LN(2)/2)*BR46+(1-EXP(-LN(2)/2))/(LN(2)/2)*BL47*BO47*VLOOKUP('Données projet'!$B$11,Paramètres!$A$1:$I$89,3,0)*0.475*44/12</f>
        <v>9.1280921649176686E-2</v>
      </c>
      <c r="BS47" s="24">
        <f t="shared" si="9"/>
        <v>1.7957311263244715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384</v>
      </c>
      <c r="L48" s="13">
        <f>VLOOKUP(A48,'Données projet'!$A$35:$I$55,9,0)</f>
        <v>20</v>
      </c>
      <c r="M48" s="13">
        <f t="array" ref="M48">INDEX(L:L,MIN(IF(ISNUMBER(L48:L244),ROW(L48:L244),"")))</f>
        <v>20</v>
      </c>
      <c r="N48" s="14">
        <f>IF('Données projet'!$A$36&gt;35,N47+M48-V47,IF(A48&lt;'Données projet'!$A$36,$K$205^A48,IF(A48='Données projet'!$A$36,'Données projet'!$B$36,N47+M48-V47)))</f>
        <v>384.00000000000017</v>
      </c>
      <c r="O48" s="14">
        <f>N48*VLOOKUP('Données projet'!$B$9,Paramètres!$A$1:$I$89,3,0)*VLOOKUP('Données projet'!$B$9,Paramètres!$A$1:$I$89,5,0)</f>
        <v>229.63200000000015</v>
      </c>
      <c r="P48" s="14">
        <f t="shared" si="33"/>
        <v>56.20310391330672</v>
      </c>
      <c r="Q48" s="22">
        <f t="shared" si="53"/>
        <v>497.8294726490094</v>
      </c>
      <c r="R48" s="62">
        <f t="shared" si="0"/>
        <v>791.16280598234266</v>
      </c>
      <c r="S48" s="62">
        <f ca="1">AVERAGE(OFFSET($R$3,0,0,'Données projet'!$E$9+1,1))-AVERAGE(OFFSET($H$3,0,0,'Données projet'!$E$9+1,1))</f>
        <v>348.62416478262719</v>
      </c>
      <c r="T48" s="62">
        <f t="shared" si="34"/>
        <v>371.70674704563288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57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4.1617622740613331</v>
      </c>
      <c r="AA48" s="23">
        <f>EXP(-LN(2)/25)*AA47+(1-EXP(-LN(2)/25))/(LN(2)/25)*Calculateur!V48*Calculateur!X48*VLOOKUP('Données projet'!$B$9,Paramètres!$A$1:$I$89,3,0)*0.475*44/12</f>
        <v>8.0079695651750846</v>
      </c>
      <c r="AB48" s="23">
        <f>EXP(-LN(2)/2)*AB47+(1-EXP(-LN(2)/2))/(LN(2)/2)*V48*Y48*VLOOKUP('Données projet'!$B$9,Paramètres!$A$1:$I$89,3,0)*0.475*44/12</f>
        <v>9.3876173799609913E-2</v>
      </c>
      <c r="AC48" s="24">
        <f t="shared" si="3"/>
        <v>12.263608013036027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606.71543359582972</v>
      </c>
      <c r="AN48" s="62">
        <f ca="1">AVERAGE(OFFSET($AM$3,0,0,'Données projet'!$E$10+1,1))-AVERAGE(OFFSET($H$3,0,0,'Données projet'!$E$10+1,1))</f>
        <v>371.7282125501186</v>
      </c>
      <c r="AO48" s="62">
        <f t="shared" si="36"/>
        <v>231.36959598460686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1.7806450296912573</v>
      </c>
      <c r="AW48" s="23">
        <f>EXP(-LN(2)/2)*AW47+(1-EXP(-LN(2)/2))/(LN(2)/2)*AQ48*AT48*VLOOKUP('Données projet'!$B$10,Paramètres!$A$1:$I$89,3,0)*0.475*44/12</f>
        <v>6.932649637191228E-2</v>
      </c>
      <c r="AX48" s="23">
        <f t="shared" si="6"/>
        <v>1.8499715260631695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133.09920000000005</v>
      </c>
      <c r="BF48" s="14">
        <f t="shared" si="37"/>
        <v>34.71150853565117</v>
      </c>
      <c r="BG48" s="22">
        <f t="shared" si="7"/>
        <v>292.27031736625918</v>
      </c>
      <c r="BH48" s="62">
        <f t="shared" si="8"/>
        <v>585.60365069959244</v>
      </c>
      <c r="BI48" s="62">
        <f ca="1">AVERAGE(OFFSET($BH$3,0,0,'Données projet'!$E$11+1,1))-AVERAGE(OFFSET($H$3,0,0,'Données projet'!$E$11+1,1))</f>
        <v>348.82438445524105</v>
      </c>
      <c r="BJ48" s="62">
        <f t="shared" si="38"/>
        <v>218.26721063098552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1.6578419241953082</v>
      </c>
      <c r="BR48" s="23">
        <f>EXP(-LN(2)/2)*BR47+(1-EXP(-LN(2)/2))/(LN(2)/2)*BL48*BO48*VLOOKUP('Données projet'!$B$11,Paramètres!$A$1:$I$89,3,0)*0.475*44/12</f>
        <v>6.4545358691090765E-2</v>
      </c>
      <c r="BS48" s="24">
        <f t="shared" si="9"/>
        <v>1.7223872828863989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17.399999999999999</v>
      </c>
      <c r="N49" s="14">
        <f>IF('Données projet'!$A$36&gt;35,N48+M49-V48,IF(A49&lt;'Données projet'!$A$36,$K$205^A49,IF(A49='Données projet'!$A$36,'Données projet'!$B$36,N48+M49-V48)))</f>
        <v>344.40000000000015</v>
      </c>
      <c r="O49" s="14">
        <f>N49*VLOOKUP('Données projet'!$B$9,Paramètres!$A$1:$I$89,3,0)*VLOOKUP('Données projet'!$B$9,Paramètres!$A$1:$I$89,5,0)</f>
        <v>205.95120000000009</v>
      </c>
      <c r="P49" s="14">
        <f t="shared" si="33"/>
        <v>51.049821044529857</v>
      </c>
      <c r="Q49" s="22">
        <f t="shared" si="53"/>
        <v>447.61011165255627</v>
      </c>
      <c r="R49" s="62">
        <f t="shared" si="0"/>
        <v>740.94344498588953</v>
      </c>
      <c r="S49" s="62">
        <f ca="1">AVERAGE(OFFSET($R$3,0,0,'Données projet'!$E$9+1,1))-AVERAGE(OFFSET($H$3,0,0,'Données projet'!$E$9+1,1))</f>
        <v>348.62416478262719</v>
      </c>
      <c r="T49" s="62">
        <f t="shared" si="34"/>
        <v>371.70674704563288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4.0801526542913287</v>
      </c>
      <c r="AA49" s="23">
        <f>EXP(-LN(2)/25)*AA48+(1-EXP(-LN(2)/25))/(LN(2)/25)*Calculateur!V49*Calculateur!X49*VLOOKUP('Données projet'!$B$9,Paramètres!$A$1:$I$89,3,0)*0.475*44/12</f>
        <v>7.7889912162945549</v>
      </c>
      <c r="AB49" s="23">
        <f>EXP(-LN(2)/2)*AB48+(1-EXP(-LN(2)/2))/(LN(2)/2)*V49*Y49*VLOOKUP('Données projet'!$B$9,Paramètres!$A$1:$I$89,3,0)*0.475*44/12</f>
        <v>6.6380479085551072E-2</v>
      </c>
      <c r="AC49" s="24">
        <f t="shared" si="3"/>
        <v>11.935524349671434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131.37696000000003</v>
      </c>
      <c r="AK49" s="14">
        <f t="shared" si="35"/>
        <v>34.314338988223334</v>
      </c>
      <c r="AL49" s="22">
        <f t="shared" si="4"/>
        <v>288.57901240448905</v>
      </c>
      <c r="AM49" s="62">
        <f t="shared" si="5"/>
        <v>581.91234573782231</v>
      </c>
      <c r="AN49" s="62">
        <f ca="1">AVERAGE(OFFSET($AM$3,0,0,'Données projet'!$E$10+1,1))-AVERAGE(OFFSET($H$3,0,0,'Données projet'!$E$10+1,1))</f>
        <v>371.7282125501186</v>
      </c>
      <c r="AO49" s="62">
        <f t="shared" si="36"/>
        <v>231.36959598460686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1.7319531977142975</v>
      </c>
      <c r="AW49" s="23">
        <f>EXP(-LN(2)/2)*AW48+(1-EXP(-LN(2)/2))/(LN(2)/2)*AQ49*AT49*VLOOKUP('Données projet'!$B$10,Paramètres!$A$1:$I$89,3,0)*0.475*44/12</f>
        <v>4.9021235700483758E-2</v>
      </c>
      <c r="AX49" s="23">
        <f t="shared" si="6"/>
        <v>1.7809744334147812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145.20000000000005</v>
      </c>
      <c r="BE49" s="14">
        <f>BD49*VLOOKUP('Données projet'!$B$11,Paramètres!$A$1:$I$89,3,0)*VLOOKUP('Données projet'!$B$11,Paramètres!$A$1:$I$89,5,0)</f>
        <v>122.31648000000006</v>
      </c>
      <c r="BF49" s="14">
        <f t="shared" si="37"/>
        <v>32.214677527967339</v>
      </c>
      <c r="BG49" s="22">
        <f t="shared" si="7"/>
        <v>269.14176602787654</v>
      </c>
      <c r="BH49" s="62">
        <f t="shared" si="8"/>
        <v>562.47509936120991</v>
      </c>
      <c r="BI49" s="62">
        <f ca="1">AVERAGE(OFFSET($BH$3,0,0,'Données projet'!$E$11+1,1))-AVERAGE(OFFSET($H$3,0,0,'Données projet'!$E$11+1,1))</f>
        <v>348.82438445524105</v>
      </c>
      <c r="BJ49" s="62">
        <f t="shared" si="38"/>
        <v>218.26721063098552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1.6125081495960698</v>
      </c>
      <c r="BR49" s="23">
        <f>EXP(-LN(2)/2)*BR48+(1-EXP(-LN(2)/2))/(LN(2)/2)*BL49*BO49*VLOOKUP('Données projet'!$B$11,Paramètres!$A$1:$I$89,3,0)*0.475*44/12</f>
        <v>4.5640460824588343E-2</v>
      </c>
      <c r="BS49" s="24">
        <f t="shared" si="9"/>
        <v>1.6581486104206582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17.399999999999999</v>
      </c>
      <c r="N50" s="14">
        <f>IF('Données projet'!$A$36&gt;35,N49+M50-V49,IF(A50&lt;'Données projet'!$A$36,$K$205^A50,IF(A50='Données projet'!$A$36,'Données projet'!$B$36,N49+M50-V49)))</f>
        <v>361.80000000000013</v>
      </c>
      <c r="O50" s="14">
        <f>N50*VLOOKUP('Données projet'!$B$9,Paramètres!$A$1:$I$89,3,0)*VLOOKUP('Données projet'!$B$9,Paramètres!$A$1:$I$89,5,0)</f>
        <v>216.35640000000006</v>
      </c>
      <c r="P50" s="14">
        <f t="shared" si="33"/>
        <v>53.322199188237285</v>
      </c>
      <c r="Q50" s="22">
        <f t="shared" si="53"/>
        <v>469.69022691951341</v>
      </c>
      <c r="R50" s="62">
        <f t="shared" si="0"/>
        <v>763.02356025284666</v>
      </c>
      <c r="S50" s="62">
        <f ca="1">AVERAGE(OFFSET($R$3,0,0,'Données projet'!$E$9+1,1))-AVERAGE(OFFSET($H$3,0,0,'Données projet'!$E$9+1,1))</f>
        <v>348.62416478262719</v>
      </c>
      <c r="T50" s="62">
        <f t="shared" si="34"/>
        <v>371.70674704563288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4.0001433493880612</v>
      </c>
      <c r="AA50" s="23">
        <f>EXP(-LN(2)/25)*AA49+(1-EXP(-LN(2)/25))/(LN(2)/25)*Calculateur!V50*Calculateur!X50*VLOOKUP('Données projet'!$B$9,Paramètres!$A$1:$I$89,3,0)*0.475*44/12</f>
        <v>7.5760008418797344</v>
      </c>
      <c r="AB50" s="23">
        <f>EXP(-LN(2)/2)*AB49+(1-EXP(-LN(2)/2))/(LN(2)/2)*V50*Y50*VLOOKUP('Données projet'!$B$9,Paramètres!$A$1:$I$89,3,0)*0.475*44/12</f>
        <v>4.6938086899804957E-2</v>
      </c>
      <c r="AC50" s="24">
        <f t="shared" si="3"/>
        <v>11.623082278167601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138.79632000000001</v>
      </c>
      <c r="AK50" s="14">
        <f t="shared" si="35"/>
        <v>36.021120886354588</v>
      </c>
      <c r="AL50" s="22">
        <f t="shared" si="4"/>
        <v>304.47370954373423</v>
      </c>
      <c r="AM50" s="62">
        <f t="shared" si="5"/>
        <v>597.80704287706749</v>
      </c>
      <c r="AN50" s="62">
        <f ca="1">AVERAGE(OFFSET($AM$3,0,0,'Données projet'!$E$10+1,1))-AVERAGE(OFFSET($H$3,0,0,'Données projet'!$E$10+1,1))</f>
        <v>371.7282125501186</v>
      </c>
      <c r="AO50" s="62">
        <f t="shared" si="36"/>
        <v>231.36959598460686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1.6845928464433397</v>
      </c>
      <c r="AW50" s="23">
        <f>EXP(-LN(2)/2)*AW49+(1-EXP(-LN(2)/2))/(LN(2)/2)*AQ50*AT50*VLOOKUP('Données projet'!$B$10,Paramètres!$A$1:$I$89,3,0)*0.475*44/12</f>
        <v>3.466324818595614E-2</v>
      </c>
      <c r="AX50" s="23">
        <f t="shared" si="6"/>
        <v>1.7192560946292959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153.40000000000003</v>
      </c>
      <c r="BE50" s="14">
        <f>BD50*VLOOKUP('Données projet'!$B$11,Paramètres!$A$1:$I$89,3,0)*VLOOKUP('Données projet'!$B$11,Paramètres!$A$1:$I$89,5,0)</f>
        <v>129.22416000000004</v>
      </c>
      <c r="BF50" s="14">
        <f t="shared" si="37"/>
        <v>33.817023080295762</v>
      </c>
      <c r="BG50" s="22">
        <f t="shared" si="7"/>
        <v>283.96339386484851</v>
      </c>
      <c r="BH50" s="62">
        <f t="shared" si="8"/>
        <v>577.29672719818177</v>
      </c>
      <c r="BI50" s="62">
        <f ca="1">AVERAGE(OFFSET($BH$3,0,0,'Données projet'!$E$11+1,1))-AVERAGE(OFFSET($H$3,0,0,'Données projet'!$E$11+1,1))</f>
        <v>348.82438445524105</v>
      </c>
      <c r="BJ50" s="62">
        <f t="shared" si="38"/>
        <v>218.26721063098552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1.5684140294472471</v>
      </c>
      <c r="BR50" s="23">
        <f>EXP(-LN(2)/2)*BR49+(1-EXP(-LN(2)/2))/(LN(2)/2)*BL50*BO50*VLOOKUP('Données projet'!$B$11,Paramètres!$A$1:$I$89,3,0)*0.475*44/12</f>
        <v>3.2272679345545383E-2</v>
      </c>
      <c r="BS50" s="24">
        <f t="shared" si="9"/>
        <v>1.6006867087927925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17.399999999999999</v>
      </c>
      <c r="N51" s="14">
        <f>IF('Données projet'!$A$36&gt;35,N50+M51-V50,IF(A51&lt;'Données projet'!$A$36,$K$205^A51,IF(A51='Données projet'!$A$36,'Données projet'!$B$36,N50+M51-V50)))</f>
        <v>379.2000000000001</v>
      </c>
      <c r="O51" s="14">
        <f>N51*VLOOKUP('Données projet'!$B$9,Paramètres!$A$1:$I$89,3,0)*VLOOKUP('Données projet'!$B$9,Paramètres!$A$1:$I$89,5,0)</f>
        <v>226.76160000000007</v>
      </c>
      <c r="P51" s="14">
        <f t="shared" si="33"/>
        <v>55.581886910575967</v>
      </c>
      <c r="Q51" s="22">
        <f t="shared" si="53"/>
        <v>491.74823970258649</v>
      </c>
      <c r="R51" s="62">
        <f t="shared" si="0"/>
        <v>785.08157303591975</v>
      </c>
      <c r="S51" s="62">
        <f ca="1">AVERAGE(OFFSET($R$3,0,0,'Données projet'!$E$9+1,1))-AVERAGE(OFFSET($H$3,0,0,'Données projet'!$E$9+1,1))</f>
        <v>348.62416478262719</v>
      </c>
      <c r="T51" s="62">
        <f t="shared" si="34"/>
        <v>371.70674704563288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3.9217029781530894</v>
      </c>
      <c r="AA51" s="23">
        <f>EXP(-LN(2)/25)*AA50+(1-EXP(-LN(2)/25))/(LN(2)/25)*Calculateur!V51*Calculateur!X51*VLOOKUP('Données projet'!$B$9,Paramètres!$A$1:$I$89,3,0)*0.475*44/12</f>
        <v>7.3688347004539638</v>
      </c>
      <c r="AB51" s="23">
        <f>EXP(-LN(2)/2)*AB50+(1-EXP(-LN(2)/2))/(LN(2)/2)*V51*Y51*VLOOKUP('Données projet'!$B$9,Paramètres!$A$1:$I$89,3,0)*0.475*44/12</f>
        <v>3.3190239542775536E-2</v>
      </c>
      <c r="AC51" s="24">
        <f t="shared" si="3"/>
        <v>11.32372791814983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146.21568000000002</v>
      </c>
      <c r="AK51" s="14">
        <f t="shared" si="35"/>
        <v>37.717310552893402</v>
      </c>
      <c r="AL51" s="22">
        <f t="shared" si="4"/>
        <v>320.34995854628937</v>
      </c>
      <c r="AM51" s="62">
        <f t="shared" si="5"/>
        <v>613.68329187962263</v>
      </c>
      <c r="AN51" s="62">
        <f ca="1">AVERAGE(OFFSET($AM$3,0,0,'Données projet'!$E$10+1,1))-AVERAGE(OFFSET($H$3,0,0,'Données projet'!$E$10+1,1))</f>
        <v>371.7282125501186</v>
      </c>
      <c r="AO51" s="62">
        <f t="shared" si="36"/>
        <v>231.36959598460686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1.6385275664684591</v>
      </c>
      <c r="AW51" s="23">
        <f>EXP(-LN(2)/2)*AW50+(1-EXP(-LN(2)/2))/(LN(2)/2)*AQ51*AT51*VLOOKUP('Données projet'!$B$10,Paramètres!$A$1:$I$89,3,0)*0.475*44/12</f>
        <v>2.4510617850241879E-2</v>
      </c>
      <c r="AX51" s="23">
        <f t="shared" si="6"/>
        <v>1.663038184318701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161.60000000000002</v>
      </c>
      <c r="BE51" s="14">
        <f>BD51*VLOOKUP('Données projet'!$B$11,Paramètres!$A$1:$I$89,3,0)*VLOOKUP('Données projet'!$B$11,Paramètres!$A$1:$I$89,5,0)</f>
        <v>136.13184000000004</v>
      </c>
      <c r="BF51" s="14">
        <f t="shared" si="37"/>
        <v>35.40942452951419</v>
      </c>
      <c r="BG51" s="22">
        <f t="shared" si="7"/>
        <v>298.7677023889039</v>
      </c>
      <c r="BH51" s="62">
        <f t="shared" si="8"/>
        <v>592.10103572223716</v>
      </c>
      <c r="BI51" s="62">
        <f ca="1">AVERAGE(OFFSET($BH$3,0,0,'Données projet'!$E$11+1,1))-AVERAGE(OFFSET($H$3,0,0,'Données projet'!$E$11+1,1))</f>
        <v>348.82438445524105</v>
      </c>
      <c r="BJ51" s="62">
        <f t="shared" si="38"/>
        <v>218.26721063098552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1.525525665332703</v>
      </c>
      <c r="BR51" s="23">
        <f>EXP(-LN(2)/2)*BR50+(1-EXP(-LN(2)/2))/(LN(2)/2)*BL51*BO51*VLOOKUP('Données projet'!$B$11,Paramètres!$A$1:$I$89,3,0)*0.475*44/12</f>
        <v>2.2820230412294171E-2</v>
      </c>
      <c r="BS51" s="24">
        <f t="shared" si="9"/>
        <v>1.5483458957449971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17.399999999999999</v>
      </c>
      <c r="N52" s="14">
        <f>IF('Données projet'!$A$36&gt;35,N51+M52-V51,IF(A52&lt;'Données projet'!$A$36,$K$205^A52,IF(A52='Données projet'!$A$36,'Données projet'!$B$36,N51+M52-V51)))</f>
        <v>396.60000000000008</v>
      </c>
      <c r="O52" s="14">
        <f>N52*VLOOKUP('Données projet'!$B$9,Paramètres!$A$1:$I$89,3,0)*VLOOKUP('Données projet'!$B$9,Paramètres!$A$1:$I$89,5,0)</f>
        <v>237.16680000000005</v>
      </c>
      <c r="P52" s="14">
        <f t="shared" si="33"/>
        <v>57.829533038824259</v>
      </c>
      <c r="Q52" s="22">
        <f t="shared" si="53"/>
        <v>513.78528004261909</v>
      </c>
      <c r="R52" s="62">
        <f t="shared" si="0"/>
        <v>807.11861337595246</v>
      </c>
      <c r="S52" s="62">
        <f ca="1">AVERAGE(OFFSET($R$3,0,0,'Données projet'!$E$9+1,1))-AVERAGE(OFFSET($H$3,0,0,'Données projet'!$E$9+1,1))</f>
        <v>348.62416478262719</v>
      </c>
      <c r="T52" s="62">
        <f t="shared" si="34"/>
        <v>371.70674704563288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3.8448007747541335</v>
      </c>
      <c r="AA52" s="23">
        <f>EXP(-LN(2)/25)*AA51+(1-EXP(-LN(2)/25))/(LN(2)/25)*Calculateur!V52*Calculateur!X52*VLOOKUP('Données projet'!$B$9,Paramètres!$A$1:$I$89,3,0)*0.475*44/12</f>
        <v>7.1673335280598751</v>
      </c>
      <c r="AB52" s="23">
        <f>EXP(-LN(2)/2)*AB51+(1-EXP(-LN(2)/2))/(LN(2)/2)*V52*Y52*VLOOKUP('Données projet'!$B$9,Paramètres!$A$1:$I$89,3,0)*0.475*44/12</f>
        <v>2.3469043449902478E-2</v>
      </c>
      <c r="AC52" s="24">
        <f t="shared" si="3"/>
        <v>11.03560334626391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153.63504</v>
      </c>
      <c r="AK52" s="14">
        <f t="shared" si="35"/>
        <v>39.403506785222667</v>
      </c>
      <c r="AL52" s="22">
        <f t="shared" si="4"/>
        <v>336.20880231759617</v>
      </c>
      <c r="AM52" s="62">
        <f t="shared" si="5"/>
        <v>629.54213565092948</v>
      </c>
      <c r="AN52" s="62">
        <f ca="1">AVERAGE(OFFSET($AM$3,0,0,'Données projet'!$E$10+1,1))-AVERAGE(OFFSET($H$3,0,0,'Données projet'!$E$10+1,1))</f>
        <v>371.7282125501186</v>
      </c>
      <c r="AO52" s="62">
        <f t="shared" si="36"/>
        <v>231.36959598460686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1.5937219439969592</v>
      </c>
      <c r="AW52" s="23">
        <f>EXP(-LN(2)/2)*AW51+(1-EXP(-LN(2)/2))/(LN(2)/2)*AQ52*AT52*VLOOKUP('Données projet'!$B$10,Paramètres!$A$1:$I$89,3,0)*0.475*44/12</f>
        <v>1.733162409297807E-2</v>
      </c>
      <c r="AX52" s="23">
        <f t="shared" si="6"/>
        <v>1.6110535680899374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169.8</v>
      </c>
      <c r="BE52" s="14">
        <f>BD52*VLOOKUP('Données projet'!$B$11,Paramètres!$A$1:$I$89,3,0)*VLOOKUP('Données projet'!$B$11,Paramètres!$A$1:$I$89,5,0)</f>
        <v>143.03952000000001</v>
      </c>
      <c r="BF52" s="14">
        <f t="shared" si="37"/>
        <v>36.992444033168439</v>
      </c>
      <c r="BG52" s="22">
        <f t="shared" si="7"/>
        <v>313.55567069110168</v>
      </c>
      <c r="BH52" s="62">
        <f t="shared" si="8"/>
        <v>606.88900402443505</v>
      </c>
      <c r="BI52" s="62">
        <f ca="1">AVERAGE(OFFSET($BH$3,0,0,'Données projet'!$E$11+1,1))-AVERAGE(OFFSET($H$3,0,0,'Données projet'!$E$11+1,1))</f>
        <v>348.82438445524105</v>
      </c>
      <c r="BJ52" s="62">
        <f t="shared" si="38"/>
        <v>218.26721063098552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1.4838100857902721</v>
      </c>
      <c r="BR52" s="23">
        <f>EXP(-LN(2)/2)*BR51+(1-EXP(-LN(2)/2))/(LN(2)/2)*BL52*BO52*VLOOKUP('Données projet'!$B$11,Paramètres!$A$1:$I$89,3,0)*0.475*44/12</f>
        <v>1.6136339672772691E-2</v>
      </c>
      <c r="BS52" s="24">
        <f t="shared" si="9"/>
        <v>1.4999464254630448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414</v>
      </c>
      <c r="L53" s="13">
        <f>VLOOKUP(A53,'Données projet'!$A$35:$I$55,9,0)</f>
        <v>17.399999999999999</v>
      </c>
      <c r="M53" s="13">
        <f t="array" ref="M53">INDEX(L:L,MIN(IF(ISNUMBER(L53:L249),ROW(L53:L249),"")))</f>
        <v>17.399999999999999</v>
      </c>
      <c r="N53" s="14">
        <f>IF('Données projet'!$A$36&gt;35,N52+M53-V52,IF(A53&lt;'Données projet'!$A$36,$K$205^A53,IF(A53='Données projet'!$A$36,'Données projet'!$B$36,N52+M53-V52)))</f>
        <v>414.00000000000006</v>
      </c>
      <c r="O53" s="14">
        <f>N53*VLOOKUP('Données projet'!$B$9,Paramètres!$A$1:$I$89,3,0)*VLOOKUP('Données projet'!$B$9,Paramètres!$A$1:$I$89,5,0)</f>
        <v>247.57200000000003</v>
      </c>
      <c r="P53" s="14">
        <f t="shared" si="33"/>
        <v>60.065726249156576</v>
      </c>
      <c r="Q53" s="22">
        <f t="shared" si="53"/>
        <v>535.80237321728112</v>
      </c>
      <c r="R53" s="62">
        <f t="shared" si="0"/>
        <v>829.13570655061449</v>
      </c>
      <c r="S53" s="62">
        <f ca="1">AVERAGE(OFFSET($R$3,0,0,'Données projet'!$E$9+1,1))-AVERAGE(OFFSET($H$3,0,0,'Données projet'!$E$9+1,1))</f>
        <v>348.62416478262719</v>
      </c>
      <c r="T53" s="62">
        <f t="shared" si="34"/>
        <v>371.70674704563288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47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3.7694065766581186</v>
      </c>
      <c r="AA53" s="23">
        <f>EXP(-LN(2)/25)*AA52+(1-EXP(-LN(2)/25))/(LN(2)/25)*Calculateur!V53*Calculateur!X53*VLOOKUP('Données projet'!$B$9,Paramètres!$A$1:$I$89,3,0)*0.475*44/12</f>
        <v>6.9713424158213888</v>
      </c>
      <c r="AB53" s="23">
        <f>EXP(-LN(2)/2)*AB52+(1-EXP(-LN(2)/2))/(LN(2)/2)*V53*Y53*VLOOKUP('Données projet'!$B$9,Paramètres!$A$1:$I$89,3,0)*0.475*44/12</f>
        <v>1.6595119771387768E-2</v>
      </c>
      <c r="AC53" s="24">
        <f t="shared" si="3"/>
        <v>10.757344112250895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161.05439999999999</v>
      </c>
      <c r="AK53" s="14">
        <f t="shared" si="35"/>
        <v>41.080247278685491</v>
      </c>
      <c r="AL53" s="22">
        <f t="shared" si="4"/>
        <v>352.05117734371055</v>
      </c>
      <c r="AM53" s="62">
        <f t="shared" si="5"/>
        <v>645.38451067704386</v>
      </c>
      <c r="AN53" s="62">
        <f ca="1">AVERAGE(OFFSET($AM$3,0,0,'Données projet'!$E$10+1,1))-AVERAGE(OFFSET($H$3,0,0,'Données projet'!$E$10+1,1))</f>
        <v>371.7282125501186</v>
      </c>
      <c r="AO53" s="62">
        <f t="shared" si="36"/>
        <v>231.36959598460686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1.5501415336281679</v>
      </c>
      <c r="AW53" s="23">
        <f>EXP(-LN(2)/2)*AW52+(1-EXP(-LN(2)/2))/(LN(2)/2)*AQ53*AT53*VLOOKUP('Données projet'!$B$10,Paramètres!$A$1:$I$89,3,0)*0.475*44/12</f>
        <v>1.2255308925120939E-2</v>
      </c>
      <c r="AX53" s="23">
        <f t="shared" si="6"/>
        <v>1.5623968425532888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178</v>
      </c>
      <c r="BE53" s="14">
        <f>BD53*VLOOKUP('Données projet'!$B$11,Paramètres!$A$1:$I$89,3,0)*VLOOKUP('Données projet'!$B$11,Paramètres!$A$1:$I$89,5,0)</f>
        <v>149.94720000000001</v>
      </c>
      <c r="BF53" s="14">
        <f t="shared" si="37"/>
        <v>38.566586385539779</v>
      </c>
      <c r="BG53" s="22">
        <f t="shared" si="7"/>
        <v>328.32817795481515</v>
      </c>
      <c r="BH53" s="62">
        <f t="shared" si="8"/>
        <v>621.6615112881484</v>
      </c>
      <c r="BI53" s="62">
        <f ca="1">AVERAGE(OFFSET($BH$3,0,0,'Données projet'!$E$11+1,1))-AVERAGE(OFFSET($H$3,0,0,'Données projet'!$E$11+1,1))</f>
        <v>348.82438445524105</v>
      </c>
      <c r="BJ53" s="62">
        <f t="shared" si="38"/>
        <v>218.26721063098552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1.4432352209641559</v>
      </c>
      <c r="BR53" s="23">
        <f>EXP(-LN(2)/2)*BR52+(1-EXP(-LN(2)/2))/(LN(2)/2)*BL53*BO53*VLOOKUP('Données projet'!$B$11,Paramètres!$A$1:$I$89,3,0)*0.475*44/12</f>
        <v>1.1410115206147086E-2</v>
      </c>
      <c r="BS53" s="24">
        <f t="shared" si="9"/>
        <v>1.4546453361703029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19.2</v>
      </c>
      <c r="N54" s="14">
        <f>IF('Données projet'!$A$36&gt;35,N53+M54-V53,IF(A54&lt;'Données projet'!$A$36,$K$205^A54,IF(A54='Données projet'!$A$36,'Données projet'!$B$36,N53+M54-V53)))</f>
        <v>386.20000000000005</v>
      </c>
      <c r="O54" s="14">
        <f>N54*VLOOKUP('Données projet'!$B$9,Paramètres!$A$1:$I$89,3,0)*VLOOKUP('Données projet'!$B$9,Paramètres!$A$1:$I$89,5,0)</f>
        <v>230.94760000000002</v>
      </c>
      <c r="P54" s="14">
        <f t="shared" si="33"/>
        <v>56.487525751065782</v>
      </c>
      <c r="Q54" s="22">
        <f t="shared" si="53"/>
        <v>500.61617734977295</v>
      </c>
      <c r="R54" s="62">
        <f t="shared" si="0"/>
        <v>793.94951068310627</v>
      </c>
      <c r="S54" s="62">
        <f ca="1">AVERAGE(OFFSET($R$3,0,0,'Données projet'!$E$9+1,1))-AVERAGE(OFFSET($H$3,0,0,'Données projet'!$E$9+1,1))</f>
        <v>348.62416478262719</v>
      </c>
      <c r="T54" s="62">
        <f t="shared" si="34"/>
        <v>371.70674704563288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3.6954908128008461</v>
      </c>
      <c r="AA54" s="23">
        <f>EXP(-LN(2)/25)*AA53+(1-EXP(-LN(2)/25))/(LN(2)/25)*Calculateur!V54*Calculateur!X54*VLOOKUP('Données projet'!$B$9,Paramètres!$A$1:$I$89,3,0)*0.475*44/12</f>
        <v>6.7807106908537884</v>
      </c>
      <c r="AB54" s="23">
        <f>EXP(-LN(2)/2)*AB53+(1-EXP(-LN(2)/2))/(LN(2)/2)*V54*Y54*VLOOKUP('Données projet'!$B$9,Paramètres!$A$1:$I$89,3,0)*0.475*44/12</f>
        <v>1.1734521724951239E-2</v>
      </c>
      <c r="AC54" s="24">
        <f t="shared" si="3"/>
        <v>10.487936025379586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2">
        <f t="shared" si="5"/>
        <v>620.26096644164511</v>
      </c>
      <c r="AN54" s="62">
        <f ca="1">AVERAGE(OFFSET($AM$3,0,0,'Données projet'!$E$10+1,1))-AVERAGE(OFFSET($H$3,0,0,'Données projet'!$E$10+1,1))</f>
        <v>371.7282125501186</v>
      </c>
      <c r="AO54" s="62">
        <f t="shared" si="36"/>
        <v>231.36959598460686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1.5077528318727054</v>
      </c>
      <c r="AW54" s="23">
        <f>EXP(-LN(2)/2)*AW53+(1-EXP(-LN(2)/2))/(LN(2)/2)*AQ54*AT54*VLOOKUP('Données projet'!$B$10,Paramètres!$A$1:$I$89,3,0)*0.475*44/12</f>
        <v>8.665812046489035E-3</v>
      </c>
      <c r="AX54" s="23">
        <f t="shared" si="6"/>
        <v>1.5164186439191945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138.99600000000001</v>
      </c>
      <c r="BF54" s="14">
        <f t="shared" si="37"/>
        <v>36.066906938767758</v>
      </c>
      <c r="BG54" s="22">
        <f t="shared" si="7"/>
        <v>304.90122958502047</v>
      </c>
      <c r="BH54" s="62">
        <f t="shared" si="8"/>
        <v>598.23456291835373</v>
      </c>
      <c r="BI54" s="62">
        <f ca="1">AVERAGE(OFFSET($BH$3,0,0,'Données projet'!$E$11+1,1))-AVERAGE(OFFSET($H$3,0,0,'Données projet'!$E$11+1,1))</f>
        <v>348.82438445524105</v>
      </c>
      <c r="BJ54" s="62">
        <f t="shared" si="38"/>
        <v>218.26721063098552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1.4037698779504493</v>
      </c>
      <c r="BR54" s="23">
        <f>EXP(-LN(2)/2)*BR53+(1-EXP(-LN(2)/2))/(LN(2)/2)*BL54*BO54*VLOOKUP('Données projet'!$B$11,Paramètres!$A$1:$I$89,3,0)*0.475*44/12</f>
        <v>8.0681698363863456E-3</v>
      </c>
      <c r="BS54" s="24">
        <f t="shared" si="9"/>
        <v>1.4118380477868355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19.2</v>
      </c>
      <c r="N55" s="14">
        <f>IF('Données projet'!$A$36&gt;35,N54+M55-V54,IF(A55&lt;'Données projet'!$A$36,$K$205^A55,IF(A55='Données projet'!$A$36,'Données projet'!$B$36,N54+M55-V54)))</f>
        <v>405.40000000000003</v>
      </c>
      <c r="O55" s="14">
        <f>N55*VLOOKUP('Données projet'!$B$9,Paramètres!$A$1:$I$89,3,0)*VLOOKUP('Données projet'!$B$9,Paramètres!$A$1:$I$89,5,0)</f>
        <v>242.42920000000007</v>
      </c>
      <c r="P55" s="14">
        <f t="shared" si="33"/>
        <v>58.961877963646693</v>
      </c>
      <c r="Q55" s="22">
        <f t="shared" si="53"/>
        <v>524.92279412001812</v>
      </c>
      <c r="R55" s="62">
        <f t="shared" si="0"/>
        <v>818.25612745335138</v>
      </c>
      <c r="S55" s="62">
        <f ca="1">AVERAGE(OFFSET($R$3,0,0,'Données projet'!$E$9+1,1))-AVERAGE(OFFSET($H$3,0,0,'Données projet'!$E$9+1,1))</f>
        <v>348.62416478262719</v>
      </c>
      <c r="T55" s="62">
        <f t="shared" si="34"/>
        <v>371.70674704563288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3.6230244919886507</v>
      </c>
      <c r="AA55" s="23">
        <f>EXP(-LN(2)/25)*AA54+(1-EXP(-LN(2)/25))/(LN(2)/25)*Calculateur!V55*Calculateur!X55*VLOOKUP('Données projet'!$B$9,Paramètres!$A$1:$I$89,3,0)*0.475*44/12</f>
        <v>6.5952918004303136</v>
      </c>
      <c r="AB55" s="23">
        <f>EXP(-LN(2)/2)*AB54+(1-EXP(-LN(2)/2))/(LN(2)/2)*V55*Y55*VLOOKUP('Données projet'!$B$9,Paramètres!$A$1:$I$89,3,0)*0.475*44/12</f>
        <v>8.297559885693884E-3</v>
      </c>
      <c r="AC55" s="24">
        <f t="shared" si="3"/>
        <v>10.226613852304659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2">
        <f t="shared" si="5"/>
        <v>635.72643681712532</v>
      </c>
      <c r="AN55" s="62">
        <f ca="1">AVERAGE(OFFSET($AM$3,0,0,'Données projet'!$E$10+1,1))-AVERAGE(OFFSET($H$3,0,0,'Données projet'!$E$10+1,1))</f>
        <v>371.7282125501186</v>
      </c>
      <c r="AO55" s="62">
        <f t="shared" si="36"/>
        <v>231.36959598460686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1.4665232513958708</v>
      </c>
      <c r="AW55" s="23">
        <f>EXP(-LN(2)/2)*AW54+(1-EXP(-LN(2)/2))/(LN(2)/2)*AQ55*AT55*VLOOKUP('Données projet'!$B$10,Paramètres!$A$1:$I$89,3,0)*0.475*44/12</f>
        <v>6.1276544625604697E-3</v>
      </c>
      <c r="AX55" s="23">
        <f t="shared" si="6"/>
        <v>1.4726509058584312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145.73520000000002</v>
      </c>
      <c r="BF55" s="14">
        <f t="shared" si="37"/>
        <v>37.607773527116258</v>
      </c>
      <c r="BG55" s="22">
        <f t="shared" si="7"/>
        <v>319.32234555972747</v>
      </c>
      <c r="BH55" s="62">
        <f t="shared" si="8"/>
        <v>612.65567889306078</v>
      </c>
      <c r="BI55" s="62">
        <f ca="1">AVERAGE(OFFSET($BH$3,0,0,'Données projet'!$E$11+1,1))-AVERAGE(OFFSET($H$3,0,0,'Données projet'!$E$11+1,1))</f>
        <v>348.82438445524105</v>
      </c>
      <c r="BJ55" s="62">
        <f t="shared" si="38"/>
        <v>218.26721063098552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1.3653837168168448</v>
      </c>
      <c r="BR55" s="23">
        <f>EXP(-LN(2)/2)*BR54+(1-EXP(-LN(2)/2))/(LN(2)/2)*BL55*BO55*VLOOKUP('Données projet'!$B$11,Paramètres!$A$1:$I$89,3,0)*0.475*44/12</f>
        <v>5.7050576030735429E-3</v>
      </c>
      <c r="BS55" s="24">
        <f t="shared" si="9"/>
        <v>1.3710887744199183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19.2</v>
      </c>
      <c r="N56" s="14">
        <f>IF('Données projet'!$A$36&gt;35,N55+M56-V55,IF(A56&lt;'Données projet'!$A$36,$K$205^A56,IF(A56='Données projet'!$A$36,'Données projet'!$B$36,N55+M56-V55)))</f>
        <v>424.6</v>
      </c>
      <c r="O56" s="14">
        <f>N56*VLOOKUP('Données projet'!$B$9,Paramètres!$A$1:$I$89,3,0)*VLOOKUP('Données projet'!$B$9,Paramètres!$A$1:$I$89,5,0)</f>
        <v>253.91080000000005</v>
      </c>
      <c r="P56" s="14">
        <f t="shared" si="33"/>
        <v>61.422621781167194</v>
      </c>
      <c r="Q56" s="22">
        <f t="shared" si="53"/>
        <v>549.20570960219959</v>
      </c>
      <c r="R56" s="62">
        <f t="shared" si="0"/>
        <v>842.53904293553296</v>
      </c>
      <c r="S56" s="62">
        <f ca="1">AVERAGE(OFFSET($R$3,0,0,'Données projet'!$E$9+1,1))-AVERAGE(OFFSET($H$3,0,0,'Données projet'!$E$9+1,1))</f>
        <v>348.62416478262719</v>
      </c>
      <c r="T56" s="62">
        <f t="shared" si="34"/>
        <v>371.70674704563288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3.551979191527491</v>
      </c>
      <c r="AA56" s="23">
        <f>EXP(-LN(2)/25)*AA55+(1-EXP(-LN(2)/25))/(LN(2)/25)*Calculateur!V56*Calculateur!X56*VLOOKUP('Données projet'!$B$9,Paramètres!$A$1:$I$89,3,0)*0.475*44/12</f>
        <v>6.4149431993162249</v>
      </c>
      <c r="AB56" s="23">
        <f>EXP(-LN(2)/2)*AB55+(1-EXP(-LN(2)/2))/(LN(2)/2)*V56*Y56*VLOOKUP('Données projet'!$B$9,Paramètres!$A$1:$I$89,3,0)*0.475*44/12</f>
        <v>5.8672608624756196E-3</v>
      </c>
      <c r="AC56" s="24">
        <f t="shared" si="3"/>
        <v>9.9727896517061918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2">
        <f t="shared" si="5"/>
        <v>651.17655593527957</v>
      </c>
      <c r="AN56" s="62">
        <f ca="1">AVERAGE(OFFSET($AM$3,0,0,'Données projet'!$E$10+1,1))-AVERAGE(OFFSET($H$3,0,0,'Données projet'!$E$10+1,1))</f>
        <v>371.7282125501186</v>
      </c>
      <c r="AO56" s="62">
        <f t="shared" si="36"/>
        <v>231.36959598460686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1.4264210959653447</v>
      </c>
      <c r="AW56" s="23">
        <f>EXP(-LN(2)/2)*AW55+(1-EXP(-LN(2)/2))/(LN(2)/2)*AQ56*AT56*VLOOKUP('Données projet'!$B$10,Paramètres!$A$1:$I$89,3,0)*0.475*44/12</f>
        <v>4.3329060232445175E-3</v>
      </c>
      <c r="AX56" s="23">
        <f t="shared" si="6"/>
        <v>1.4307540019885892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152.47440000000003</v>
      </c>
      <c r="BF56" s="14">
        <f t="shared" si="37"/>
        <v>39.140365323908171</v>
      </c>
      <c r="BG56" s="22">
        <f t="shared" si="7"/>
        <v>333.72904960580678</v>
      </c>
      <c r="BH56" s="62">
        <f t="shared" si="8"/>
        <v>627.06238293914009</v>
      </c>
      <c r="BI56" s="62">
        <f ca="1">AVERAGE(OFFSET($BH$3,0,0,'Données projet'!$E$11+1,1))-AVERAGE(OFFSET($H$3,0,0,'Données projet'!$E$11+1,1))</f>
        <v>348.82438445524105</v>
      </c>
      <c r="BJ56" s="62">
        <f t="shared" si="38"/>
        <v>218.26721063098552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1.3280472272780792</v>
      </c>
      <c r="BR56" s="23">
        <f>EXP(-LN(2)/2)*BR55+(1-EXP(-LN(2)/2))/(LN(2)/2)*BL56*BO56*VLOOKUP('Données projet'!$B$11,Paramètres!$A$1:$I$89,3,0)*0.475*44/12</f>
        <v>4.0340849181931728E-3</v>
      </c>
      <c r="BS56" s="24">
        <f t="shared" si="9"/>
        <v>1.3320813121962725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19.2</v>
      </c>
      <c r="N57" s="14">
        <f>IF('Données projet'!$A$36&gt;35,N56+M57-V56,IF(A57&lt;'Données projet'!$A$36,$K$205^A57,IF(A57='Données projet'!$A$36,'Données projet'!$B$36,N56+M57-V56)))</f>
        <v>443.8</v>
      </c>
      <c r="O57" s="14">
        <f>N57*VLOOKUP('Données projet'!$B$9,Paramètres!$A$1:$I$89,3,0)*VLOOKUP('Données projet'!$B$9,Paramètres!$A$1:$I$89,5,0)</f>
        <v>265.39240000000007</v>
      </c>
      <c r="P57" s="14">
        <f t="shared" si="33"/>
        <v>63.870442862391819</v>
      </c>
      <c r="Q57" s="22">
        <f t="shared" si="53"/>
        <v>573.46611798533252</v>
      </c>
      <c r="R57" s="62">
        <f t="shared" si="0"/>
        <v>866.79945131866589</v>
      </c>
      <c r="S57" s="62">
        <f ca="1">AVERAGE(OFFSET($R$3,0,0,'Données projet'!$E$9+1,1))-AVERAGE(OFFSET($H$3,0,0,'Données projet'!$E$9+1,1))</f>
        <v>348.62416478262719</v>
      </c>
      <c r="T57" s="62">
        <f t="shared" si="34"/>
        <v>371.70674704563288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3.4823270460750204</v>
      </c>
      <c r="AA57" s="23">
        <f>EXP(-LN(2)/25)*AA56+(1-EXP(-LN(2)/25))/(LN(2)/25)*Calculateur!V57*Calculateur!X57*VLOOKUP('Données projet'!$B$9,Paramètres!$A$1:$I$89,3,0)*0.475*44/12</f>
        <v>6.2395262401837215</v>
      </c>
      <c r="AB57" s="23">
        <f>EXP(-LN(2)/2)*AB56+(1-EXP(-LN(2)/2))/(LN(2)/2)*V57*Y57*VLOOKUP('Données projet'!$B$9,Paramètres!$A$1:$I$89,3,0)*0.475*44/12</f>
        <v>4.148779942846942E-3</v>
      </c>
      <c r="AC57" s="24">
        <f t="shared" si="3"/>
        <v>9.7260020662015894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2">
        <f t="shared" si="5"/>
        <v>666.61207984061377</v>
      </c>
      <c r="AN57" s="62">
        <f ca="1">AVERAGE(OFFSET($AM$3,0,0,'Données projet'!$E$10+1,1))-AVERAGE(OFFSET($H$3,0,0,'Données projet'!$E$10+1,1))</f>
        <v>371.7282125501186</v>
      </c>
      <c r="AO57" s="62">
        <f t="shared" si="36"/>
        <v>231.36959598460686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1.3874155360839471</v>
      </c>
      <c r="AW57" s="23">
        <f>EXP(-LN(2)/2)*AW56+(1-EXP(-LN(2)/2))/(LN(2)/2)*AQ57*AT57*VLOOKUP('Données projet'!$B$10,Paramètres!$A$1:$I$89,3,0)*0.475*44/12</f>
        <v>3.0638272312802349E-3</v>
      </c>
      <c r="AX57" s="23">
        <f t="shared" si="6"/>
        <v>1.3904793633152273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159.21360000000001</v>
      </c>
      <c r="BF57" s="14">
        <f t="shared" si="37"/>
        <v>40.665089859977108</v>
      </c>
      <c r="BG57" s="22">
        <f t="shared" si="7"/>
        <v>348.12205150612681</v>
      </c>
      <c r="BH57" s="62">
        <f t="shared" si="8"/>
        <v>641.45538483946007</v>
      </c>
      <c r="BI57" s="62">
        <f ca="1">AVERAGE(OFFSET($BH$3,0,0,'Données projet'!$E$11+1,1))-AVERAGE(OFFSET($H$3,0,0,'Données projet'!$E$11+1,1))</f>
        <v>348.82438445524105</v>
      </c>
      <c r="BJ57" s="62">
        <f t="shared" si="38"/>
        <v>218.26721063098552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1.2917317060091917</v>
      </c>
      <c r="BR57" s="23">
        <f>EXP(-LN(2)/2)*BR56+(1-EXP(-LN(2)/2))/(LN(2)/2)*BL57*BO57*VLOOKUP('Données projet'!$B$11,Paramètres!$A$1:$I$89,3,0)*0.475*44/12</f>
        <v>2.8525288015367714E-3</v>
      </c>
      <c r="BS57" s="24">
        <f t="shared" si="9"/>
        <v>1.2945842348107286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463</v>
      </c>
      <c r="L58" s="13">
        <f>VLOOKUP(A58,'Données projet'!$A$35:$I$55,9,0)</f>
        <v>19.2</v>
      </c>
      <c r="M58" s="13">
        <f t="array" ref="M58">INDEX(L:L,MIN(IF(ISNUMBER(L58:L254),ROW(L58:L254),"")))</f>
        <v>19.2</v>
      </c>
      <c r="N58" s="14">
        <f>IF('Données projet'!$A$36&gt;35,N57+M58-V57,IF(A58&lt;'Données projet'!$A$36,$K$205^A58,IF(A58='Données projet'!$A$36,'Données projet'!$B$36,N57+M58-V57)))</f>
        <v>463</v>
      </c>
      <c r="O58" s="14">
        <f>N58*VLOOKUP('Données projet'!$B$9,Paramètres!$A$1:$I$89,3,0)*VLOOKUP('Données projet'!$B$9,Paramètres!$A$1:$I$89,5,0)</f>
        <v>276.87400000000002</v>
      </c>
      <c r="P58" s="14">
        <f t="shared" si="33"/>
        <v>66.305964184031993</v>
      </c>
      <c r="Q58" s="22">
        <f t="shared" si="53"/>
        <v>597.7051042871891</v>
      </c>
      <c r="R58" s="62">
        <f t="shared" si="0"/>
        <v>891.03843762052247</v>
      </c>
      <c r="S58" s="62">
        <f ca="1">AVERAGE(OFFSET($R$3,0,0,'Données projet'!$E$9+1,1))-AVERAGE(OFFSET($H$3,0,0,'Données projet'!$E$9+1,1))</f>
        <v>348.62416478262719</v>
      </c>
      <c r="T58" s="62">
        <f t="shared" si="34"/>
        <v>371.70674704563288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48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3.4140407367112586</v>
      </c>
      <c r="AA58" s="23">
        <f>EXP(-LN(2)/25)*AA57+(1-EXP(-LN(2)/25))/(LN(2)/25)*Calculateur!V58*Calculateur!X58*VLOOKUP('Données projet'!$B$9,Paramètres!$A$1:$I$89,3,0)*0.475*44/12</f>
        <v>6.0689060670234731</v>
      </c>
      <c r="AB58" s="23">
        <f>EXP(-LN(2)/2)*AB57+(1-EXP(-LN(2)/2))/(LN(2)/2)*V58*Y58*VLOOKUP('Données projet'!$B$9,Paramètres!$A$1:$I$89,3,0)*0.475*44/12</f>
        <v>2.9336304312378098E-3</v>
      </c>
      <c r="AC58" s="24">
        <f t="shared" si="3"/>
        <v>9.4858804341659706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2">
        <f t="shared" si="5"/>
        <v>682.03369695342735</v>
      </c>
      <c r="AN58" s="62">
        <f ca="1">AVERAGE(OFFSET($AM$3,0,0,'Données projet'!$E$10+1,1))-AVERAGE(OFFSET($H$3,0,0,'Données projet'!$E$10+1,1))</f>
        <v>371.7282125501186</v>
      </c>
      <c r="AO58" s="62">
        <f t="shared" si="36"/>
        <v>231.36959598460686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1.3494765852887194</v>
      </c>
      <c r="AW58" s="23">
        <f>EXP(-LN(2)/2)*AW57+(1-EXP(-LN(2)/2))/(LN(2)/2)*AQ58*AT58*VLOOKUP('Données projet'!$B$10,Paramètres!$A$1:$I$89,3,0)*0.475*44/12</f>
        <v>2.1664530116222588E-3</v>
      </c>
      <c r="AX58" s="23">
        <f t="shared" si="6"/>
        <v>1.3516430383003417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165.95280000000002</v>
      </c>
      <c r="BF58" s="14">
        <f t="shared" si="37"/>
        <v>42.182318214665827</v>
      </c>
      <c r="BG58" s="22">
        <f t="shared" si="7"/>
        <v>362.50199755720968</v>
      </c>
      <c r="BH58" s="62">
        <f t="shared" si="8"/>
        <v>655.83533089054299</v>
      </c>
      <c r="BI58" s="62">
        <f ca="1">AVERAGE(OFFSET($BH$3,0,0,'Données projet'!$E$11+1,1))-AVERAGE(OFFSET($H$3,0,0,'Données projet'!$E$11+1,1))</f>
        <v>348.82438445524105</v>
      </c>
      <c r="BJ58" s="62">
        <f t="shared" si="38"/>
        <v>218.26721063098552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1.2564092345791522</v>
      </c>
      <c r="BR58" s="23">
        <f>EXP(-LN(2)/2)*BR57+(1-EXP(-LN(2)/2))/(LN(2)/2)*BL58*BO58*VLOOKUP('Données projet'!$B$11,Paramètres!$A$1:$I$89,3,0)*0.475*44/12</f>
        <v>2.0170424590965864E-3</v>
      </c>
      <c r="BS58" s="24">
        <f t="shared" si="9"/>
        <v>1.2584262770382488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17</v>
      </c>
      <c r="N59" s="14">
        <f>IF('Données projet'!$A$36&gt;35,N58+M59-V58,IF(A59&lt;'Données projet'!$A$36,$K$205^A59,IF(A59='Données projet'!$A$36,'Données projet'!$B$36,N58+M59-V58)))</f>
        <v>432</v>
      </c>
      <c r="O59" s="14">
        <f>N59*VLOOKUP('Données projet'!$B$9,Paramètres!$A$1:$I$89,3,0)*VLOOKUP('Données projet'!$B$9,Paramètres!$A$1:$I$89,5,0)</f>
        <v>258.33600000000001</v>
      </c>
      <c r="P59" s="14">
        <f t="shared" si="33"/>
        <v>62.367547966451262</v>
      </c>
      <c r="Q59" s="22">
        <f t="shared" si="53"/>
        <v>558.55867937490257</v>
      </c>
      <c r="R59" s="62">
        <f t="shared" si="0"/>
        <v>851.89201270823582</v>
      </c>
      <c r="S59" s="62">
        <f ca="1">AVERAGE(OFFSET($R$3,0,0,'Données projet'!$E$9+1,1))-AVERAGE(OFFSET($H$3,0,0,'Données projet'!$E$9+1,1))</f>
        <v>348.62416478262719</v>
      </c>
      <c r="T59" s="62">
        <f t="shared" si="34"/>
        <v>371.70674704563288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3.3470934802235845</v>
      </c>
      <c r="AA59" s="23">
        <f>EXP(-LN(2)/25)*AA58+(1-EXP(-LN(2)/25))/(LN(2)/25)*Calculateur!V59*Calculateur!X59*VLOOKUP('Données projet'!$B$9,Paramètres!$A$1:$I$89,3,0)*0.475*44/12</f>
        <v>5.9029515114708166</v>
      </c>
      <c r="AB59" s="23">
        <f>EXP(-LN(2)/2)*AB58+(1-EXP(-LN(2)/2))/(LN(2)/2)*V59*Y59*VLOOKUP('Données projet'!$B$9,Paramètres!$A$1:$I$89,3,0)*0.475*44/12</f>
        <v>2.074389971423471E-3</v>
      </c>
      <c r="AC59" s="24">
        <f t="shared" si="3"/>
        <v>9.2521193816658247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166.12127999999998</v>
      </c>
      <c r="AK59" s="14">
        <f t="shared" si="35"/>
        <v>42.220155874487318</v>
      </c>
      <c r="AL59" s="22">
        <f t="shared" si="4"/>
        <v>362.8613341480654</v>
      </c>
      <c r="AM59" s="62">
        <f t="shared" si="5"/>
        <v>656.19466748139871</v>
      </c>
      <c r="AN59" s="62">
        <f ca="1">AVERAGE(OFFSET($AM$3,0,0,'Données projet'!$E$10+1,1))-AVERAGE(OFFSET($H$3,0,0,'Données projet'!$E$10+1,1))</f>
        <v>371.7282125501186</v>
      </c>
      <c r="AO59" s="62">
        <f t="shared" si="36"/>
        <v>231.36959598460686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1.3125750770981099</v>
      </c>
      <c r="AW59" s="23">
        <f>EXP(-LN(2)/2)*AW58+(1-EXP(-LN(2)/2))/(LN(2)/2)*AQ59*AT59*VLOOKUP('Données projet'!$B$10,Paramètres!$A$1:$I$89,3,0)*0.475*44/12</f>
        <v>1.5319136156401174E-3</v>
      </c>
      <c r="AX59" s="23">
        <f t="shared" si="6"/>
        <v>1.3141069907137501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183.6</v>
      </c>
      <c r="BE59" s="14">
        <f>BD59*VLOOKUP('Données projet'!$B$11,Paramètres!$A$1:$I$89,3,0)*VLOOKUP('Données projet'!$B$11,Paramètres!$A$1:$I$89,5,0)</f>
        <v>154.66464000000002</v>
      </c>
      <c r="BF59" s="14">
        <f t="shared" si="37"/>
        <v>39.636745068698936</v>
      </c>
      <c r="BG59" s="22">
        <f t="shared" si="7"/>
        <v>338.40824566131732</v>
      </c>
      <c r="BH59" s="62">
        <f t="shared" si="8"/>
        <v>631.74157899465058</v>
      </c>
      <c r="BI59" s="62">
        <f ca="1">AVERAGE(OFFSET($BH$3,0,0,'Données projet'!$E$11+1,1))-AVERAGE(OFFSET($H$3,0,0,'Données projet'!$E$11+1,1))</f>
        <v>348.82438445524105</v>
      </c>
      <c r="BJ59" s="62">
        <f t="shared" si="38"/>
        <v>218.26721063098552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1.2220526579878952</v>
      </c>
      <c r="BR59" s="23">
        <f>EXP(-LN(2)/2)*BR58+(1-EXP(-LN(2)/2))/(LN(2)/2)*BL59*BO59*VLOOKUP('Données projet'!$B$11,Paramètres!$A$1:$I$89,3,0)*0.475*44/12</f>
        <v>1.4262644007683857E-3</v>
      </c>
      <c r="BS59" s="24">
        <f t="shared" si="9"/>
        <v>1.2234789223886635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</v>
      </c>
      <c r="N60" s="14">
        <f>IF('Données projet'!$A$36&gt;35,N59+M60-V59,IF(A60&lt;'Données projet'!$A$36,$K$205^A60,IF(A60='Données projet'!$A$36,'Données projet'!$B$36,N59+M60-V59)))</f>
        <v>449</v>
      </c>
      <c r="O60" s="14">
        <f>N60*VLOOKUP('Données projet'!$B$9,Paramètres!$A$1:$I$89,3,0)*VLOOKUP('Données projet'!$B$9,Paramètres!$A$1:$I$89,5,0)</f>
        <v>268.50200000000001</v>
      </c>
      <c r="P60" s="14">
        <f t="shared" si="33"/>
        <v>64.531253013339168</v>
      </c>
      <c r="Q60" s="22">
        <f t="shared" si="53"/>
        <v>580.03291566489895</v>
      </c>
      <c r="R60" s="62">
        <f t="shared" si="0"/>
        <v>873.36624899823232</v>
      </c>
      <c r="S60" s="62">
        <f ca="1">AVERAGE(OFFSET($R$3,0,0,'Données projet'!$E$9+1,1))-AVERAGE(OFFSET($H$3,0,0,'Données projet'!$E$9+1,1))</f>
        <v>348.62416478262719</v>
      </c>
      <c r="T60" s="62">
        <f t="shared" si="34"/>
        <v>371.70674704563288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3.2814590186018391</v>
      </c>
      <c r="AA60" s="23">
        <f>EXP(-LN(2)/25)*AA59+(1-EXP(-LN(2)/25))/(LN(2)/25)*Calculateur!V60*Calculateur!X60*VLOOKUP('Données projet'!$B$9,Paramètres!$A$1:$I$89,3,0)*0.475*44/12</f>
        <v>5.741534991966919</v>
      </c>
      <c r="AB60" s="23">
        <f>EXP(-LN(2)/2)*AB59+(1-EXP(-LN(2)/2))/(LN(2)/2)*V60*Y60*VLOOKUP('Données projet'!$B$9,Paramètres!$A$1:$I$89,3,0)*0.475*44/12</f>
        <v>1.4668152156189049E-3</v>
      </c>
      <c r="AC60" s="24">
        <f t="shared" si="3"/>
        <v>9.0244608257843772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172.99775999999997</v>
      </c>
      <c r="AK60" s="14">
        <f t="shared" si="35"/>
        <v>43.760737531919609</v>
      </c>
      <c r="AL60" s="22">
        <f t="shared" si="4"/>
        <v>377.52104986809326</v>
      </c>
      <c r="AM60" s="62">
        <f t="shared" si="5"/>
        <v>670.85438320142657</v>
      </c>
      <c r="AN60" s="62">
        <f ca="1">AVERAGE(OFFSET($AM$3,0,0,'Données projet'!$E$10+1,1))-AVERAGE(OFFSET($H$3,0,0,'Données projet'!$E$10+1,1))</f>
        <v>371.7282125501186</v>
      </c>
      <c r="AO60" s="62">
        <f t="shared" si="36"/>
        <v>231.36959598460686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1.2766826425895388</v>
      </c>
      <c r="AW60" s="23">
        <f>EXP(-LN(2)/2)*AW59+(1-EXP(-LN(2)/2))/(LN(2)/2)*AQ60*AT60*VLOOKUP('Données projet'!$B$10,Paramètres!$A$1:$I$89,3,0)*0.475*44/12</f>
        <v>1.0832265058111294E-3</v>
      </c>
      <c r="AX60" s="23">
        <f t="shared" si="6"/>
        <v>1.2777658690953499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191.2</v>
      </c>
      <c r="BE60" s="14">
        <f>BD60*VLOOKUP('Données projet'!$B$11,Paramètres!$A$1:$I$89,3,0)*VLOOKUP('Données projet'!$B$11,Paramètres!$A$1:$I$89,5,0)</f>
        <v>161.06688000000003</v>
      </c>
      <c r="BF60" s="14">
        <f t="shared" si="37"/>
        <v>41.083060013501324</v>
      </c>
      <c r="BG60" s="22">
        <f t="shared" si="7"/>
        <v>352.07781219018153</v>
      </c>
      <c r="BH60" s="62">
        <f t="shared" si="8"/>
        <v>645.41114552351485</v>
      </c>
      <c r="BI60" s="62">
        <f ca="1">AVERAGE(OFFSET($BH$3,0,0,'Données projet'!$E$11+1,1))-AVERAGE(OFFSET($H$3,0,0,'Données projet'!$E$11+1,1))</f>
        <v>348.82438445524105</v>
      </c>
      <c r="BJ60" s="62">
        <f t="shared" si="38"/>
        <v>218.26721063098552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1.1886355637902599</v>
      </c>
      <c r="BR60" s="23">
        <f>EXP(-LN(2)/2)*BR59+(1-EXP(-LN(2)/2))/(LN(2)/2)*BL60*BO60*VLOOKUP('Données projet'!$B$11,Paramètres!$A$1:$I$89,3,0)*0.475*44/12</f>
        <v>1.0085212295482932E-3</v>
      </c>
      <c r="BS60" s="24">
        <f t="shared" si="9"/>
        <v>1.1896440850198082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17</v>
      </c>
      <c r="N61" s="14">
        <f>IF('Données projet'!$A$36&gt;35,N60+M61-V60,IF(A61&lt;'Données projet'!$A$36,$K$205^A61,IF(A61='Données projet'!$A$36,'Données projet'!$B$36,N60+M61-V60)))</f>
        <v>466</v>
      </c>
      <c r="O61" s="14">
        <f>N61*VLOOKUP('Données projet'!$B$9,Paramètres!$A$1:$I$89,3,0)*VLOOKUP('Données projet'!$B$9,Paramètres!$A$1:$I$89,5,0)</f>
        <v>278.66800000000001</v>
      </c>
      <c r="P61" s="14">
        <f t="shared" si="33"/>
        <v>66.685440917424543</v>
      </c>
      <c r="Q61" s="22">
        <f t="shared" si="53"/>
        <v>601.49057626451452</v>
      </c>
      <c r="R61" s="62">
        <f t="shared" si="0"/>
        <v>894.82390959784789</v>
      </c>
      <c r="S61" s="62">
        <f ca="1">AVERAGE(OFFSET($R$3,0,0,'Données projet'!$E$9+1,1))-AVERAGE(OFFSET($H$3,0,0,'Données projet'!$E$9+1,1))</f>
        <v>348.62416478262719</v>
      </c>
      <c r="T61" s="62">
        <f t="shared" si="34"/>
        <v>371.70674704563288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3.2171116087394274</v>
      </c>
      <c r="AA61" s="23">
        <f>EXP(-LN(2)/25)*AA60+(1-EXP(-LN(2)/25))/(LN(2)/25)*Calculateur!V61*Calculateur!X61*VLOOKUP('Données projet'!$B$9,Paramètres!$A$1:$I$89,3,0)*0.475*44/12</f>
        <v>5.5845324156773808</v>
      </c>
      <c r="AB61" s="23">
        <f>EXP(-LN(2)/2)*AB60+(1-EXP(-LN(2)/2))/(LN(2)/2)*V61*Y61*VLOOKUP('Données projet'!$B$9,Paramètres!$A$1:$I$89,3,0)*0.475*44/12</f>
        <v>1.0371949857117355E-3</v>
      </c>
      <c r="AC61" s="24">
        <f t="shared" si="3"/>
        <v>8.802681219402519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179.87423999999999</v>
      </c>
      <c r="AK61" s="14">
        <f t="shared" si="35"/>
        <v>45.294205745553846</v>
      </c>
      <c r="AL61" s="22">
        <f t="shared" si="4"/>
        <v>392.16837634017293</v>
      </c>
      <c r="AM61" s="62">
        <f t="shared" si="5"/>
        <v>685.50170967350618</v>
      </c>
      <c r="AN61" s="62">
        <f ca="1">AVERAGE(OFFSET($AM$3,0,0,'Données projet'!$E$10+1,1))-AVERAGE(OFFSET($H$3,0,0,'Données projet'!$E$10+1,1))</f>
        <v>371.7282125501186</v>
      </c>
      <c r="AO61" s="62">
        <f t="shared" si="36"/>
        <v>231.36959598460686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1.2417716885901056</v>
      </c>
      <c r="AW61" s="23">
        <f>EXP(-LN(2)/2)*AW60+(1-EXP(-LN(2)/2))/(LN(2)/2)*AQ61*AT61*VLOOKUP('Données projet'!$B$10,Paramètres!$A$1:$I$89,3,0)*0.475*44/12</f>
        <v>7.6595680782005871E-4</v>
      </c>
      <c r="AX61" s="23">
        <f t="shared" si="6"/>
        <v>1.2425376453979255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198.79999999999998</v>
      </c>
      <c r="BE61" s="14">
        <f>BD61*VLOOKUP('Données projet'!$B$11,Paramètres!$A$1:$I$89,3,0)*VLOOKUP('Données projet'!$B$11,Paramètres!$A$1:$I$89,5,0)</f>
        <v>167.46912</v>
      </c>
      <c r="BF61" s="14">
        <f t="shared" si="37"/>
        <v>42.52269677930262</v>
      </c>
      <c r="BG61" s="22">
        <f t="shared" si="7"/>
        <v>365.73574755728538</v>
      </c>
      <c r="BH61" s="62">
        <f t="shared" si="8"/>
        <v>659.06908089061869</v>
      </c>
      <c r="BI61" s="62">
        <f ca="1">AVERAGE(OFFSET($BH$3,0,0,'Données projet'!$E$11+1,1))-AVERAGE(OFFSET($H$3,0,0,'Données projet'!$E$11+1,1))</f>
        <v>348.82438445524105</v>
      </c>
      <c r="BJ61" s="62">
        <f t="shared" si="38"/>
        <v>218.26721063098552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1.1561322617907877</v>
      </c>
      <c r="BR61" s="23">
        <f>EXP(-LN(2)/2)*BR60+(1-EXP(-LN(2)/2))/(LN(2)/2)*BL61*BO61*VLOOKUP('Données projet'!$B$11,Paramètres!$A$1:$I$89,3,0)*0.475*44/12</f>
        <v>7.1313220038419286E-4</v>
      </c>
      <c r="BS61" s="24">
        <f t="shared" si="9"/>
        <v>1.1568453939911718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17</v>
      </c>
      <c r="N62" s="14">
        <f>IF('Données projet'!$A$36&gt;35,N61+M62-V61,IF(A62&lt;'Données projet'!$A$36,$K$205^A62,IF(A62='Données projet'!$A$36,'Données projet'!$B$36,N61+M62-V61)))</f>
        <v>483</v>
      </c>
      <c r="O62" s="14">
        <f>N62*VLOOKUP('Données projet'!$B$9,Paramètres!$A$1:$I$89,3,0)*VLOOKUP('Données projet'!$B$9,Paramètres!$A$1:$I$89,5,0)</f>
        <v>288.834</v>
      </c>
      <c r="P62" s="14">
        <f t="shared" si="33"/>
        <v>68.830498636563377</v>
      </c>
      <c r="Q62" s="22">
        <f t="shared" si="53"/>
        <v>622.93233512534789</v>
      </c>
      <c r="R62" s="62">
        <f t="shared" si="0"/>
        <v>916.26566845868115</v>
      </c>
      <c r="S62" s="62">
        <f ca="1">AVERAGE(OFFSET($R$3,0,0,'Données projet'!$E$9+1,1))-AVERAGE(OFFSET($H$3,0,0,'Données projet'!$E$9+1,1))</f>
        <v>348.62416478262719</v>
      </c>
      <c r="T62" s="62">
        <f t="shared" si="34"/>
        <v>371.70674704563288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3.1540260123363728</v>
      </c>
      <c r="AA62" s="23">
        <f>EXP(-LN(2)/25)*AA61+(1-EXP(-LN(2)/25))/(LN(2)/25)*Calculateur!V62*Calculateur!X62*VLOOKUP('Données projet'!$B$9,Paramètres!$A$1:$I$89,3,0)*0.475*44/12</f>
        <v>5.4318230830928869</v>
      </c>
      <c r="AB62" s="23">
        <f>EXP(-LN(2)/2)*AB61+(1-EXP(-LN(2)/2))/(LN(2)/2)*V62*Y62*VLOOKUP('Données projet'!$B$9,Paramètres!$A$1:$I$89,3,0)*0.475*44/12</f>
        <v>7.3340760780945245E-4</v>
      </c>
      <c r="AC62" s="24">
        <f t="shared" si="3"/>
        <v>8.5865825030370697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186.75071999999997</v>
      </c>
      <c r="AK62" s="14">
        <f t="shared" si="35"/>
        <v>46.820863587839391</v>
      </c>
      <c r="AL62" s="22">
        <f t="shared" si="4"/>
        <v>406.80384141548689</v>
      </c>
      <c r="AM62" s="62">
        <f t="shared" si="5"/>
        <v>700.13717474882014</v>
      </c>
      <c r="AN62" s="62">
        <f ca="1">AVERAGE(OFFSET($AM$3,0,0,'Données projet'!$E$10+1,1))-AVERAGE(OFFSET($H$3,0,0,'Données projet'!$E$10+1,1))</f>
        <v>371.7282125501186</v>
      </c>
      <c r="AO62" s="62">
        <f t="shared" si="36"/>
        <v>231.36959598460686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1.2078153764636741</v>
      </c>
      <c r="AW62" s="23">
        <f>EXP(-LN(2)/2)*AW61+(1-EXP(-LN(2)/2))/(LN(2)/2)*AQ62*AT62*VLOOKUP('Données projet'!$B$10,Paramètres!$A$1:$I$89,3,0)*0.475*44/12</f>
        <v>5.4161325290556469E-4</v>
      </c>
      <c r="AX62" s="23">
        <f t="shared" si="6"/>
        <v>1.2083569897165796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206.39999999999998</v>
      </c>
      <c r="BE62" s="14">
        <f>BD62*VLOOKUP('Données projet'!$B$11,Paramètres!$A$1:$I$89,3,0)*VLOOKUP('Données projet'!$B$11,Paramètres!$A$1:$I$89,5,0)</f>
        <v>173.87135999999998</v>
      </c>
      <c r="BF62" s="14">
        <f t="shared" si="37"/>
        <v>43.955939893839961</v>
      </c>
      <c r="BG62" s="22">
        <f t="shared" si="7"/>
        <v>379.3825473151046</v>
      </c>
      <c r="BH62" s="62">
        <f t="shared" si="8"/>
        <v>672.71588064843786</v>
      </c>
      <c r="BI62" s="62">
        <f ca="1">AVERAGE(OFFSET($BH$3,0,0,'Données projet'!$E$11+1,1))-AVERAGE(OFFSET($H$3,0,0,'Données projet'!$E$11+1,1))</f>
        <v>348.82438445524105</v>
      </c>
      <c r="BJ62" s="62">
        <f t="shared" si="38"/>
        <v>218.26721063098552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1.1245177642937654</v>
      </c>
      <c r="BR62" s="23">
        <f>EXP(-LN(2)/2)*BR61+(1-EXP(-LN(2)/2))/(LN(2)/2)*BL62*BO62*VLOOKUP('Données projet'!$B$11,Paramètres!$A$1:$I$89,3,0)*0.475*44/12</f>
        <v>5.042606147741466E-4</v>
      </c>
      <c r="BS62" s="24">
        <f t="shared" si="9"/>
        <v>1.1250220249085394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500</v>
      </c>
      <c r="L63" s="13">
        <f>VLOOKUP(A63,'Données projet'!$A$35:$I$55,9,0)</f>
        <v>17</v>
      </c>
      <c r="M63" s="13">
        <f t="array" ref="M63">INDEX(L:L,MIN(IF(ISNUMBER(L63:L259),ROW(L63:L259),"")))</f>
        <v>17</v>
      </c>
      <c r="N63" s="14">
        <f>IF('Données projet'!$A$36&gt;35,N62+M63-V62,IF(A63&lt;'Données projet'!$A$36,$K$205^A63,IF(A63='Données projet'!$A$36,'Données projet'!$B$36,N62+M63-V62)))</f>
        <v>500</v>
      </c>
      <c r="O63" s="14">
        <f>N63*VLOOKUP('Données projet'!$B$9,Paramètres!$A$1:$I$89,3,0)*VLOOKUP('Données projet'!$B$9,Paramètres!$A$1:$I$89,5,0)</f>
        <v>299</v>
      </c>
      <c r="P63" s="14">
        <f t="shared" si="33"/>
        <v>70.966784344875109</v>
      </c>
      <c r="Q63" s="22">
        <f t="shared" si="53"/>
        <v>644.35881606732414</v>
      </c>
      <c r="R63" s="62">
        <f t="shared" si="0"/>
        <v>937.6921494006574</v>
      </c>
      <c r="S63" s="62">
        <f ca="1">AVERAGE(OFFSET($R$3,0,0,'Données projet'!$E$9+1,1))-AVERAGE(OFFSET($H$3,0,0,'Données projet'!$E$9+1,1))</f>
        <v>348.62416478262719</v>
      </c>
      <c r="T63" s="62">
        <f t="shared" si="34"/>
        <v>371.70674704563288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32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3.0921774860003679</v>
      </c>
      <c r="AA63" s="23">
        <f>EXP(-LN(2)/25)*AA62+(1-EXP(-LN(2)/25))/(LN(2)/25)*Calculateur!V63*Calculateur!X63*VLOOKUP('Données projet'!$B$9,Paramètres!$A$1:$I$89,3,0)*0.475*44/12</f>
        <v>5.2832895952385508</v>
      </c>
      <c r="AB63" s="23">
        <f>EXP(-LN(2)/2)*AB62+(1-EXP(-LN(2)/2))/(LN(2)/2)*V63*Y63*VLOOKUP('Données projet'!$B$9,Paramètres!$A$1:$I$89,3,0)*0.475*44/12</f>
        <v>5.1859749285586775E-4</v>
      </c>
      <c r="AC63" s="24">
        <f t="shared" si="3"/>
        <v>8.3759856787317748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193.62719999999996</v>
      </c>
      <c r="AK63" s="14">
        <f t="shared" si="35"/>
        <v>48.340990547231193</v>
      </c>
      <c r="AL63" s="22">
        <f t="shared" si="4"/>
        <v>421.42793186976087</v>
      </c>
      <c r="AM63" s="62">
        <f t="shared" si="5"/>
        <v>714.76126520309413</v>
      </c>
      <c r="AN63" s="62">
        <f ca="1">AVERAGE(OFFSET($AM$3,0,0,'Données projet'!$E$10+1,1))-AVERAGE(OFFSET($H$3,0,0,'Données projet'!$E$10+1,1))</f>
        <v>371.7282125501186</v>
      </c>
      <c r="AO63" s="62">
        <f t="shared" si="36"/>
        <v>231.36959598460686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1.1747876014780247</v>
      </c>
      <c r="AW63" s="23">
        <f>EXP(-LN(2)/2)*AW62+(1-EXP(-LN(2)/2))/(LN(2)/2)*AQ63*AT63*VLOOKUP('Données projet'!$B$10,Paramètres!$A$1:$I$89,3,0)*0.475*44/12</f>
        <v>3.8297840391002936E-4</v>
      </c>
      <c r="AX63" s="23">
        <f t="shared" si="6"/>
        <v>1.1751705798819347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213.99999999999997</v>
      </c>
      <c r="BE63" s="14">
        <f>BD63*VLOOKUP('Données projet'!$B$11,Paramètres!$A$1:$I$89,3,0)*VLOOKUP('Données projet'!$B$11,Paramètres!$A$1:$I$89,5,0)</f>
        <v>180.27359999999999</v>
      </c>
      <c r="BF63" s="14">
        <f t="shared" si="37"/>
        <v>45.383051743938047</v>
      </c>
      <c r="BG63" s="22">
        <f t="shared" si="7"/>
        <v>393.01866845402537</v>
      </c>
      <c r="BH63" s="62">
        <f t="shared" si="8"/>
        <v>686.35200178735863</v>
      </c>
      <c r="BI63" s="62">
        <f ca="1">AVERAGE(OFFSET($BH$3,0,0,'Données projet'!$E$11+1,1))-AVERAGE(OFFSET($H$3,0,0,'Données projet'!$E$11+1,1))</f>
        <v>348.82438445524105</v>
      </c>
      <c r="BJ63" s="62">
        <f t="shared" si="38"/>
        <v>218.26721063098552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1.0937677668933332</v>
      </c>
      <c r="BR63" s="23">
        <f>EXP(-LN(2)/2)*BR62+(1-EXP(-LN(2)/2))/(LN(2)/2)*BL63*BO63*VLOOKUP('Données projet'!$B$11,Paramètres!$A$1:$I$89,3,0)*0.475*44/12</f>
        <v>3.5656610019209643E-4</v>
      </c>
      <c r="BS63" s="24">
        <f t="shared" si="9"/>
        <v>1.0941243329935253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17.399999999999999</v>
      </c>
      <c r="N64" s="14">
        <f>IF('Données projet'!$A$36&gt;35,N63+M64-V63,IF(A64&lt;'Données projet'!$A$36,$K$205^A64,IF(A64='Données projet'!$A$36,'Données projet'!$B$36,N63+M64-V63)))</f>
        <v>485.4</v>
      </c>
      <c r="O64" s="14">
        <f>N64*VLOOKUP('Données projet'!$B$9,Paramètres!$A$1:$I$89,3,0)*VLOOKUP('Données projet'!$B$9,Paramètres!$A$1:$I$89,5,0)</f>
        <v>290.26920000000001</v>
      </c>
      <c r="P64" s="14">
        <f t="shared" si="33"/>
        <v>69.13261576818384</v>
      </c>
      <c r="Q64" s="22">
        <f t="shared" si="53"/>
        <v>625.95816246292009</v>
      </c>
      <c r="R64" s="62">
        <f t="shared" si="0"/>
        <v>919.29149579625346</v>
      </c>
      <c r="S64" s="62">
        <f ca="1">AVERAGE(OFFSET($R$3,0,0,'Données projet'!$E$9+1,1))-AVERAGE(OFFSET($H$3,0,0,'Données projet'!$E$9+1,1))</f>
        <v>348.62416478262719</v>
      </c>
      <c r="T64" s="62">
        <f t="shared" si="34"/>
        <v>371.70674704563288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3.0315417715419359</v>
      </c>
      <c r="AA64" s="23">
        <f>EXP(-LN(2)/25)*AA63+(1-EXP(-LN(2)/25))/(LN(2)/25)*Calculateur!V64*Calculateur!X64*VLOOKUP('Données projet'!$B$9,Paramètres!$A$1:$I$89,3,0)*0.475*44/12</f>
        <v>5.1388177634206276</v>
      </c>
      <c r="AB64" s="23">
        <f>EXP(-LN(2)/2)*AB63+(1-EXP(-LN(2)/2))/(LN(2)/2)*V64*Y64*VLOOKUP('Données projet'!$B$9,Paramètres!$A$1:$I$89,3,0)*0.475*44/12</f>
        <v>3.6670380390472622E-4</v>
      </c>
      <c r="AC64" s="24">
        <f t="shared" si="3"/>
        <v>8.1707262387664699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2">
        <f t="shared" si="5"/>
        <v>688.19859268339724</v>
      </c>
      <c r="AN64" s="62">
        <f ca="1">AVERAGE(OFFSET($AM$3,0,0,'Données projet'!$E$10+1,1))-AVERAGE(OFFSET($H$3,0,0,'Données projet'!$E$10+1,1))</f>
        <v>371.7282125501186</v>
      </c>
      <c r="AO64" s="62">
        <f t="shared" si="36"/>
        <v>231.36959598460686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1.1426629727362132</v>
      </c>
      <c r="AW64" s="23">
        <f>EXP(-LN(2)/2)*AW63+(1-EXP(-LN(2)/2))/(LN(2)/2)*AQ64*AT64*VLOOKUP('Données projet'!$B$10,Paramètres!$A$1:$I$89,3,0)*0.475*44/12</f>
        <v>2.7080662645278234E-4</v>
      </c>
      <c r="AX64" s="23">
        <f t="shared" si="6"/>
        <v>1.1429337793626659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168.64847999999998</v>
      </c>
      <c r="BF64" s="14">
        <f t="shared" si="37"/>
        <v>42.78718759212785</v>
      </c>
      <c r="BG64" s="22">
        <f t="shared" si="7"/>
        <v>368.25045438962269</v>
      </c>
      <c r="BH64" s="62">
        <f t="shared" si="8"/>
        <v>661.583787722956</v>
      </c>
      <c r="BI64" s="62">
        <f ca="1">AVERAGE(OFFSET($BH$3,0,0,'Données projet'!$E$11+1,1))-AVERAGE(OFFSET($H$3,0,0,'Données projet'!$E$11+1,1))</f>
        <v>348.82438445524105</v>
      </c>
      <c r="BJ64" s="62">
        <f t="shared" si="38"/>
        <v>218.26721063098552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1.0638586297888879</v>
      </c>
      <c r="BR64" s="23">
        <f>EXP(-LN(2)/2)*BR63+(1-EXP(-LN(2)/2))/(LN(2)/2)*BL64*BO64*VLOOKUP('Données projet'!$B$11,Paramètres!$A$1:$I$89,3,0)*0.475*44/12</f>
        <v>2.521303073870733E-4</v>
      </c>
      <c r="BS64" s="24">
        <f t="shared" si="9"/>
        <v>1.0641107600962749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17.399999999999999</v>
      </c>
      <c r="N65" s="14">
        <f>IF('Données projet'!$A$36&gt;35,N64+M65-V64,IF(A65&lt;'Données projet'!$A$36,$K$205^A65,IF(A65='Données projet'!$A$36,'Données projet'!$B$36,N64+M65-V64)))</f>
        <v>502.79999999999995</v>
      </c>
      <c r="O65" s="14">
        <f>N65*VLOOKUP('Données projet'!$B$9,Paramètres!$A$1:$I$89,3,0)*VLOOKUP('Données projet'!$B$9,Paramètres!$A$1:$I$89,5,0)</f>
        <v>300.67439999999999</v>
      </c>
      <c r="P65" s="14">
        <f t="shared" si="33"/>
        <v>71.317825137860439</v>
      </c>
      <c r="Q65" s="22">
        <f t="shared" si="53"/>
        <v>647.88645878177363</v>
      </c>
      <c r="R65" s="62">
        <f t="shared" si="0"/>
        <v>941.21979211510688</v>
      </c>
      <c r="S65" s="62">
        <f ca="1">AVERAGE(OFFSET($R$3,0,0,'Données projet'!$E$9+1,1))-AVERAGE(OFFSET($H$3,0,0,'Données projet'!$E$9+1,1))</f>
        <v>348.62416478262719</v>
      </c>
      <c r="T65" s="62">
        <f t="shared" si="34"/>
        <v>371.70674704563288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2.9720950864599001</v>
      </c>
      <c r="AA65" s="23">
        <f>EXP(-LN(2)/25)*AA64+(1-EXP(-LN(2)/25))/(LN(2)/25)*Calculateur!V65*Calculateur!X65*VLOOKUP('Données projet'!$B$9,Paramètres!$A$1:$I$89,3,0)*0.475*44/12</f>
        <v>4.9982965214412092</v>
      </c>
      <c r="AB65" s="23">
        <f>EXP(-LN(2)/2)*AB64+(1-EXP(-LN(2)/2))/(LN(2)/2)*V65*Y65*VLOOKUP('Données projet'!$B$9,Paramètres!$A$1:$I$89,3,0)*0.475*44/12</f>
        <v>2.5929874642793388E-4</v>
      </c>
      <c r="AC65" s="24">
        <f t="shared" si="3"/>
        <v>7.9706509066475375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2">
        <f t="shared" si="5"/>
        <v>702.06203699024263</v>
      </c>
      <c r="AN65" s="62">
        <f ca="1">AVERAGE(OFFSET($AM$3,0,0,'Données projet'!$E$10+1,1))-AVERAGE(OFFSET($H$3,0,0,'Données projet'!$E$10+1,1))</f>
        <v>371.7282125501186</v>
      </c>
      <c r="AO65" s="62">
        <f t="shared" si="36"/>
        <v>231.36959598460686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1.1114167936567072</v>
      </c>
      <c r="AW65" s="23">
        <f>EXP(-LN(2)/2)*AW64+(1-EXP(-LN(2)/2))/(LN(2)/2)*AQ65*AT65*VLOOKUP('Données projet'!$B$10,Paramètres!$A$1:$I$89,3,0)*0.475*44/12</f>
        <v>1.9148920195501468E-4</v>
      </c>
      <c r="AX65" s="23">
        <f t="shared" si="6"/>
        <v>1.1116082828586622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174.71375999999998</v>
      </c>
      <c r="BF65" s="14">
        <f t="shared" si="37"/>
        <v>44.144062647515817</v>
      </c>
      <c r="BG65" s="22">
        <f t="shared" si="7"/>
        <v>381.17737444442332</v>
      </c>
      <c r="BH65" s="62">
        <f t="shared" si="8"/>
        <v>674.51070777775658</v>
      </c>
      <c r="BI65" s="62">
        <f ca="1">AVERAGE(OFFSET($BH$3,0,0,'Données projet'!$E$11+1,1))-AVERAGE(OFFSET($H$3,0,0,'Données projet'!$E$11+1,1))</f>
        <v>348.82438445524105</v>
      </c>
      <c r="BJ65" s="62">
        <f t="shared" si="38"/>
        <v>218.26721063098552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1.0347673596114169</v>
      </c>
      <c r="BR65" s="23">
        <f>EXP(-LN(2)/2)*BR64+(1-EXP(-LN(2)/2))/(LN(2)/2)*BL65*BO65*VLOOKUP('Données projet'!$B$11,Paramètres!$A$1:$I$89,3,0)*0.475*44/12</f>
        <v>1.7828305009604821E-4</v>
      </c>
      <c r="BS65" s="24">
        <f t="shared" si="9"/>
        <v>1.0349456426615129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17.399999999999999</v>
      </c>
      <c r="N66" s="14">
        <f>IF('Données projet'!$A$36&gt;35,N65+M66-V65,IF(A66&lt;'Données projet'!$A$36,$K$205^A66,IF(A66='Données projet'!$A$36,'Données projet'!$B$36,N65+M66-V65)))</f>
        <v>520.19999999999993</v>
      </c>
      <c r="O66" s="14">
        <f>N66*VLOOKUP('Données projet'!$B$9,Paramètres!$A$1:$I$89,3,0)*VLOOKUP('Données projet'!$B$9,Paramètres!$A$1:$I$89,5,0)</f>
        <v>311.07959999999997</v>
      </c>
      <c r="P66" s="14">
        <f t="shared" si="33"/>
        <v>73.49424798183118</v>
      </c>
      <c r="Q66" s="22">
        <f t="shared" si="53"/>
        <v>669.79945190168917</v>
      </c>
      <c r="R66" s="62">
        <f t="shared" si="0"/>
        <v>963.13278523502254</v>
      </c>
      <c r="S66" s="62">
        <f ca="1">AVERAGE(OFFSET($R$3,0,0,'Données projet'!$E$9+1,1))-AVERAGE(OFFSET($H$3,0,0,'Données projet'!$E$9+1,1))</f>
        <v>348.62416478262719</v>
      </c>
      <c r="T66" s="62">
        <f t="shared" si="34"/>
        <v>371.70674704563288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2.9138141146134253</v>
      </c>
      <c r="AA66" s="23">
        <f>EXP(-LN(2)/25)*AA65+(1-EXP(-LN(2)/25))/(LN(2)/25)*Calculateur!V66*Calculateur!X66*VLOOKUP('Données projet'!$B$9,Paramètres!$A$1:$I$89,3,0)*0.475*44/12</f>
        <v>4.8616178402134089</v>
      </c>
      <c r="AB66" s="23">
        <f>EXP(-LN(2)/2)*AB65+(1-EXP(-LN(2)/2))/(LN(2)/2)*V66*Y66*VLOOKUP('Données projet'!$B$9,Paramètres!$A$1:$I$89,3,0)*0.475*44/12</f>
        <v>1.8335190195236311E-4</v>
      </c>
      <c r="AC66" s="24">
        <f t="shared" si="3"/>
        <v>7.7756153067287865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2">
        <f t="shared" si="5"/>
        <v>715.91532773426115</v>
      </c>
      <c r="AN66" s="62">
        <f ca="1">AVERAGE(OFFSET($AM$3,0,0,'Données projet'!$E$10+1,1))-AVERAGE(OFFSET($H$3,0,0,'Données projet'!$E$10+1,1))</f>
        <v>371.7282125501186</v>
      </c>
      <c r="AO66" s="62">
        <f t="shared" si="36"/>
        <v>231.36959598460686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1.0810250429872956</v>
      </c>
      <c r="AW66" s="23">
        <f>EXP(-LN(2)/2)*AW65+(1-EXP(-LN(2)/2))/(LN(2)/2)*AQ66*AT66*VLOOKUP('Données projet'!$B$10,Paramètres!$A$1:$I$89,3,0)*0.475*44/12</f>
        <v>1.3540331322639117E-4</v>
      </c>
      <c r="AX66" s="23">
        <f t="shared" si="6"/>
        <v>1.081160446300522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180.77903999999995</v>
      </c>
      <c r="BF66" s="14">
        <f t="shared" si="37"/>
        <v>45.495464625737284</v>
      </c>
      <c r="BG66" s="22">
        <f t="shared" si="7"/>
        <v>394.09476222315897</v>
      </c>
      <c r="BH66" s="62">
        <f t="shared" si="8"/>
        <v>687.42809555649228</v>
      </c>
      <c r="BI66" s="62">
        <f ca="1">AVERAGE(OFFSET($BH$3,0,0,'Données projet'!$E$11+1,1))-AVERAGE(OFFSET($H$3,0,0,'Données projet'!$E$11+1,1))</f>
        <v>348.82438445524105</v>
      </c>
      <c r="BJ66" s="62">
        <f t="shared" si="38"/>
        <v>218.26721063098552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1.0064715917467921</v>
      </c>
      <c r="BR66" s="23">
        <f>EXP(-LN(2)/2)*BR65+(1-EXP(-LN(2)/2))/(LN(2)/2)*BL66*BO66*VLOOKUP('Données projet'!$B$11,Paramètres!$A$1:$I$89,3,0)*0.475*44/12</f>
        <v>1.2606515369353665E-4</v>
      </c>
      <c r="BS66" s="24">
        <f t="shared" si="9"/>
        <v>1.0065976569004857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17.399999999999999</v>
      </c>
      <c r="N67" s="14">
        <f>IF('Données projet'!$A$36&gt;35,N66+M67-V66,IF(A67&lt;'Données projet'!$A$36,$K$205^A67,IF(A67='Données projet'!$A$36,'Données projet'!$B$36,N66+M67-V66)))</f>
        <v>537.59999999999991</v>
      </c>
      <c r="O67" s="14">
        <f>N67*VLOOKUP('Données projet'!$B$9,Paramètres!$A$1:$I$89,3,0)*VLOOKUP('Données projet'!$B$9,Paramètres!$A$1:$I$89,5,0)</f>
        <v>321.48479999999995</v>
      </c>
      <c r="P67" s="14">
        <f t="shared" si="33"/>
        <v>75.662211893590367</v>
      </c>
      <c r="Q67" s="22">
        <f t="shared" ref="Q67:Q98" si="54">(O67+P67)*0.475*44/12</f>
        <v>691.69771238133637</v>
      </c>
      <c r="R67" s="62">
        <f t="shared" ref="R67:R130" si="55">Q67+(I67+J67)*44/12</f>
        <v>985.03104571466974</v>
      </c>
      <c r="S67" s="62">
        <f ca="1">AVERAGE(OFFSET($R$3,0,0,'Données projet'!$E$9+1,1))-AVERAGE(OFFSET($H$3,0,0,'Données projet'!$E$9+1,1))</f>
        <v>348.62416478262719</v>
      </c>
      <c r="T67" s="62">
        <f t="shared" si="34"/>
        <v>371.70674704563288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2.8566759970769771</v>
      </c>
      <c r="AA67" s="23">
        <f>EXP(-LN(2)/25)*AA66+(1-EXP(-LN(2)/25))/(LN(2)/25)*Calculateur!V67*Calculateur!X67*VLOOKUP('Données projet'!$B$9,Paramètres!$A$1:$I$89,3,0)*0.475*44/12</f>
        <v>4.7286766447114026</v>
      </c>
      <c r="AB67" s="23">
        <f>EXP(-LN(2)/2)*AB66+(1-EXP(-LN(2)/2))/(LN(2)/2)*V67*Y67*VLOOKUP('Données projet'!$B$9,Paramètres!$A$1:$I$89,3,0)*0.475*44/12</f>
        <v>1.2964937321396694E-4</v>
      </c>
      <c r="AC67" s="24">
        <f t="shared" si="3"/>
        <v>7.5854822911615933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2">
        <f t="shared" si="5"/>
        <v>729.75884463141938</v>
      </c>
      <c r="AN67" s="62">
        <f ca="1">AVERAGE(OFFSET($AM$3,0,0,'Données projet'!$E$10+1,1))-AVERAGE(OFFSET($H$3,0,0,'Données projet'!$E$10+1,1))</f>
        <v>371.7282125501186</v>
      </c>
      <c r="AO67" s="62">
        <f t="shared" si="36"/>
        <v>231.36959598460686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1.0514643563381718</v>
      </c>
      <c r="AW67" s="23">
        <f>EXP(-LN(2)/2)*AW66+(1-EXP(-LN(2)/2))/(LN(2)/2)*AQ67*AT67*VLOOKUP('Données projet'!$B$10,Paramètres!$A$1:$I$89,3,0)*0.475*44/12</f>
        <v>9.5744600977507339E-5</v>
      </c>
      <c r="AX67" s="23">
        <f t="shared" si="6"/>
        <v>1.0515601009391493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186.84431999999995</v>
      </c>
      <c r="BF67" s="14">
        <f t="shared" si="37"/>
        <v>46.841598205171657</v>
      </c>
      <c r="BG67" s="22">
        <f t="shared" si="7"/>
        <v>407.00297420734051</v>
      </c>
      <c r="BH67" s="62">
        <f t="shared" si="8"/>
        <v>700.33630754067383</v>
      </c>
      <c r="BI67" s="62">
        <f ca="1">AVERAGE(OFFSET($BH$3,0,0,'Données projet'!$E$11+1,1))-AVERAGE(OFFSET($H$3,0,0,'Données projet'!$E$11+1,1))</f>
        <v>348.82438445524105</v>
      </c>
      <c r="BJ67" s="62">
        <f t="shared" si="38"/>
        <v>218.26721063098552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0.97894957314243536</v>
      </c>
      <c r="BR67" s="23">
        <f>EXP(-LN(2)/2)*BR66+(1-EXP(-LN(2)/2))/(LN(2)/2)*BL67*BO67*VLOOKUP('Données projet'!$B$11,Paramètres!$A$1:$I$89,3,0)*0.475*44/12</f>
        <v>8.9141525048024107E-5</v>
      </c>
      <c r="BS67" s="24">
        <f t="shared" si="9"/>
        <v>0.97903871466748338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555</v>
      </c>
      <c r="L68" s="13">
        <f>VLOOKUP(A68,'Données projet'!$A$35:$I$55,9,0)</f>
        <v>17.399999999999999</v>
      </c>
      <c r="M68" s="13">
        <f t="array" ref="M68">INDEX(L:L,MIN(IF(ISNUMBER(L68:L264),ROW(L68:L264),"")))</f>
        <v>17.399999999999999</v>
      </c>
      <c r="N68" s="14">
        <f>IF('Données projet'!$A$36&gt;35,N67+M68-V67,IF(A68&lt;'Données projet'!$A$36,$K$205^A68,IF(A68='Données projet'!$A$36,'Données projet'!$B$36,N67+M68-V67)))</f>
        <v>554.99999999999989</v>
      </c>
      <c r="O68" s="14">
        <f>N68*VLOOKUP('Données projet'!$B$9,Paramètres!$A$1:$I$89,3,0)*VLOOKUP('Données projet'!$B$9,Paramètres!$A$1:$I$89,5,0)</f>
        <v>331.88999999999993</v>
      </c>
      <c r="P68" s="14">
        <f t="shared" si="33"/>
        <v>77.822022056956186</v>
      </c>
      <c r="Q68" s="22">
        <f t="shared" si="54"/>
        <v>713.58177174919854</v>
      </c>
      <c r="R68" s="62">
        <f t="shared" si="55"/>
        <v>1006.9151050825319</v>
      </c>
      <c r="S68" s="62">
        <f ca="1">AVERAGE(OFFSET($R$3,0,0,'Données projet'!$E$9+1,1))-AVERAGE(OFFSET($H$3,0,0,'Données projet'!$E$9+1,1))</f>
        <v>348.62416478262719</v>
      </c>
      <c r="T68" s="62">
        <f t="shared" si="34"/>
        <v>371.70674704563288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555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2.8006583231746078</v>
      </c>
      <c r="AA68" s="23">
        <f>EXP(-LN(2)/25)*AA67+(1-EXP(-LN(2)/25))/(LN(2)/25)*Calculateur!V68*Calculateur!X68*VLOOKUP('Données projet'!$B$9,Paramètres!$A$1:$I$89,3,0)*0.475*44/12</f>
        <v>4.5993707331914724</v>
      </c>
      <c r="AB68" s="23">
        <f>EXP(-LN(2)/2)*AB67+(1-EXP(-LN(2)/2))/(LN(2)/2)*V68*Y68*VLOOKUP('Données projet'!$B$9,Paramètres!$A$1:$I$89,3,0)*0.475*44/12</f>
        <v>9.1675950976181556E-5</v>
      </c>
      <c r="AC68" s="24">
        <f t="shared" ref="AC68:AC131" si="57">SUM(Z68:AB68)</f>
        <v>7.4001207323170561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2">
        <f t="shared" ref="AM68:AM131" si="59">AL68+(AD68+AE68)*44/12</f>
        <v>743.59294134580057</v>
      </c>
      <c r="AN68" s="62">
        <f ca="1">AVERAGE(OFFSET($AM$3,0,0,'Données projet'!$E$10+1,1))-AVERAGE(OFFSET($H$3,0,0,'Données projet'!$E$10+1,1))</f>
        <v>371.7282125501186</v>
      </c>
      <c r="AO68" s="62">
        <f t="shared" si="36"/>
        <v>231.36959598460686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1.0227120082199972</v>
      </c>
      <c r="AW68" s="23">
        <f>EXP(-LN(2)/2)*AW67+(1-EXP(-LN(2)/2))/(LN(2)/2)*AQ68*AT68*VLOOKUP('Données projet'!$B$10,Paramètres!$A$1:$I$89,3,0)*0.475*44/12</f>
        <v>6.7701656613195586E-5</v>
      </c>
      <c r="AX68" s="23">
        <f t="shared" ref="AX68:AX131" si="60">SUM(AU68:AW68)</f>
        <v>1.0227797098766105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192.90959999999995</v>
      </c>
      <c r="BF68" s="14">
        <f t="shared" si="37"/>
        <v>48.182654021446417</v>
      </c>
      <c r="BG68" s="22">
        <f t="shared" ref="BG68:BG131" si="61">(BE68+BF68)*0.475*44/12</f>
        <v>419.90234242068573</v>
      </c>
      <c r="BH68" s="62">
        <f t="shared" ref="BH68:BH131" si="62">BG68+(AY68+AZ68)*44/12</f>
        <v>713.23567575401898</v>
      </c>
      <c r="BI68" s="62">
        <f ca="1">AVERAGE(OFFSET($BH$3,0,0,'Données projet'!$E$11+1,1))-AVERAGE(OFFSET($H$3,0,0,'Données projet'!$E$11+1,1))</f>
        <v>348.82438445524105</v>
      </c>
      <c r="BJ68" s="62">
        <f t="shared" si="38"/>
        <v>218.26721063098552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0.95218014558413488</v>
      </c>
      <c r="BR68" s="23">
        <f>EXP(-LN(2)/2)*BR67+(1-EXP(-LN(2)/2))/(LN(2)/2)*BL68*BO68*VLOOKUP('Données projet'!$B$11,Paramètres!$A$1:$I$89,3,0)*0.475*44/12</f>
        <v>6.3032576846768325E-5</v>
      </c>
      <c r="BS68" s="24">
        <f t="shared" ref="BS68:BS131" si="63">SUM(BP68:BR68)</f>
        <v>0.9522431781609817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-1.1368683772161603E-13</v>
      </c>
      <c r="O69" s="14">
        <f>N69*VLOOKUP('Données projet'!$B$9,Paramètres!$A$1:$I$89,3,0)*VLOOKUP('Données projet'!$B$9,Paramètres!$A$1:$I$89,5,0)</f>
        <v>-6.7984728957526396E-14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348.62416478262719</v>
      </c>
      <c r="T69" s="62">
        <f t="shared" ref="T69:T132" si="88">$T$3</f>
        <v>371.70674704563288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2.7457391216900571</v>
      </c>
      <c r="AA69" s="23">
        <f>EXP(-LN(2)/25)*AA68+(1-EXP(-LN(2)/25))/(LN(2)/25)*Calculateur!V69*Calculateur!X69*VLOOKUP('Données projet'!$B$9,Paramètres!$A$1:$I$89,3,0)*0.475*44/12</f>
        <v>4.473600698621957</v>
      </c>
      <c r="AB69" s="23">
        <f>EXP(-LN(2)/2)*AB68+(1-EXP(-LN(2)/2))/(LN(2)/2)*V69*Y69*VLOOKUP('Données projet'!$B$9,Paramètres!$A$1:$I$89,3,0)*0.475*44/12</f>
        <v>6.4824686606983469E-5</v>
      </c>
      <c r="AC69" s="24">
        <f t="shared" si="57"/>
        <v>7.2194046449986207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>
        <f>AI69*VLOOKUP('Données projet'!$B$10,Paramètres!$A$1:$I$89,3,0)*VLOOKUP('Données projet'!$B$10,Paramètres!$A$1:$I$89,5,0)</f>
        <v>194.35103999999993</v>
      </c>
      <c r="AK69" s="14">
        <f t="shared" ref="AK69:AK132" si="89">EXP(-1.0587+0.8836*LN(AJ69)+0.284)</f>
        <v>48.500634729810159</v>
      </c>
      <c r="AL69" s="22">
        <f t="shared" si="58"/>
        <v>422.96666682108594</v>
      </c>
      <c r="AM69" s="62">
        <f t="shared" si="59"/>
        <v>716.30000015441919</v>
      </c>
      <c r="AN69" s="62">
        <f ca="1">AVERAGE(OFFSET($AM$3,0,0,'Données projet'!$E$10+1,1))-AVERAGE(OFFSET($H$3,0,0,'Données projet'!$E$10+1,1))</f>
        <v>371.7282125501186</v>
      </c>
      <c r="AO69" s="62">
        <f t="shared" ref="AO69:AO132" si="90">$AO$3</f>
        <v>231.36959598460686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0.99474589457313434</v>
      </c>
      <c r="AW69" s="23">
        <f>EXP(-LN(2)/2)*AW68+(1-EXP(-LN(2)/2))/(LN(2)/2)*AQ69*AT69*VLOOKUP('Données projet'!$B$10,Paramètres!$A$1:$I$89,3,0)*0.475*44/12</f>
        <v>4.787230048875367E-5</v>
      </c>
      <c r="AX69" s="23">
        <f t="shared" si="60"/>
        <v>0.99479376687362309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214.79999999999993</v>
      </c>
      <c r="BE69" s="14">
        <f>BD69*VLOOKUP('Données projet'!$B$11,Paramètres!$A$1:$I$89,3,0)*VLOOKUP('Données projet'!$B$11,Paramètres!$A$1:$I$89,5,0)</f>
        <v>180.94751999999994</v>
      </c>
      <c r="BF69" s="14">
        <f t="shared" ref="BF69:BF132" si="91">EXP(-1.0587+0.8836*LN(BE69)+0.284)</f>
        <v>45.53292745224649</v>
      </c>
      <c r="BG69" s="22">
        <f t="shared" si="61"/>
        <v>394.45344597932922</v>
      </c>
      <c r="BH69" s="62">
        <f t="shared" si="62"/>
        <v>687.78677931266247</v>
      </c>
      <c r="BI69" s="62">
        <f ca="1">AVERAGE(OFFSET($BH$3,0,0,'Données projet'!$E$11+1,1))-AVERAGE(OFFSET($H$3,0,0,'Données projet'!$E$11+1,1))</f>
        <v>348.82438445524105</v>
      </c>
      <c r="BJ69" s="62">
        <f t="shared" ref="BJ69:BJ132" si="92">$BJ$3</f>
        <v>218.26721063098552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0.92614272943015907</v>
      </c>
      <c r="BR69" s="23">
        <f>EXP(-LN(2)/2)*BR68+(1-EXP(-LN(2)/2))/(LN(2)/2)*BL69*BO69*VLOOKUP('Données projet'!$B$11,Paramètres!$A$1:$I$89,3,0)*0.475*44/12</f>
        <v>4.4570762524012054E-5</v>
      </c>
      <c r="BS69" s="24">
        <f t="shared" si="63"/>
        <v>0.92618730019268314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-1.1368683772161603E-13</v>
      </c>
      <c r="O70" s="14">
        <f>N70*VLOOKUP('Données projet'!$B$9,Paramètres!$A$1:$I$89,3,0)*VLOOKUP('Données projet'!$B$9,Paramètres!$A$1:$I$89,5,0)</f>
        <v>-6.7984728957526396E-14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348.62416478262719</v>
      </c>
      <c r="T70" s="62">
        <f t="shared" si="88"/>
        <v>371.70674704563288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2.6918968522492128</v>
      </c>
      <c r="AA70" s="23">
        <f>EXP(-LN(2)/25)*AA69+(1-EXP(-LN(2)/25))/(LN(2)/25)*Calculateur!V70*Calculateur!X70*VLOOKUP('Données projet'!$B$9,Paramètres!$A$1:$I$89,3,0)*0.475*44/12</f>
        <v>4.3512698522617033</v>
      </c>
      <c r="AB70" s="23">
        <f>EXP(-LN(2)/2)*AB69+(1-EXP(-LN(2)/2))/(LN(2)/2)*V70*Y70*VLOOKUP('Données projet'!$B$9,Paramètres!$A$1:$I$89,3,0)*0.475*44/12</f>
        <v>4.5837975488090778E-5</v>
      </c>
      <c r="AC70" s="24">
        <f t="shared" si="57"/>
        <v>7.0432125424864047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>
        <f>AI70*VLOOKUP('Données projet'!$B$10,Paramètres!$A$1:$I$89,3,0)*VLOOKUP('Données projet'!$B$10,Paramètres!$A$1:$I$89,5,0)</f>
        <v>200.50367999999995</v>
      </c>
      <c r="AK70" s="14">
        <f t="shared" si="89"/>
        <v>49.854845135229887</v>
      </c>
      <c r="AL70" s="22">
        <f t="shared" si="58"/>
        <v>436.04109794385857</v>
      </c>
      <c r="AM70" s="62">
        <f t="shared" si="59"/>
        <v>729.37443127719189</v>
      </c>
      <c r="AN70" s="62">
        <f ca="1">AVERAGE(OFFSET($AM$3,0,0,'Données projet'!$E$10+1,1))-AVERAGE(OFFSET($H$3,0,0,'Données projet'!$E$10+1,1))</f>
        <v>371.7282125501186</v>
      </c>
      <c r="AO70" s="62">
        <f t="shared" si="90"/>
        <v>231.36959598460686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0.96754451577461886</v>
      </c>
      <c r="AW70" s="23">
        <f>EXP(-LN(2)/2)*AW69+(1-EXP(-LN(2)/2))/(LN(2)/2)*AQ70*AT70*VLOOKUP('Données projet'!$B$10,Paramètres!$A$1:$I$89,3,0)*0.475*44/12</f>
        <v>3.3850828306597793E-5</v>
      </c>
      <c r="AX70" s="23">
        <f t="shared" si="60"/>
        <v>0.96757836660292551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221.59999999999994</v>
      </c>
      <c r="BE70" s="14">
        <f>BD70*VLOOKUP('Données projet'!$B$11,Paramètres!$A$1:$I$89,3,0)*VLOOKUP('Données projet'!$B$11,Paramètres!$A$1:$I$89,5,0)</f>
        <v>186.67583999999997</v>
      </c>
      <c r="BF70" s="14">
        <f t="shared" si="91"/>
        <v>46.804275023026932</v>
      </c>
      <c r="BG70" s="22">
        <f t="shared" si="61"/>
        <v>406.64453366510514</v>
      </c>
      <c r="BH70" s="62">
        <f t="shared" si="62"/>
        <v>699.97786699843846</v>
      </c>
      <c r="BI70" s="62">
        <f ca="1">AVERAGE(OFFSET($BH$3,0,0,'Données projet'!$E$11+1,1))-AVERAGE(OFFSET($H$3,0,0,'Données projet'!$E$11+1,1))</f>
        <v>348.82438445524105</v>
      </c>
      <c r="BJ70" s="62">
        <f t="shared" si="92"/>
        <v>218.26721063098552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0.900817307790162</v>
      </c>
      <c r="BR70" s="23">
        <f>EXP(-LN(2)/2)*BR69+(1-EXP(-LN(2)/2))/(LN(2)/2)*BL70*BO70*VLOOKUP('Données projet'!$B$11,Paramètres!$A$1:$I$89,3,0)*0.475*44/12</f>
        <v>3.1516288423384163E-5</v>
      </c>
      <c r="BS70" s="24">
        <f t="shared" si="63"/>
        <v>0.90084882407858535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-1.1368683772161603E-13</v>
      </c>
      <c r="O71" s="14">
        <f>N71*VLOOKUP('Données projet'!$B$9,Paramètres!$A$1:$I$89,3,0)*VLOOKUP('Données projet'!$B$9,Paramètres!$A$1:$I$89,5,0)</f>
        <v>-6.7984728957526396E-14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348.62416478262719</v>
      </c>
      <c r="T71" s="62">
        <f t="shared" si="88"/>
        <v>371.70674704563288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2.6391103968715619</v>
      </c>
      <c r="AA71" s="23">
        <f>EXP(-LN(2)/25)*AA70+(1-EXP(-LN(2)/25))/(LN(2)/25)*Calculateur!V71*Calculateur!X71*VLOOKUP('Données projet'!$B$9,Paramètres!$A$1:$I$89,3,0)*0.475*44/12</f>
        <v>4.2322841493282706</v>
      </c>
      <c r="AB71" s="23">
        <f>EXP(-LN(2)/2)*AB70+(1-EXP(-LN(2)/2))/(LN(2)/2)*V71*Y71*VLOOKUP('Données projet'!$B$9,Paramètres!$A$1:$I$89,3,0)*0.475*44/12</f>
        <v>3.2412343303491735E-5</v>
      </c>
      <c r="AC71" s="24">
        <f t="shared" si="57"/>
        <v>6.871426958543136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>
        <f>AI71*VLOOKUP('Données projet'!$B$10,Paramètres!$A$1:$I$89,3,0)*VLOOKUP('Données projet'!$B$10,Paramètres!$A$1:$I$89,5,0)</f>
        <v>206.65631999999994</v>
      </c>
      <c r="AK71" s="14">
        <f t="shared" si="89"/>
        <v>51.20422634371338</v>
      </c>
      <c r="AL71" s="22">
        <f t="shared" si="58"/>
        <v>449.10711821530072</v>
      </c>
      <c r="AM71" s="62">
        <f t="shared" si="59"/>
        <v>742.44045154863397</v>
      </c>
      <c r="AN71" s="62">
        <f ca="1">AVERAGE(OFFSET($AM$3,0,0,'Données projet'!$E$10+1,1))-AVERAGE(OFFSET($H$3,0,0,'Données projet'!$E$10+1,1))</f>
        <v>371.7282125501186</v>
      </c>
      <c r="AO71" s="62">
        <f t="shared" si="90"/>
        <v>231.36959598460686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0.94108696010980719</v>
      </c>
      <c r="AW71" s="23">
        <f>EXP(-LN(2)/2)*AW70+(1-EXP(-LN(2)/2))/(LN(2)/2)*AQ71*AT71*VLOOKUP('Données projet'!$B$10,Paramètres!$A$1:$I$89,3,0)*0.475*44/12</f>
        <v>2.3936150244376835E-5</v>
      </c>
      <c r="AX71" s="23">
        <f t="shared" si="60"/>
        <v>0.94111089626005162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228.39999999999995</v>
      </c>
      <c r="BE71" s="14">
        <f>BD71*VLOOKUP('Données projet'!$B$11,Paramètres!$A$1:$I$89,3,0)*VLOOKUP('Données projet'!$B$11,Paramètres!$A$1:$I$89,5,0)</f>
        <v>192.40415999999999</v>
      </c>
      <c r="BF71" s="14">
        <f t="shared" si="91"/>
        <v>48.071088890795593</v>
      </c>
      <c r="BG71" s="22">
        <f t="shared" si="61"/>
        <v>418.82772515146894</v>
      </c>
      <c r="BH71" s="62">
        <f t="shared" si="62"/>
        <v>712.1610584848022</v>
      </c>
      <c r="BI71" s="62">
        <f ca="1">AVERAGE(OFFSET($BH$3,0,0,'Données projet'!$E$11+1,1))-AVERAGE(OFFSET($H$3,0,0,'Données projet'!$E$11+1,1))</f>
        <v>348.82438445524105</v>
      </c>
      <c r="BJ71" s="62">
        <f t="shared" si="92"/>
        <v>218.26721063098552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0.87618441113671663</v>
      </c>
      <c r="BR71" s="23">
        <f>EXP(-LN(2)/2)*BR70+(1-EXP(-LN(2)/2))/(LN(2)/2)*BL71*BO71*VLOOKUP('Données projet'!$B$11,Paramètres!$A$1:$I$89,3,0)*0.475*44/12</f>
        <v>2.2285381262006027E-5</v>
      </c>
      <c r="BS71" s="24">
        <f t="shared" si="63"/>
        <v>0.87620669651797867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-1.1368683772161603E-13</v>
      </c>
      <c r="O72" s="14">
        <f>N72*VLOOKUP('Données projet'!$B$9,Paramètres!$A$1:$I$89,3,0)*VLOOKUP('Données projet'!$B$9,Paramètres!$A$1:$I$89,5,0)</f>
        <v>-6.7984728957526396E-14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348.62416478262719</v>
      </c>
      <c r="T72" s="62">
        <f t="shared" si="88"/>
        <v>371.70674704563288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2.587359051687308</v>
      </c>
      <c r="AA72" s="23">
        <f>EXP(-LN(2)/25)*AA71+(1-EXP(-LN(2)/25))/(LN(2)/25)*Calculateur!V72*Calculateur!X72*VLOOKUP('Données projet'!$B$9,Paramètres!$A$1:$I$89,3,0)*0.475*44/12</f>
        <v>4.1165521166987382</v>
      </c>
      <c r="AB72" s="23">
        <f>EXP(-LN(2)/2)*AB71+(1-EXP(-LN(2)/2))/(LN(2)/2)*V72*Y72*VLOOKUP('Données projet'!$B$9,Paramètres!$A$1:$I$89,3,0)*0.475*44/12</f>
        <v>2.2918987744045389E-5</v>
      </c>
      <c r="AC72" s="24">
        <f t="shared" si="57"/>
        <v>6.7039340873737903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>
        <f>AI72*VLOOKUP('Données projet'!$B$10,Paramètres!$A$1:$I$89,3,0)*VLOOKUP('Données projet'!$B$10,Paramètres!$A$1:$I$89,5,0)</f>
        <v>212.80895999999996</v>
      </c>
      <c r="AK72" s="14">
        <f t="shared" si="89"/>
        <v>52.548938637485847</v>
      </c>
      <c r="AL72" s="22">
        <f t="shared" si="58"/>
        <v>462.16500679362099</v>
      </c>
      <c r="AM72" s="62">
        <f t="shared" si="59"/>
        <v>755.4983401269543</v>
      </c>
      <c r="AN72" s="62">
        <f ca="1">AVERAGE(OFFSET($AM$3,0,0,'Données projet'!$E$10+1,1))-AVERAGE(OFFSET($H$3,0,0,'Données projet'!$E$10+1,1))</f>
        <v>371.7282125501186</v>
      </c>
      <c r="AO72" s="62">
        <f t="shared" si="90"/>
        <v>231.36959598460686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0.91535288769599221</v>
      </c>
      <c r="AW72" s="23">
        <f>EXP(-LN(2)/2)*AW71+(1-EXP(-LN(2)/2))/(LN(2)/2)*AQ72*AT72*VLOOKUP('Données projet'!$B$10,Paramètres!$A$1:$I$89,3,0)*0.475*44/12</f>
        <v>1.6925414153298897E-5</v>
      </c>
      <c r="AX72" s="23">
        <f t="shared" si="60"/>
        <v>0.91536981311014554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235.19999999999996</v>
      </c>
      <c r="BE72" s="14">
        <f>BD72*VLOOKUP('Données projet'!$B$11,Paramètres!$A$1:$I$89,3,0)*VLOOKUP('Données projet'!$B$11,Paramètres!$A$1:$I$89,5,0)</f>
        <v>198.13247999999999</v>
      </c>
      <c r="BF72" s="14">
        <f t="shared" si="91"/>
        <v>49.333519530262095</v>
      </c>
      <c r="BG72" s="22">
        <f t="shared" si="61"/>
        <v>431.00328251520642</v>
      </c>
      <c r="BH72" s="62">
        <f t="shared" si="62"/>
        <v>724.33661584853974</v>
      </c>
      <c r="BI72" s="62">
        <f ca="1">AVERAGE(OFFSET($BH$3,0,0,'Données projet'!$E$11+1,1))-AVERAGE(OFFSET($H$3,0,0,'Données projet'!$E$11+1,1))</f>
        <v>348.82438445524105</v>
      </c>
      <c r="BJ72" s="62">
        <f t="shared" si="92"/>
        <v>218.26721063098552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0.85222510233764748</v>
      </c>
      <c r="BR72" s="23">
        <f>EXP(-LN(2)/2)*BR71+(1-EXP(-LN(2)/2))/(LN(2)/2)*BL72*BO72*VLOOKUP('Données projet'!$B$11,Paramètres!$A$1:$I$89,3,0)*0.475*44/12</f>
        <v>1.5758144211692081E-5</v>
      </c>
      <c r="BS72" s="24">
        <f t="shared" si="63"/>
        <v>0.85224086048185921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-1.1368683772161603E-13</v>
      </c>
      <c r="O73" s="14">
        <f>N73*VLOOKUP('Données projet'!$B$9,Paramètres!$A$1:$I$89,3,0)*VLOOKUP('Données projet'!$B$9,Paramètres!$A$1:$I$89,5,0)</f>
        <v>-6.7984728957526396E-14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348.62416478262719</v>
      </c>
      <c r="T73" s="62">
        <f t="shared" si="88"/>
        <v>371.70674704563288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2.5366225188169138</v>
      </c>
      <c r="AA73" s="23">
        <f>EXP(-LN(2)/25)*AA72+(1-EXP(-LN(2)/25))/(LN(2)/25)*Calculateur!V73*Calculateur!X73*VLOOKUP('Données projet'!$B$9,Paramètres!$A$1:$I$89,3,0)*0.475*44/12</f>
        <v>4.0039847825875441</v>
      </c>
      <c r="AB73" s="23">
        <f>EXP(-LN(2)/2)*AB72+(1-EXP(-LN(2)/2))/(LN(2)/2)*V73*Y73*VLOOKUP('Données projet'!$B$9,Paramètres!$A$1:$I$89,3,0)*0.475*44/12</f>
        <v>1.6206171651745867E-5</v>
      </c>
      <c r="AC73" s="24">
        <f t="shared" si="57"/>
        <v>6.5406235075761101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>
        <f>AI73*VLOOKUP('Données projet'!$B$10,Paramètres!$A$1:$I$89,3,0)*VLOOKUP('Données projet'!$B$10,Paramètres!$A$1:$I$89,5,0)</f>
        <v>218.96159999999998</v>
      </c>
      <c r="AK73" s="14">
        <f t="shared" si="89"/>
        <v>53.88913250370743</v>
      </c>
      <c r="AL73" s="22">
        <f t="shared" si="58"/>
        <v>475.21502577729035</v>
      </c>
      <c r="AM73" s="62">
        <f t="shared" si="59"/>
        <v>768.54835911062366</v>
      </c>
      <c r="AN73" s="62">
        <f ca="1">AVERAGE(OFFSET($AM$3,0,0,'Données projet'!$E$10+1,1))-AVERAGE(OFFSET($H$3,0,0,'Données projet'!$E$10+1,1))</f>
        <v>371.7282125501186</v>
      </c>
      <c r="AO73" s="62">
        <f t="shared" si="90"/>
        <v>231.36959598460686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0.89032251484562897</v>
      </c>
      <c r="AW73" s="23">
        <f>EXP(-LN(2)/2)*AW72+(1-EXP(-LN(2)/2))/(LN(2)/2)*AQ73*AT73*VLOOKUP('Données projet'!$B$10,Paramètres!$A$1:$I$89,3,0)*0.475*44/12</f>
        <v>1.1968075122188417E-5</v>
      </c>
      <c r="AX73" s="23">
        <f t="shared" si="60"/>
        <v>0.89033448292075112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241.99999999999997</v>
      </c>
      <c r="BE73" s="14">
        <f>BD73*VLOOKUP('Données projet'!$B$11,Paramètres!$A$1:$I$89,3,0)*VLOOKUP('Données projet'!$B$11,Paramètres!$A$1:$I$89,5,0)</f>
        <v>203.86080000000001</v>
      </c>
      <c r="BF73" s="14">
        <f t="shared" si="91"/>
        <v>50.591708220421786</v>
      </c>
      <c r="BG73" s="22">
        <f t="shared" si="61"/>
        <v>443.17145181723458</v>
      </c>
      <c r="BH73" s="62">
        <f t="shared" si="62"/>
        <v>736.50478515056784</v>
      </c>
      <c r="BI73" s="62">
        <f ca="1">AVERAGE(OFFSET($BH$3,0,0,'Données projet'!$E$11+1,1))-AVERAGE(OFFSET($H$3,0,0,'Données projet'!$E$11+1,1))</f>
        <v>348.82438445524105</v>
      </c>
      <c r="BJ73" s="62">
        <f t="shared" si="92"/>
        <v>218.26721063098552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0.8289209620976542</v>
      </c>
      <c r="BR73" s="23">
        <f>EXP(-LN(2)/2)*BR72+(1-EXP(-LN(2)/2))/(LN(2)/2)*BL73*BO73*VLOOKUP('Données projet'!$B$11,Paramètres!$A$1:$I$89,3,0)*0.475*44/12</f>
        <v>1.1142690631003013E-5</v>
      </c>
      <c r="BS73" s="24">
        <f t="shared" si="63"/>
        <v>0.82893210478828516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-1.1368683772161603E-13</v>
      </c>
      <c r="O74" s="14">
        <f>N74*VLOOKUP('Données projet'!$B$9,Paramètres!$A$1:$I$89,3,0)*VLOOKUP('Données projet'!$B$9,Paramètres!$A$1:$I$89,5,0)</f>
        <v>-6.7984728957526396E-14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348.62416478262719</v>
      </c>
      <c r="T74" s="62">
        <f t="shared" si="88"/>
        <v>371.70674704563288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2.4868808984098787</v>
      </c>
      <c r="AA74" s="23">
        <f>EXP(-LN(2)/25)*AA73+(1-EXP(-LN(2)/25))/(LN(2)/25)*Calculateur!V74*Calculateur!X74*VLOOKUP('Données projet'!$B$9,Paramètres!$A$1:$I$89,3,0)*0.475*44/12</f>
        <v>3.8944956081472792</v>
      </c>
      <c r="AB74" s="23">
        <f>EXP(-LN(2)/2)*AB73+(1-EXP(-LN(2)/2))/(LN(2)/2)*V74*Y74*VLOOKUP('Données projet'!$B$9,Paramètres!$A$1:$I$89,3,0)*0.475*44/12</f>
        <v>1.1459493872022694E-5</v>
      </c>
      <c r="AC74" s="24">
        <f t="shared" si="57"/>
        <v>6.3813879660510304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>
        <f>AI74*VLOOKUP('Données projet'!$B$10,Paramètres!$A$1:$I$89,3,0)*VLOOKUP('Données projet'!$B$10,Paramètres!$A$1:$I$89,5,0)</f>
        <v>205.57055999999997</v>
      </c>
      <c r="AK74" s="14">
        <f t="shared" si="89"/>
        <v>50.966443946767392</v>
      </c>
      <c r="AL74" s="22">
        <f t="shared" si="58"/>
        <v>446.80194854061978</v>
      </c>
      <c r="AM74" s="62">
        <f t="shared" si="59"/>
        <v>740.13528187395309</v>
      </c>
      <c r="AN74" s="62">
        <f ca="1">AVERAGE(OFFSET($AM$3,0,0,'Données projet'!$E$10+1,1))-AVERAGE(OFFSET($H$3,0,0,'Données projet'!$E$10+1,1))</f>
        <v>371.7282125501186</v>
      </c>
      <c r="AO74" s="62">
        <f t="shared" si="90"/>
        <v>231.36959598460686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0.86597659885714906</v>
      </c>
      <c r="AW74" s="23">
        <f>EXP(-LN(2)/2)*AW73+(1-EXP(-LN(2)/2))/(LN(2)/2)*AQ74*AT74*VLOOKUP('Données projet'!$B$10,Paramètres!$A$1:$I$89,3,0)*0.475*44/12</f>
        <v>8.4627070766494483E-6</v>
      </c>
      <c r="AX74" s="23">
        <f t="shared" si="60"/>
        <v>0.86598506156422572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227.19999999999996</v>
      </c>
      <c r="BE74" s="14">
        <f>BD74*VLOOKUP('Données projet'!$B$11,Paramètres!$A$1:$I$89,3,0)*VLOOKUP('Données projet'!$B$11,Paramètres!$A$1:$I$89,5,0)</f>
        <v>191.39327999999998</v>
      </c>
      <c r="BF74" s="14">
        <f t="shared" si="91"/>
        <v>47.847856170442952</v>
      </c>
      <c r="BG74" s="22">
        <f t="shared" si="61"/>
        <v>416.67831216352141</v>
      </c>
      <c r="BH74" s="62">
        <f t="shared" si="62"/>
        <v>710.01164549685473</v>
      </c>
      <c r="BI74" s="62">
        <f ca="1">AVERAGE(OFFSET($BH$3,0,0,'Données projet'!$E$11+1,1))-AVERAGE(OFFSET($H$3,0,0,'Données projet'!$E$11+1,1))</f>
        <v>348.82438445524105</v>
      </c>
      <c r="BJ74" s="62">
        <f t="shared" si="92"/>
        <v>218.26721063098552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0.80625407479803501</v>
      </c>
      <c r="BR74" s="23">
        <f>EXP(-LN(2)/2)*BR73+(1-EXP(-LN(2)/2))/(LN(2)/2)*BL74*BO74*VLOOKUP('Données projet'!$B$11,Paramètres!$A$1:$I$89,3,0)*0.475*44/12</f>
        <v>7.8790721058460407E-6</v>
      </c>
      <c r="BS74" s="24">
        <f t="shared" si="63"/>
        <v>0.80626195387014088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-1.1368683772161603E-13</v>
      </c>
      <c r="O75" s="14">
        <f>N75*VLOOKUP('Données projet'!$B$9,Paramètres!$A$1:$I$89,3,0)*VLOOKUP('Données projet'!$B$9,Paramètres!$A$1:$I$89,5,0)</f>
        <v>-6.7984728957526396E-14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348.62416478262719</v>
      </c>
      <c r="T75" s="62">
        <f t="shared" si="88"/>
        <v>371.70674704563288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2.4381146808396328</v>
      </c>
      <c r="AA75" s="23">
        <f>EXP(-LN(2)/25)*AA74+(1-EXP(-LN(2)/25))/(LN(2)/25)*Calculateur!V75*Calculateur!X75*VLOOKUP('Données projet'!$B$9,Paramètres!$A$1:$I$89,3,0)*0.475*44/12</f>
        <v>3.788000420939869</v>
      </c>
      <c r="AB75" s="23">
        <f>EXP(-LN(2)/2)*AB74+(1-EXP(-LN(2)/2))/(LN(2)/2)*V75*Y75*VLOOKUP('Données projet'!$B$9,Paramètres!$A$1:$I$89,3,0)*0.475*44/12</f>
        <v>8.1030858258729336E-6</v>
      </c>
      <c r="AC75" s="24">
        <f t="shared" si="57"/>
        <v>6.2261232048653277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2">
        <f t="shared" si="59"/>
        <v>752.04261652954642</v>
      </c>
      <c r="AN75" s="62">
        <f ca="1">AVERAGE(OFFSET($AM$3,0,0,'Données projet'!$E$10+1,1))-AVERAGE(OFFSET($H$3,0,0,'Données projet'!$E$10+1,1))</f>
        <v>371.7282125501186</v>
      </c>
      <c r="AO75" s="62">
        <f t="shared" si="90"/>
        <v>231.36959598460686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0.8422964232216702</v>
      </c>
      <c r="AW75" s="23">
        <f>EXP(-LN(2)/2)*AW74+(1-EXP(-LN(2)/2))/(LN(2)/2)*AQ75*AT75*VLOOKUP('Données projet'!$B$10,Paramètres!$A$1:$I$89,3,0)*0.475*44/12</f>
        <v>5.9840375610942087E-6</v>
      </c>
      <c r="AX75" s="23">
        <f t="shared" si="60"/>
        <v>0.84230240725923133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233.39999999999995</v>
      </c>
      <c r="BE75" s="14">
        <f>BD75*VLOOKUP('Données projet'!$B$11,Paramètres!$A$1:$I$89,3,0)*VLOOKUP('Données projet'!$B$11,Paramètres!$A$1:$I$89,5,0)</f>
        <v>196.61615999999998</v>
      </c>
      <c r="BF75" s="14">
        <f t="shared" si="91"/>
        <v>48.999765174076551</v>
      </c>
      <c r="BG75" s="22">
        <f t="shared" si="61"/>
        <v>427.78106967818326</v>
      </c>
      <c r="BH75" s="62">
        <f t="shared" si="62"/>
        <v>721.11440301151652</v>
      </c>
      <c r="BI75" s="62">
        <f ca="1">AVERAGE(OFFSET($BH$3,0,0,'Données projet'!$E$11+1,1))-AVERAGE(OFFSET($H$3,0,0,'Données projet'!$E$11+1,1))</f>
        <v>348.82438445524105</v>
      </c>
      <c r="BJ75" s="62">
        <f t="shared" si="92"/>
        <v>218.26721063098552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0.78420701472362364</v>
      </c>
      <c r="BR75" s="23">
        <f>EXP(-LN(2)/2)*BR74+(1-EXP(-LN(2)/2))/(LN(2)/2)*BL75*BO75*VLOOKUP('Données projet'!$B$11,Paramètres!$A$1:$I$89,3,0)*0.475*44/12</f>
        <v>5.5713453155015067E-6</v>
      </c>
      <c r="BS75" s="24">
        <f t="shared" si="63"/>
        <v>0.78421258606893918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-1.1368683772161603E-13</v>
      </c>
      <c r="O76" s="14">
        <f>N76*VLOOKUP('Données projet'!$B$9,Paramètres!$A$1:$I$89,3,0)*VLOOKUP('Données projet'!$B$9,Paramètres!$A$1:$I$89,5,0)</f>
        <v>-6.7984728957526396E-14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348.62416478262719</v>
      </c>
      <c r="T76" s="62">
        <f t="shared" si="88"/>
        <v>371.70674704563288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2.3903047390514836</v>
      </c>
      <c r="AA76" s="23">
        <f>EXP(-LN(2)/25)*AA75+(1-EXP(-LN(2)/25))/(LN(2)/25)*Calculateur!V76*Calculateur!X76*VLOOKUP('Données projet'!$B$9,Paramètres!$A$1:$I$89,3,0)*0.475*44/12</f>
        <v>3.6844173502269837</v>
      </c>
      <c r="AB76" s="23">
        <f>EXP(-LN(2)/2)*AB75+(1-EXP(-LN(2)/2))/(LN(2)/2)*V76*Y76*VLOOKUP('Données projet'!$B$9,Paramètres!$A$1:$I$89,3,0)*0.475*44/12</f>
        <v>5.7297469360113472E-6</v>
      </c>
      <c r="AC76" s="24">
        <f t="shared" si="57"/>
        <v>6.0747278190254024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>
        <f>AI76*VLOOKUP('Données projet'!$B$10,Paramètres!$A$1:$I$89,3,0)*VLOOKUP('Données projet'!$B$10,Paramètres!$A$1:$I$89,5,0)</f>
        <v>216.79007999999996</v>
      </c>
      <c r="AK76" s="14">
        <f t="shared" si="89"/>
        <v>53.416629794462551</v>
      </c>
      <c r="AL76" s="22">
        <f t="shared" si="58"/>
        <v>470.61001955868886</v>
      </c>
      <c r="AM76" s="62">
        <f t="shared" si="59"/>
        <v>763.94335289202218</v>
      </c>
      <c r="AN76" s="62">
        <f ca="1">AVERAGE(OFFSET($AM$3,0,0,'Données projet'!$E$10+1,1))-AVERAGE(OFFSET($H$3,0,0,'Données projet'!$E$10+1,1))</f>
        <v>371.7282125501186</v>
      </c>
      <c r="AO76" s="62">
        <f t="shared" si="90"/>
        <v>231.36959598460686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0.81926378323422977</v>
      </c>
      <c r="AW76" s="23">
        <f>EXP(-LN(2)/2)*AW75+(1-EXP(-LN(2)/2))/(LN(2)/2)*AQ76*AT76*VLOOKUP('Données projet'!$B$10,Paramètres!$A$1:$I$89,3,0)*0.475*44/12</f>
        <v>4.2313535383247241E-6</v>
      </c>
      <c r="AX76" s="23">
        <f t="shared" si="60"/>
        <v>0.8192680145877681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239.59999999999994</v>
      </c>
      <c r="BE76" s="14">
        <f>BD76*VLOOKUP('Données projet'!$B$11,Paramètres!$A$1:$I$89,3,0)*VLOOKUP('Données projet'!$B$11,Paramètres!$A$1:$I$89,5,0)</f>
        <v>201.83903999999998</v>
      </c>
      <c r="BF76" s="14">
        <f t="shared" si="91"/>
        <v>50.148117498343801</v>
      </c>
      <c r="BG76" s="22">
        <f t="shared" si="61"/>
        <v>438.87763264294875</v>
      </c>
      <c r="BH76" s="62">
        <f t="shared" si="62"/>
        <v>732.21096597628207</v>
      </c>
      <c r="BI76" s="62">
        <f ca="1">AVERAGE(OFFSET($BH$3,0,0,'Données projet'!$E$11+1,1))-AVERAGE(OFFSET($H$3,0,0,'Données projet'!$E$11+1,1))</f>
        <v>348.82438445524105</v>
      </c>
      <c r="BJ76" s="62">
        <f t="shared" si="92"/>
        <v>218.26721063098552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0.76276283266635159</v>
      </c>
      <c r="BR76" s="23">
        <f>EXP(-LN(2)/2)*BR75+(1-EXP(-LN(2)/2))/(LN(2)/2)*BL76*BO76*VLOOKUP('Données projet'!$B$11,Paramètres!$A$1:$I$89,3,0)*0.475*44/12</f>
        <v>3.9395360529230203E-6</v>
      </c>
      <c r="BS76" s="24">
        <f t="shared" si="63"/>
        <v>0.76276677220240452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-1.1368683772161603E-13</v>
      </c>
      <c r="O77" s="14">
        <f>N77*VLOOKUP('Données projet'!$B$9,Paramètres!$A$1:$I$89,3,0)*VLOOKUP('Données projet'!$B$9,Paramètres!$A$1:$I$89,5,0)</f>
        <v>-6.7984728957526396E-14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348.62416478262719</v>
      </c>
      <c r="T77" s="62">
        <f t="shared" si="88"/>
        <v>371.70674704563288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2.3434323210606149</v>
      </c>
      <c r="AA77" s="23">
        <f>EXP(-LN(2)/25)*AA76+(1-EXP(-LN(2)/25))/(LN(2)/25)*Calculateur!V77*Calculateur!X77*VLOOKUP('Données projet'!$B$9,Paramètres!$A$1:$I$89,3,0)*0.475*44/12</f>
        <v>3.5836667640299393</v>
      </c>
      <c r="AB77" s="23">
        <f>EXP(-LN(2)/2)*AB76+(1-EXP(-LN(2)/2))/(LN(2)/2)*V77*Y77*VLOOKUP('Données projet'!$B$9,Paramètres!$A$1:$I$89,3,0)*0.475*44/12</f>
        <v>4.0515429129364668E-6</v>
      </c>
      <c r="AC77" s="24">
        <f t="shared" si="57"/>
        <v>5.927103136633467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2">
        <f t="shared" si="59"/>
        <v>775.83768133226158</v>
      </c>
      <c r="AN77" s="62">
        <f ca="1">AVERAGE(OFFSET($AM$3,0,0,'Données projet'!$E$10+1,1))-AVERAGE(OFFSET($H$3,0,0,'Données projet'!$E$10+1,1))</f>
        <v>371.7282125501186</v>
      </c>
      <c r="AO77" s="62">
        <f t="shared" si="90"/>
        <v>231.36959598460686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0.79686097199847983</v>
      </c>
      <c r="AW77" s="23">
        <f>EXP(-LN(2)/2)*AW76+(1-EXP(-LN(2)/2))/(LN(2)/2)*AQ77*AT77*VLOOKUP('Données projet'!$B$10,Paramètres!$A$1:$I$89,3,0)*0.475*44/12</f>
        <v>2.9920187805471043E-6</v>
      </c>
      <c r="AX77" s="23">
        <f t="shared" si="60"/>
        <v>0.79686396401726034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245.79999999999993</v>
      </c>
      <c r="BE77" s="14">
        <f>BD77*VLOOKUP('Données projet'!$B$11,Paramètres!$A$1:$I$89,3,0)*VLOOKUP('Données projet'!$B$11,Paramètres!$A$1:$I$89,5,0)</f>
        <v>207.06191999999996</v>
      </c>
      <c r="BF77" s="14">
        <f t="shared" si="91"/>
        <v>51.293015758902222</v>
      </c>
      <c r="BG77" s="22">
        <f t="shared" si="61"/>
        <v>449.96817978008789</v>
      </c>
      <c r="BH77" s="62">
        <f t="shared" si="62"/>
        <v>743.30151311342115</v>
      </c>
      <c r="BI77" s="62">
        <f ca="1">AVERAGE(OFFSET($BH$3,0,0,'Données projet'!$E$11+1,1))-AVERAGE(OFFSET($H$3,0,0,'Données projet'!$E$11+1,1))</f>
        <v>348.82438445524105</v>
      </c>
      <c r="BJ77" s="62">
        <f t="shared" si="92"/>
        <v>218.26721063098552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0.74190504289513615</v>
      </c>
      <c r="BR77" s="23">
        <f>EXP(-LN(2)/2)*BR76+(1-EXP(-LN(2)/2))/(LN(2)/2)*BL77*BO77*VLOOKUP('Données projet'!$B$11,Paramètres!$A$1:$I$89,3,0)*0.475*44/12</f>
        <v>2.7856726577507533E-6</v>
      </c>
      <c r="BS77" s="24">
        <f t="shared" si="63"/>
        <v>0.74190782856779391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-1.1368683772161603E-13</v>
      </c>
      <c r="O78" s="14">
        <f>N78*VLOOKUP('Données projet'!$B$9,Paramètres!$A$1:$I$89,3,0)*VLOOKUP('Données projet'!$B$9,Paramètres!$A$1:$I$89,5,0)</f>
        <v>-6.7984728957526396E-14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348.62416478262719</v>
      </c>
      <c r="T78" s="62">
        <f t="shared" si="88"/>
        <v>371.70674704563288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2.2974790425971952</v>
      </c>
      <c r="AA78" s="23">
        <f>EXP(-LN(2)/25)*AA77+(1-EXP(-LN(2)/25))/(LN(2)/25)*Calculateur!V78*Calculateur!X78*VLOOKUP('Données projet'!$B$9,Paramètres!$A$1:$I$89,3,0)*0.475*44/12</f>
        <v>3.4856712079106962</v>
      </c>
      <c r="AB78" s="23">
        <f>EXP(-LN(2)/2)*AB77+(1-EXP(-LN(2)/2))/(LN(2)/2)*V78*Y78*VLOOKUP('Données projet'!$B$9,Paramètres!$A$1:$I$89,3,0)*0.475*44/12</f>
        <v>2.8648734680056736E-6</v>
      </c>
      <c r="AC78" s="24">
        <f t="shared" si="57"/>
        <v>5.7831531153813591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>
        <f>AI78*VLOOKUP('Données projet'!$B$10,Paramètres!$A$1:$I$89,3,0)*VLOOKUP('Données projet'!$B$10,Paramètres!$A$1:$I$89,5,0)</f>
        <v>228.00959999999992</v>
      </c>
      <c r="AK78" s="14">
        <f t="shared" si="89"/>
        <v>55.852093054619829</v>
      </c>
      <c r="AL78" s="22">
        <f t="shared" si="58"/>
        <v>494.3924487367961</v>
      </c>
      <c r="AM78" s="62">
        <f t="shared" si="59"/>
        <v>787.72578207012941</v>
      </c>
      <c r="AN78" s="62">
        <f ca="1">AVERAGE(OFFSET($AM$3,0,0,'Données projet'!$E$10+1,1))-AVERAGE(OFFSET($H$3,0,0,'Données projet'!$E$10+1,1))</f>
        <v>371.7282125501186</v>
      </c>
      <c r="AO78" s="62">
        <f t="shared" si="90"/>
        <v>231.36959598460686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0.77507076681408416</v>
      </c>
      <c r="AW78" s="23">
        <f>EXP(-LN(2)/2)*AW77+(1-EXP(-LN(2)/2))/(LN(2)/2)*AQ78*AT78*VLOOKUP('Données projet'!$B$10,Paramètres!$A$1:$I$89,3,0)*0.475*44/12</f>
        <v>2.1156767691623621E-6</v>
      </c>
      <c r="AX78" s="23">
        <f t="shared" si="60"/>
        <v>0.77507288249085327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251.99999999999991</v>
      </c>
      <c r="BE78" s="14">
        <f>BD78*VLOOKUP('Données projet'!$B$11,Paramètres!$A$1:$I$89,3,0)*VLOOKUP('Données projet'!$B$11,Paramètres!$A$1:$I$89,5,0)</f>
        <v>212.28479999999993</v>
      </c>
      <c r="BF78" s="14">
        <f t="shared" si="91"/>
        <v>52.434557099704143</v>
      </c>
      <c r="BG78" s="22">
        <f t="shared" si="61"/>
        <v>461.05288028198464</v>
      </c>
      <c r="BH78" s="62">
        <f t="shared" si="62"/>
        <v>754.38621361531796</v>
      </c>
      <c r="BI78" s="62">
        <f ca="1">AVERAGE(OFFSET($BH$3,0,0,'Données projet'!$E$11+1,1))-AVERAGE(OFFSET($H$3,0,0,'Données projet'!$E$11+1,1))</f>
        <v>348.82438445524105</v>
      </c>
      <c r="BJ78" s="62">
        <f t="shared" si="92"/>
        <v>218.26721063098552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0.72161761048207806</v>
      </c>
      <c r="BR78" s="23">
        <f>EXP(-LN(2)/2)*BR77+(1-EXP(-LN(2)/2))/(LN(2)/2)*BL78*BO78*VLOOKUP('Données projet'!$B$11,Paramètres!$A$1:$I$89,3,0)*0.475*44/12</f>
        <v>1.9697680264615102E-6</v>
      </c>
      <c r="BS78" s="24">
        <f t="shared" si="63"/>
        <v>0.72161958025010453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-1.1368683772161603E-13</v>
      </c>
      <c r="O79" s="14">
        <f>N79*VLOOKUP('Données projet'!$B$9,Paramètres!$A$1:$I$89,3,0)*VLOOKUP('Données projet'!$B$9,Paramètres!$A$1:$I$89,5,0)</f>
        <v>-6.7984728957526396E-14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348.62416478262719</v>
      </c>
      <c r="T79" s="62">
        <f t="shared" si="88"/>
        <v>371.70674704563288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2.2524268798957108</v>
      </c>
      <c r="AA79" s="23">
        <f>EXP(-LN(2)/25)*AA78+(1-EXP(-LN(2)/25))/(LN(2)/25)*Calculateur!V79*Calculateur!X79*VLOOKUP('Données projet'!$B$9,Paramètres!$A$1:$I$89,3,0)*0.475*44/12</f>
        <v>3.390355345426896</v>
      </c>
      <c r="AB79" s="23">
        <f>EXP(-LN(2)/2)*AB78+(1-EXP(-LN(2)/2))/(LN(2)/2)*V79*Y79*VLOOKUP('Données projet'!$B$9,Paramètres!$A$1:$I$89,3,0)*0.475*44/12</f>
        <v>2.0257714564682334E-6</v>
      </c>
      <c r="AC79" s="24">
        <f t="shared" si="57"/>
        <v>5.6427842510940636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214.43759999999989</v>
      </c>
      <c r="AK79" s="14">
        <f t="shared" si="89"/>
        <v>52.904129603372375</v>
      </c>
      <c r="AL79" s="22">
        <f t="shared" si="58"/>
        <v>465.62017905920658</v>
      </c>
      <c r="AM79" s="62">
        <f t="shared" si="59"/>
        <v>758.95351239253989</v>
      </c>
      <c r="AN79" s="62">
        <f ca="1">AVERAGE(OFFSET($AM$3,0,0,'Données projet'!$E$10+1,1))-AVERAGE(OFFSET($H$3,0,0,'Données projet'!$E$10+1,1))</f>
        <v>371.7282125501186</v>
      </c>
      <c r="AO79" s="62">
        <f t="shared" si="90"/>
        <v>231.36959598460686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0.7538764159363528</v>
      </c>
      <c r="AW79" s="23">
        <f>EXP(-LN(2)/2)*AW78+(1-EXP(-LN(2)/2))/(LN(2)/2)*AQ79*AT79*VLOOKUP('Données projet'!$B$10,Paramètres!$A$1:$I$89,3,0)*0.475*44/12</f>
        <v>1.4960093902735522E-6</v>
      </c>
      <c r="AX79" s="23">
        <f t="shared" si="60"/>
        <v>0.75387791194574305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236.99999999999989</v>
      </c>
      <c r="BE79" s="14">
        <f>BD79*VLOOKUP('Données projet'!$B$11,Paramètres!$A$1:$I$89,3,0)*VLOOKUP('Données projet'!$B$11,Paramètres!$A$1:$I$89,5,0)</f>
        <v>199.64879999999994</v>
      </c>
      <c r="BF79" s="14">
        <f t="shared" si="91"/>
        <v>49.666976701936271</v>
      </c>
      <c r="BG79" s="22">
        <f t="shared" si="61"/>
        <v>434.22497775587226</v>
      </c>
      <c r="BH79" s="62">
        <f t="shared" si="62"/>
        <v>727.55831108920552</v>
      </c>
      <c r="BI79" s="62">
        <f ca="1">AVERAGE(OFFSET($BH$3,0,0,'Données projet'!$E$11+1,1))-AVERAGE(OFFSET($H$3,0,0,'Données projet'!$E$11+1,1))</f>
        <v>348.82438445524105</v>
      </c>
      <c r="BJ79" s="62">
        <f t="shared" si="92"/>
        <v>218.26721063098552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0.70188493897522475</v>
      </c>
      <c r="BR79" s="23">
        <f>EXP(-LN(2)/2)*BR78+(1-EXP(-LN(2)/2))/(LN(2)/2)*BL79*BO79*VLOOKUP('Données projet'!$B$11,Paramètres!$A$1:$I$89,3,0)*0.475*44/12</f>
        <v>1.3928363288753767E-6</v>
      </c>
      <c r="BS79" s="24">
        <f t="shared" si="63"/>
        <v>0.70188633181155358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-1.1368683772161603E-13</v>
      </c>
      <c r="O80" s="14">
        <f>N80*VLOOKUP('Données projet'!$B$9,Paramètres!$A$1:$I$89,3,0)*VLOOKUP('Données projet'!$B$9,Paramètres!$A$1:$I$89,5,0)</f>
        <v>-6.7984728957526396E-14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348.62416478262719</v>
      </c>
      <c r="T80" s="62">
        <f t="shared" si="88"/>
        <v>371.70674704563288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2.2082581626256967</v>
      </c>
      <c r="AA80" s="23">
        <f>EXP(-LN(2)/25)*AA79+(1-EXP(-LN(2)/25))/(LN(2)/25)*Calculateur!V80*Calculateur!X80*VLOOKUP('Données projet'!$B$9,Paramètres!$A$1:$I$89,3,0)*0.475*44/12</f>
        <v>3.2976459002151586</v>
      </c>
      <c r="AB80" s="23">
        <f>EXP(-LN(2)/2)*AB79+(1-EXP(-LN(2)/2))/(LN(2)/2)*V80*Y80*VLOOKUP('Données projet'!$B$9,Paramètres!$A$1:$I$89,3,0)*0.475*44/12</f>
        <v>1.4324367340028368E-6</v>
      </c>
      <c r="AC80" s="24">
        <f t="shared" si="57"/>
        <v>5.505905495277589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219.86639999999989</v>
      </c>
      <c r="AK80" s="14">
        <f t="shared" si="89"/>
        <v>54.085847394182416</v>
      </c>
      <c r="AL80" s="22">
        <f t="shared" si="58"/>
        <v>477.13349754486745</v>
      </c>
      <c r="AM80" s="62">
        <f t="shared" si="59"/>
        <v>770.46683087820077</v>
      </c>
      <c r="AN80" s="62">
        <f ca="1">AVERAGE(OFFSET($AM$3,0,0,'Données projet'!$E$10+1,1))-AVERAGE(OFFSET($H$3,0,0,'Données projet'!$E$10+1,1))</f>
        <v>371.7282125501186</v>
      </c>
      <c r="AO80" s="62">
        <f t="shared" si="90"/>
        <v>231.36959598460686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0.73326162569793552</v>
      </c>
      <c r="AW80" s="23">
        <f>EXP(-LN(2)/2)*AW79+(1-EXP(-LN(2)/2))/(LN(2)/2)*AQ80*AT80*VLOOKUP('Données projet'!$B$10,Paramètres!$A$1:$I$89,3,0)*0.475*44/12</f>
        <v>1.057838384581181E-6</v>
      </c>
      <c r="AX80" s="23">
        <f t="shared" si="60"/>
        <v>0.73326268353632007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242.99999999999989</v>
      </c>
      <c r="BE80" s="14">
        <f>BD80*VLOOKUP('Données projet'!$B$11,Paramètres!$A$1:$I$89,3,0)*VLOOKUP('Données projet'!$B$11,Paramètres!$A$1:$I$89,5,0)</f>
        <v>204.70319999999992</v>
      </c>
      <c r="BF80" s="14">
        <f t="shared" si="91"/>
        <v>50.776386315598728</v>
      </c>
      <c r="BG80" s="22">
        <f t="shared" si="61"/>
        <v>444.96027949966765</v>
      </c>
      <c r="BH80" s="62">
        <f t="shared" si="62"/>
        <v>738.29361283300091</v>
      </c>
      <c r="BI80" s="62">
        <f ca="1">AVERAGE(OFFSET($BH$3,0,0,'Données projet'!$E$11+1,1))-AVERAGE(OFFSET($H$3,0,0,'Données projet'!$E$11+1,1))</f>
        <v>348.82438445524105</v>
      </c>
      <c r="BJ80" s="62">
        <f t="shared" si="92"/>
        <v>218.26721063098552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0.6826918584084225</v>
      </c>
      <c r="BR80" s="23">
        <f>EXP(-LN(2)/2)*BR79+(1-EXP(-LN(2)/2))/(LN(2)/2)*BL80*BO80*VLOOKUP('Données projet'!$B$11,Paramètres!$A$1:$I$89,3,0)*0.475*44/12</f>
        <v>9.8488401323075508E-7</v>
      </c>
      <c r="BS80" s="24">
        <f t="shared" si="63"/>
        <v>0.68269284329243574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-1.1368683772161603E-13</v>
      </c>
      <c r="O81" s="14">
        <f>N81*VLOOKUP('Données projet'!$B$9,Paramètres!$A$1:$I$89,3,0)*VLOOKUP('Données projet'!$B$9,Paramètres!$A$1:$I$89,5,0)</f>
        <v>-6.7984728957526396E-14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348.62416478262719</v>
      </c>
      <c r="T81" s="62">
        <f t="shared" si="88"/>
        <v>371.70674704563288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2.16495556696109</v>
      </c>
      <c r="AA81" s="23">
        <f>EXP(-LN(2)/25)*AA80+(1-EXP(-LN(2)/25))/(LN(2)/25)*Calculateur!V81*Calculateur!X81*VLOOKUP('Données projet'!$B$9,Paramètres!$A$1:$I$89,3,0)*0.475*44/12</f>
        <v>3.2074715996581142</v>
      </c>
      <c r="AB81" s="23">
        <f>EXP(-LN(2)/2)*AB80+(1-EXP(-LN(2)/2))/(LN(2)/2)*V81*Y81*VLOOKUP('Données projet'!$B$9,Paramètres!$A$1:$I$89,3,0)*0.475*44/12</f>
        <v>1.0128857282341167E-6</v>
      </c>
      <c r="AC81" s="24">
        <f t="shared" si="57"/>
        <v>5.372428179504932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225.29519999999991</v>
      </c>
      <c r="AK81" s="14">
        <f t="shared" si="89"/>
        <v>55.264173352293078</v>
      </c>
      <c r="AL81" s="22">
        <f t="shared" si="58"/>
        <v>488.64090858857691</v>
      </c>
      <c r="AM81" s="62">
        <f t="shared" si="59"/>
        <v>781.97424192191022</v>
      </c>
      <c r="AN81" s="62">
        <f ca="1">AVERAGE(OFFSET($AM$3,0,0,'Données projet'!$E$10+1,1))-AVERAGE(OFFSET($H$3,0,0,'Données projet'!$E$10+1,1))</f>
        <v>371.7282125501186</v>
      </c>
      <c r="AO81" s="62">
        <f t="shared" si="90"/>
        <v>231.36959598460686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0.71321054798267247</v>
      </c>
      <c r="AW81" s="23">
        <f>EXP(-LN(2)/2)*AW80+(1-EXP(-LN(2)/2))/(LN(2)/2)*AQ81*AT81*VLOOKUP('Données projet'!$B$10,Paramètres!$A$1:$I$89,3,0)*0.475*44/12</f>
        <v>7.4800469513677609E-7</v>
      </c>
      <c r="AX81" s="23">
        <f t="shared" si="60"/>
        <v>0.71321129598736765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248.99999999999989</v>
      </c>
      <c r="BE81" s="14">
        <f>BD81*VLOOKUP('Données projet'!$B$11,Paramètres!$A$1:$I$89,3,0)*VLOOKUP('Données projet'!$B$11,Paramètres!$A$1:$I$89,5,0)</f>
        <v>209.75759999999994</v>
      </c>
      <c r="BF81" s="14">
        <f t="shared" si="91"/>
        <v>51.88261163954845</v>
      </c>
      <c r="BG81" s="22">
        <f t="shared" si="61"/>
        <v>455.69003527221344</v>
      </c>
      <c r="BH81" s="62">
        <f t="shared" si="62"/>
        <v>749.02336860554669</v>
      </c>
      <c r="BI81" s="62">
        <f ca="1">AVERAGE(OFFSET($BH$3,0,0,'Données projet'!$E$11+1,1))-AVERAGE(OFFSET($H$3,0,0,'Données projet'!$E$11+1,1))</f>
        <v>348.82438445524105</v>
      </c>
      <c r="BJ81" s="62">
        <f t="shared" si="92"/>
        <v>218.26721063098552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0.66402361363903972</v>
      </c>
      <c r="BR81" s="23">
        <f>EXP(-LN(2)/2)*BR80+(1-EXP(-LN(2)/2))/(LN(2)/2)*BL81*BO81*VLOOKUP('Données projet'!$B$11,Paramètres!$A$1:$I$89,3,0)*0.475*44/12</f>
        <v>6.9641816443768834E-7</v>
      </c>
      <c r="BS81" s="24">
        <f t="shared" si="63"/>
        <v>0.66402431005720419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-1.1368683772161603E-13</v>
      </c>
      <c r="O82" s="14">
        <f>N82*VLOOKUP('Données projet'!$B$9,Paramètres!$A$1:$I$89,3,0)*VLOOKUP('Données projet'!$B$9,Paramètres!$A$1:$I$89,5,0)</f>
        <v>-6.7984728957526396E-14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348.62416478262719</v>
      </c>
      <c r="T82" s="62">
        <f t="shared" si="88"/>
        <v>371.70674704563288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2.1225021087854912</v>
      </c>
      <c r="AA82" s="23">
        <f>EXP(-LN(2)/25)*AA81+(1-EXP(-LN(2)/25))/(LN(2)/25)*Calculateur!V82*Calculateur!X82*VLOOKUP('Données projet'!$B$9,Paramètres!$A$1:$I$89,3,0)*0.475*44/12</f>
        <v>3.1197631200918625</v>
      </c>
      <c r="AB82" s="23">
        <f>EXP(-LN(2)/2)*AB81+(1-EXP(-LN(2)/2))/(LN(2)/2)*V82*Y82*VLOOKUP('Données projet'!$B$9,Paramètres!$A$1:$I$89,3,0)*0.475*44/12</f>
        <v>7.1621836700141841E-7</v>
      </c>
      <c r="AC82" s="24">
        <f t="shared" si="57"/>
        <v>5.2422659450957214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230.72399999999988</v>
      </c>
      <c r="AK82" s="14">
        <f t="shared" si="89"/>
        <v>56.439198612082045</v>
      </c>
      <c r="AL82" s="22">
        <f t="shared" si="58"/>
        <v>500.14257091604264</v>
      </c>
      <c r="AM82" s="62">
        <f t="shared" si="59"/>
        <v>793.47590424937596</v>
      </c>
      <c r="AN82" s="62">
        <f ca="1">AVERAGE(OFFSET($AM$3,0,0,'Données projet'!$E$10+1,1))-AVERAGE(OFFSET($H$3,0,0,'Données projet'!$E$10+1,1))</f>
        <v>371.7282125501186</v>
      </c>
      <c r="AO82" s="62">
        <f t="shared" si="90"/>
        <v>231.36959598460686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0.69370776804197365</v>
      </c>
      <c r="AW82" s="23">
        <f>EXP(-LN(2)/2)*AW81+(1-EXP(-LN(2)/2))/(LN(2)/2)*AQ82*AT82*VLOOKUP('Données projet'!$B$10,Paramètres!$A$1:$I$89,3,0)*0.475*44/12</f>
        <v>5.2891919229059052E-7</v>
      </c>
      <c r="AX82" s="23">
        <f t="shared" si="60"/>
        <v>0.69370829696116598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254.99999999999989</v>
      </c>
      <c r="BE82" s="14">
        <f>BD82*VLOOKUP('Données projet'!$B$11,Paramètres!$A$1:$I$89,3,0)*VLOOKUP('Données projet'!$B$11,Paramètres!$A$1:$I$89,5,0)</f>
        <v>214.81199999999995</v>
      </c>
      <c r="BF82" s="14">
        <f t="shared" si="91"/>
        <v>52.985738231738054</v>
      </c>
      <c r="BG82" s="22">
        <f t="shared" si="61"/>
        <v>466.41439408694367</v>
      </c>
      <c r="BH82" s="62">
        <f t="shared" si="62"/>
        <v>759.74772742027699</v>
      </c>
      <c r="BI82" s="62">
        <f ca="1">AVERAGE(OFFSET($BH$3,0,0,'Données projet'!$E$11+1,1))-AVERAGE(OFFSET($H$3,0,0,'Données projet'!$E$11+1,1))</f>
        <v>348.82438445524105</v>
      </c>
      <c r="BJ82" s="62">
        <f t="shared" si="92"/>
        <v>218.26721063098552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0.64586585300459598</v>
      </c>
      <c r="BR82" s="23">
        <f>EXP(-LN(2)/2)*BR81+(1-EXP(-LN(2)/2))/(LN(2)/2)*BL82*BO82*VLOOKUP('Données projet'!$B$11,Paramètres!$A$1:$I$89,3,0)*0.475*44/12</f>
        <v>4.9244200661537754E-7</v>
      </c>
      <c r="BS82" s="24">
        <f t="shared" si="63"/>
        <v>0.6458663454466026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-1.1368683772161603E-13</v>
      </c>
      <c r="O83" s="14">
        <f>N83*VLOOKUP('Données projet'!$B$9,Paramètres!$A$1:$I$89,3,0)*VLOOKUP('Données projet'!$B$9,Paramètres!$A$1:$I$89,5,0)</f>
        <v>-6.7984728957526396E-14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348.62416478262719</v>
      </c>
      <c r="T83" s="62">
        <f t="shared" si="88"/>
        <v>371.70674704563288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2.080881137030663</v>
      </c>
      <c r="AA83" s="23">
        <f>EXP(-LN(2)/25)*AA82+(1-EXP(-LN(2)/25))/(LN(2)/25)*Calculateur!V83*Calculateur!X83*VLOOKUP('Données projet'!$B$9,Paramètres!$A$1:$I$89,3,0)*0.475*44/12</f>
        <v>3.0344530335117383</v>
      </c>
      <c r="AB83" s="23">
        <f>EXP(-LN(2)/2)*AB82+(1-EXP(-LN(2)/2))/(LN(2)/2)*V83*Y83*VLOOKUP('Données projet'!$B$9,Paramètres!$A$1:$I$89,3,0)*0.475*44/12</f>
        <v>5.0644286411705835E-7</v>
      </c>
      <c r="AC83" s="24">
        <f t="shared" si="57"/>
        <v>5.1153346769852659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236.15279999999987</v>
      </c>
      <c r="AK83" s="14">
        <f t="shared" si="89"/>
        <v>57.61100977459931</v>
      </c>
      <c r="AL83" s="22">
        <f t="shared" si="58"/>
        <v>511.63863535742689</v>
      </c>
      <c r="AM83" s="62">
        <f t="shared" si="59"/>
        <v>804.97196869076015</v>
      </c>
      <c r="AN83" s="62">
        <f ca="1">AVERAGE(OFFSET($AM$3,0,0,'Données projet'!$E$10+1,1))-AVERAGE(OFFSET($H$3,0,0,'Données projet'!$E$10+1,1))</f>
        <v>371.7282125501186</v>
      </c>
      <c r="AO83" s="62">
        <f t="shared" si="90"/>
        <v>231.36959598460686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0.67473829264435981</v>
      </c>
      <c r="AW83" s="23">
        <f>EXP(-LN(2)/2)*AW82+(1-EXP(-LN(2)/2))/(LN(2)/2)*AQ83*AT83*VLOOKUP('Données projet'!$B$10,Paramètres!$A$1:$I$89,3,0)*0.475*44/12</f>
        <v>3.7400234756838804E-7</v>
      </c>
      <c r="AX83" s="23">
        <f t="shared" si="60"/>
        <v>0.67473866664670734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261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260.99999999999989</v>
      </c>
      <c r="BE83" s="14">
        <f>BD83*VLOOKUP('Données projet'!$B$11,Paramètres!$A$1:$I$89,3,0)*VLOOKUP('Données projet'!$B$11,Paramètres!$A$1:$I$89,5,0)</f>
        <v>219.86639999999991</v>
      </c>
      <c r="BF83" s="14">
        <f t="shared" si="91"/>
        <v>54.085847394182416</v>
      </c>
      <c r="BG83" s="22">
        <f t="shared" si="61"/>
        <v>477.13349754486757</v>
      </c>
      <c r="BH83" s="62">
        <f t="shared" si="62"/>
        <v>770.46683087820088</v>
      </c>
      <c r="BI83" s="62">
        <f ca="1">AVERAGE(OFFSET($BH$3,0,0,'Données projet'!$E$11+1,1))-AVERAGE(OFFSET($H$3,0,0,'Données projet'!$E$11+1,1))</f>
        <v>348.82438445524105</v>
      </c>
      <c r="BJ83" s="62">
        <f t="shared" si="92"/>
        <v>218.26721063098552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0.62820461728957622</v>
      </c>
      <c r="BR83" s="23">
        <f>EXP(-LN(2)/2)*BR82+(1-EXP(-LN(2)/2))/(LN(2)/2)*BL83*BO83*VLOOKUP('Données projet'!$B$11,Paramètres!$A$1:$I$89,3,0)*0.475*44/12</f>
        <v>3.4820908221884417E-7</v>
      </c>
      <c r="BS83" s="24">
        <f t="shared" si="63"/>
        <v>0.62820496549865845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-1.1368683772161603E-13</v>
      </c>
      <c r="O84" s="14">
        <f>N84*VLOOKUP('Données projet'!$B$9,Paramètres!$A$1:$I$89,3,0)*VLOOKUP('Données projet'!$B$9,Paramètres!$A$1:$I$89,5,0)</f>
        <v>-6.7984728957526396E-14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348.62416478262719</v>
      </c>
      <c r="T84" s="62">
        <f t="shared" si="88"/>
        <v>371.70674704563288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2.0400763271456612</v>
      </c>
      <c r="AA84" s="23">
        <f>EXP(-LN(2)/25)*AA83+(1-EXP(-LN(2)/25))/(LN(2)/25)*Calculateur!V84*Calculateur!X84*VLOOKUP('Données projet'!$B$9,Paramètres!$A$1:$I$89,3,0)*0.475*44/12</f>
        <v>2.9514757557354101</v>
      </c>
      <c r="AB84" s="23">
        <f>EXP(-LN(2)/2)*AB83+(1-EXP(-LN(2)/2))/(LN(2)/2)*V84*Y84*VLOOKUP('Données projet'!$B$9,Paramètres!$A$1:$I$89,3,0)*0.475*44/12</f>
        <v>3.581091835007092E-7</v>
      </c>
      <c r="AC84" s="24">
        <f t="shared" si="57"/>
        <v>4.9915524409902545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</v>
      </c>
      <c r="AJ84" s="14">
        <f>AI84*VLOOKUP('Données projet'!$B$10,Paramètres!$A$1:$I$89,3,0)*VLOOKUP('Données projet'!$B$10,Paramètres!$A$1:$I$89,5,0)</f>
        <v>222.3998399999999</v>
      </c>
      <c r="AK84" s="14">
        <f t="shared" si="89"/>
        <v>54.636149281681448</v>
      </c>
      <c r="AL84" s="22">
        <f t="shared" si="58"/>
        <v>482.50434799892832</v>
      </c>
      <c r="AM84" s="62">
        <f t="shared" si="59"/>
        <v>775.83768133226158</v>
      </c>
      <c r="AN84" s="62">
        <f ca="1">AVERAGE(OFFSET($AM$3,0,0,'Données projet'!$E$10+1,1))-AVERAGE(OFFSET($H$3,0,0,'Données projet'!$E$10+1,1))</f>
        <v>371.7282125501186</v>
      </c>
      <c r="AO84" s="62">
        <f t="shared" si="90"/>
        <v>231.36959598460686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0.65628753854905508</v>
      </c>
      <c r="AW84" s="23">
        <f>EXP(-LN(2)/2)*AW83+(1-EXP(-LN(2)/2))/(LN(2)/2)*AQ84*AT84*VLOOKUP('Données projet'!$B$10,Paramètres!$A$1:$I$89,3,0)*0.475*44/12</f>
        <v>2.6445959614529526E-7</v>
      </c>
      <c r="AX84" s="23">
        <f t="shared" si="60"/>
        <v>0.65628780300865119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5.8</v>
      </c>
      <c r="BD84" s="13">
        <f>IF('Données projet'!$A$88&gt;35,BD83+BC84-BL83,IF(A84&lt;'Données projet'!$A$88,$BA$205^A84,IF(A84='Données projet'!$A$88,'Données projet'!$B$88,BD83+BC84-BL83)))</f>
        <v>245.7999999999999</v>
      </c>
      <c r="BE84" s="14">
        <f>BD84*VLOOKUP('Données projet'!$B$11,Paramètres!$A$1:$I$89,3,0)*VLOOKUP('Données projet'!$B$11,Paramètres!$A$1:$I$89,5,0)</f>
        <v>207.06191999999993</v>
      </c>
      <c r="BF84" s="14">
        <f t="shared" si="91"/>
        <v>51.293015758902222</v>
      </c>
      <c r="BG84" s="22">
        <f t="shared" si="61"/>
        <v>449.96817978008789</v>
      </c>
      <c r="BH84" s="62">
        <f t="shared" si="62"/>
        <v>743.30151311342115</v>
      </c>
      <c r="BI84" s="62">
        <f ca="1">AVERAGE(OFFSET($BH$3,0,0,'Données projet'!$E$11+1,1))-AVERAGE(OFFSET($H$3,0,0,'Données projet'!$E$11+1,1))</f>
        <v>348.82438445524105</v>
      </c>
      <c r="BJ84" s="62">
        <f t="shared" si="92"/>
        <v>218.26721063098552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0.61102632899394771</v>
      </c>
      <c r="BR84" s="23">
        <f>EXP(-LN(2)/2)*BR83+(1-EXP(-LN(2)/2))/(LN(2)/2)*BL84*BO84*VLOOKUP('Données projet'!$B$11,Paramètres!$A$1:$I$89,3,0)*0.475*44/12</f>
        <v>2.4622100330768877E-7</v>
      </c>
      <c r="BS84" s="24">
        <f t="shared" si="63"/>
        <v>0.61102657521495096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-1.1368683772161603E-13</v>
      </c>
      <c r="O85" s="14">
        <f>N85*VLOOKUP('Données projet'!$B$9,Paramètres!$A$1:$I$89,3,0)*VLOOKUP('Données projet'!$B$9,Paramètres!$A$1:$I$89,5,0)</f>
        <v>-6.7984728957526396E-14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348.62416478262719</v>
      </c>
      <c r="T85" s="62">
        <f t="shared" si="88"/>
        <v>371.70674704563288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2.0000716746940275</v>
      </c>
      <c r="AA85" s="23">
        <f>EXP(-LN(2)/25)*AA84+(1-EXP(-LN(2)/25))/(LN(2)/25)*Calculateur!V85*Calculateur!X85*VLOOKUP('Données projet'!$B$9,Paramètres!$A$1:$I$89,3,0)*0.475*44/12</f>
        <v>2.8707674959834608</v>
      </c>
      <c r="AB85" s="23">
        <f>EXP(-LN(2)/2)*AB84+(1-EXP(-LN(2)/2))/(LN(2)/2)*V85*Y85*VLOOKUP('Données projet'!$B$9,Paramètres!$A$1:$I$89,3,0)*0.475*44/12</f>
        <v>2.5322143205852918E-7</v>
      </c>
      <c r="AC85" s="24">
        <f t="shared" si="57"/>
        <v>4.8708394238989206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251.59999999999991</v>
      </c>
      <c r="AJ85" s="14">
        <f>AI85*VLOOKUP('Données projet'!$B$10,Paramètres!$A$1:$I$89,3,0)*VLOOKUP('Données projet'!$B$10,Paramètres!$A$1:$I$89,5,0)</f>
        <v>227.64767999999992</v>
      </c>
      <c r="AK85" s="14">
        <f t="shared" si="89"/>
        <v>55.773751036838313</v>
      </c>
      <c r="AL85" s="22">
        <f t="shared" si="58"/>
        <v>493.62565905582659</v>
      </c>
      <c r="AM85" s="62">
        <f t="shared" si="59"/>
        <v>786.9589923891599</v>
      </c>
      <c r="AN85" s="62">
        <f ca="1">AVERAGE(OFFSET($AM$3,0,0,'Données projet'!$E$10+1,1))-AVERAGE(OFFSET($H$3,0,0,'Données projet'!$E$10+1,1))</f>
        <v>371.7282125501186</v>
      </c>
      <c r="AO85" s="62">
        <f t="shared" si="90"/>
        <v>231.36959598460686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0.6383413212947695</v>
      </c>
      <c r="AW85" s="23">
        <f>EXP(-LN(2)/2)*AW84+(1-EXP(-LN(2)/2))/(LN(2)/2)*AQ85*AT85*VLOOKUP('Données projet'!$B$10,Paramètres!$A$1:$I$89,3,0)*0.475*44/12</f>
        <v>1.8700117378419402E-7</v>
      </c>
      <c r="AX85" s="23">
        <f t="shared" si="60"/>
        <v>0.63834150829594327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5.8</v>
      </c>
      <c r="BD85" s="13">
        <f>IF('Données projet'!$A$88&gt;35,BD84+BC85-BL84,IF(A85&lt;'Données projet'!$A$88,$BA$205^A85,IF(A85='Données projet'!$A$88,'Données projet'!$B$88,BD84+BC85-BL84)))</f>
        <v>251.59999999999991</v>
      </c>
      <c r="BE85" s="14">
        <f>BD85*VLOOKUP('Données projet'!$B$11,Paramètres!$A$1:$I$89,3,0)*VLOOKUP('Données projet'!$B$11,Paramètres!$A$1:$I$89,5,0)</f>
        <v>211.94783999999993</v>
      </c>
      <c r="BF85" s="14">
        <f t="shared" si="91"/>
        <v>52.361008754780862</v>
      </c>
      <c r="BG85" s="22">
        <f t="shared" si="61"/>
        <v>460.33791158124319</v>
      </c>
      <c r="BH85" s="62">
        <f t="shared" si="62"/>
        <v>753.6712449145765</v>
      </c>
      <c r="BI85" s="62">
        <f ca="1">AVERAGE(OFFSET($BH$3,0,0,'Données projet'!$E$11+1,1))-AVERAGE(OFFSET($H$3,0,0,'Données projet'!$E$11+1,1))</f>
        <v>348.82438445524105</v>
      </c>
      <c r="BJ85" s="62">
        <f t="shared" si="92"/>
        <v>218.26721063098552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0.59431778189513007</v>
      </c>
      <c r="BR85" s="23">
        <f>EXP(-LN(2)/2)*BR84+(1-EXP(-LN(2)/2))/(LN(2)/2)*BL85*BO85*VLOOKUP('Données projet'!$B$11,Paramètres!$A$1:$I$89,3,0)*0.475*44/12</f>
        <v>1.7410454110942208E-7</v>
      </c>
      <c r="BS85" s="24">
        <f t="shared" si="63"/>
        <v>0.59431795599967119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-1.1368683772161603E-13</v>
      </c>
      <c r="O86" s="14">
        <f>N86*VLOOKUP('Données projet'!$B$9,Paramètres!$A$1:$I$89,3,0)*VLOOKUP('Données projet'!$B$9,Paramètres!$A$1:$I$89,5,0)</f>
        <v>-6.7984728957526396E-14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348.62416478262719</v>
      </c>
      <c r="T86" s="62">
        <f t="shared" si="88"/>
        <v>371.70674704563288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1.9608514890765418</v>
      </c>
      <c r="AA86" s="23">
        <f>EXP(-LN(2)/25)*AA85+(1-EXP(-LN(2)/25))/(LN(2)/25)*Calculateur!V86*Calculateur!X86*VLOOKUP('Données projet'!$B$9,Paramètres!$A$1:$I$89,3,0)*0.475*44/12</f>
        <v>2.7922662078386917</v>
      </c>
      <c r="AB86" s="23">
        <f>EXP(-LN(2)/2)*AB85+(1-EXP(-LN(2)/2))/(LN(2)/2)*V86*Y86*VLOOKUP('Données projet'!$B$9,Paramètres!$A$1:$I$89,3,0)*0.475*44/12</f>
        <v>1.790545917503546E-7</v>
      </c>
      <c r="AC86" s="24">
        <f t="shared" si="57"/>
        <v>4.7531178759698252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257.39999999999992</v>
      </c>
      <c r="AJ86" s="14">
        <f>AI86*VLOOKUP('Données projet'!$B$10,Paramètres!$A$1:$I$89,3,0)*VLOOKUP('Données projet'!$B$10,Paramètres!$A$1:$I$89,5,0)</f>
        <v>232.89551999999992</v>
      </c>
      <c r="AK86" s="14">
        <f t="shared" si="89"/>
        <v>56.908304063818662</v>
      </c>
      <c r="AL86" s="22">
        <f t="shared" si="58"/>
        <v>504.74166024448397</v>
      </c>
      <c r="AM86" s="62">
        <f t="shared" si="59"/>
        <v>798.07499357781728</v>
      </c>
      <c r="AN86" s="62">
        <f ca="1">AVERAGE(OFFSET($AM$3,0,0,'Données projet'!$E$10+1,1))-AVERAGE(OFFSET($H$3,0,0,'Données projet'!$E$10+1,1))</f>
        <v>371.7282125501186</v>
      </c>
      <c r="AO86" s="62">
        <f t="shared" si="90"/>
        <v>231.36959598460686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0.62088584429505289</v>
      </c>
      <c r="AW86" s="23">
        <f>EXP(-LN(2)/2)*AW85+(1-EXP(-LN(2)/2))/(LN(2)/2)*AQ86*AT86*VLOOKUP('Données projet'!$B$10,Paramètres!$A$1:$I$89,3,0)*0.475*44/12</f>
        <v>1.3222979807264763E-7</v>
      </c>
      <c r="AX86" s="23">
        <f t="shared" si="60"/>
        <v>0.620885976524851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5.8</v>
      </c>
      <c r="BD86" s="13">
        <f>IF('Données projet'!$A$88&gt;35,BD85+BC86-BL85,IF(A86&lt;'Données projet'!$A$88,$BA$205^A86,IF(A86='Données projet'!$A$88,'Données projet'!$B$88,BD85+BC86-BL85)))</f>
        <v>257.39999999999992</v>
      </c>
      <c r="BE86" s="14">
        <f>BD86*VLOOKUP('Données projet'!$B$11,Paramètres!$A$1:$I$89,3,0)*VLOOKUP('Données projet'!$B$11,Paramètres!$A$1:$I$89,5,0)</f>
        <v>216.83375999999993</v>
      </c>
      <c r="BF86" s="14">
        <f t="shared" si="91"/>
        <v>53.426139571233229</v>
      </c>
      <c r="BG86" s="22">
        <f t="shared" si="61"/>
        <v>470.70265841989777</v>
      </c>
      <c r="BH86" s="62">
        <f t="shared" si="62"/>
        <v>764.03599175323109</v>
      </c>
      <c r="BI86" s="62">
        <f ca="1">AVERAGE(OFFSET($BH$3,0,0,'Données projet'!$E$11+1,1))-AVERAGE(OFFSET($H$3,0,0,'Données projet'!$E$11+1,1))</f>
        <v>348.82438445524105</v>
      </c>
      <c r="BJ86" s="62">
        <f t="shared" si="92"/>
        <v>218.26721063098552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0.57806613089539394</v>
      </c>
      <c r="BR86" s="23">
        <f>EXP(-LN(2)/2)*BR85+(1-EXP(-LN(2)/2))/(LN(2)/2)*BL86*BO86*VLOOKUP('Données projet'!$B$11,Paramètres!$A$1:$I$89,3,0)*0.475*44/12</f>
        <v>1.2311050165384439E-7</v>
      </c>
      <c r="BS86" s="24">
        <f t="shared" si="63"/>
        <v>0.57806625400589562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-1.1368683772161603E-13</v>
      </c>
      <c r="O87" s="14">
        <f>N87*VLOOKUP('Données projet'!$B$9,Paramètres!$A$1:$I$89,3,0)*VLOOKUP('Données projet'!$B$9,Paramètres!$A$1:$I$89,5,0)</f>
        <v>-6.7984728957526396E-14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348.62416478262719</v>
      </c>
      <c r="T87" s="62">
        <f t="shared" si="88"/>
        <v>371.70674704563288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1.9224003873770639</v>
      </c>
      <c r="AA87" s="23">
        <f>EXP(-LN(2)/25)*AA86+(1-EXP(-LN(2)/25))/(LN(2)/25)*Calculateur!V87*Calculateur!X87*VLOOKUP('Données projet'!$B$9,Paramètres!$A$1:$I$89,3,0)*0.475*44/12</f>
        <v>2.7159115415464448</v>
      </c>
      <c r="AB87" s="23">
        <f>EXP(-LN(2)/2)*AB86+(1-EXP(-LN(2)/2))/(LN(2)/2)*V87*Y87*VLOOKUP('Données projet'!$B$9,Paramètres!$A$1:$I$89,3,0)*0.475*44/12</f>
        <v>1.2661071602926459E-7</v>
      </c>
      <c r="AC87" s="24">
        <f t="shared" si="57"/>
        <v>4.6383120555342243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263.19999999999993</v>
      </c>
      <c r="AJ87" s="14">
        <f>AI87*VLOOKUP('Données projet'!$B$10,Paramètres!$A$1:$I$89,3,0)*VLOOKUP('Données projet'!$B$10,Paramètres!$A$1:$I$89,5,0)</f>
        <v>238.14335999999992</v>
      </c>
      <c r="AK87" s="14">
        <f t="shared" si="89"/>
        <v>58.039884968630489</v>
      </c>
      <c r="AL87" s="22">
        <f t="shared" si="58"/>
        <v>515.85248498703129</v>
      </c>
      <c r="AM87" s="62">
        <f t="shared" si="59"/>
        <v>809.18581832036466</v>
      </c>
      <c r="AN87" s="62">
        <f ca="1">AVERAGE(OFFSET($AM$3,0,0,'Données projet'!$E$10+1,1))-AVERAGE(OFFSET($H$3,0,0,'Données projet'!$E$10+1,1))</f>
        <v>371.7282125501186</v>
      </c>
      <c r="AO87" s="62">
        <f t="shared" si="90"/>
        <v>231.36959598460686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0.60390768823183716</v>
      </c>
      <c r="AW87" s="23">
        <f>EXP(-LN(2)/2)*AW86+(1-EXP(-LN(2)/2))/(LN(2)/2)*AQ87*AT87*VLOOKUP('Données projet'!$B$10,Paramètres!$A$1:$I$89,3,0)*0.475*44/12</f>
        <v>9.3500586892097011E-8</v>
      </c>
      <c r="AX87" s="23">
        <f t="shared" si="60"/>
        <v>0.6039077817324241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5.8</v>
      </c>
      <c r="BD87" s="13">
        <f>IF('Données projet'!$A$88&gt;35,BD86+BC87-BL86,IF(A87&lt;'Données projet'!$A$88,$BA$205^A87,IF(A87='Données projet'!$A$88,'Données projet'!$B$88,BD86+BC87-BL86)))</f>
        <v>263.19999999999993</v>
      </c>
      <c r="BE87" s="14">
        <f>BD87*VLOOKUP('Données projet'!$B$11,Paramètres!$A$1:$I$89,3,0)*VLOOKUP('Données projet'!$B$11,Paramètres!$A$1:$I$89,5,0)</f>
        <v>221.71967999999998</v>
      </c>
      <c r="BF87" s="14">
        <f t="shared" si="91"/>
        <v>54.488480126819368</v>
      </c>
      <c r="BG87" s="22">
        <f t="shared" si="61"/>
        <v>481.06254555421032</v>
      </c>
      <c r="BH87" s="62">
        <f t="shared" si="62"/>
        <v>774.39587888754363</v>
      </c>
      <c r="BI87" s="62">
        <f ca="1">AVERAGE(OFFSET($BH$3,0,0,'Données projet'!$E$11+1,1))-AVERAGE(OFFSET($H$3,0,0,'Données projet'!$E$11+1,1))</f>
        <v>348.82438445524105</v>
      </c>
      <c r="BJ87" s="62">
        <f t="shared" si="92"/>
        <v>218.26721063098552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0.5622588821468828</v>
      </c>
      <c r="BR87" s="23">
        <f>EXP(-LN(2)/2)*BR86+(1-EXP(-LN(2)/2))/(LN(2)/2)*BL87*BO87*VLOOKUP('Données projet'!$B$11,Paramètres!$A$1:$I$89,3,0)*0.475*44/12</f>
        <v>8.7052270554711042E-8</v>
      </c>
      <c r="BS87" s="24">
        <f t="shared" si="63"/>
        <v>0.5622589691991533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-1.1368683772161603E-13</v>
      </c>
      <c r="O88" s="14">
        <f>N88*VLOOKUP('Données projet'!$B$9,Paramètres!$A$1:$I$89,3,0)*VLOOKUP('Données projet'!$B$9,Paramètres!$A$1:$I$89,5,0)</f>
        <v>-6.7984728957526396E-14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348.62416478262719</v>
      </c>
      <c r="T88" s="62">
        <f t="shared" si="88"/>
        <v>371.70674704563288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1.8847032883290564</v>
      </c>
      <c r="AA88" s="23">
        <f>EXP(-LN(2)/25)*AA87+(1-EXP(-LN(2)/25))/(LN(2)/25)*Calculateur!V88*Calculateur!X88*VLOOKUP('Données projet'!$B$9,Paramètres!$A$1:$I$89,3,0)*0.475*44/12</f>
        <v>2.6416447976192767</v>
      </c>
      <c r="AB88" s="23">
        <f>EXP(-LN(2)/2)*AB87+(1-EXP(-LN(2)/2))/(LN(2)/2)*V88*Y88*VLOOKUP('Données projet'!$B$9,Paramètres!$A$1:$I$89,3,0)*0.475*44/12</f>
        <v>8.9527295875177301E-8</v>
      </c>
      <c r="AC88" s="24">
        <f t="shared" si="57"/>
        <v>4.5263481754756292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268.99999999999994</v>
      </c>
      <c r="AJ88" s="14">
        <f>AI88*VLOOKUP('Données projet'!$B$10,Paramètres!$A$1:$I$89,3,0)*VLOOKUP('Données projet'!$B$10,Paramètres!$A$1:$I$89,5,0)</f>
        <v>243.39119999999994</v>
      </c>
      <c r="AK88" s="14">
        <f t="shared" si="89"/>
        <v>59.168566788241527</v>
      </c>
      <c r="AL88" s="22">
        <f t="shared" si="58"/>
        <v>526.95826048952051</v>
      </c>
      <c r="AM88" s="62">
        <f t="shared" si="59"/>
        <v>820.29159382285388</v>
      </c>
      <c r="AN88" s="62">
        <f ca="1">AVERAGE(OFFSET($AM$3,0,0,'Données projet'!$E$10+1,1))-AVERAGE(OFFSET($H$3,0,0,'Données projet'!$E$10+1,1))</f>
        <v>371.7282125501186</v>
      </c>
      <c r="AO88" s="62">
        <f t="shared" si="90"/>
        <v>231.36959598460686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0.58739380073901248</v>
      </c>
      <c r="AW88" s="23">
        <f>EXP(-LN(2)/2)*AW87+(1-EXP(-LN(2)/2))/(LN(2)/2)*AQ88*AT88*VLOOKUP('Données projet'!$B$10,Paramètres!$A$1:$I$89,3,0)*0.475*44/12</f>
        <v>6.6114899036323814E-8</v>
      </c>
      <c r="AX88" s="23">
        <f t="shared" si="60"/>
        <v>0.58739386685391148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5.8</v>
      </c>
      <c r="BC88" s="13">
        <f t="array" ref="BC88">INDEX(BB:BB,MIN(IF(ISNUMBER(BB88:BB284),ROW(BB88:BB284),"")))</f>
        <v>5.8</v>
      </c>
      <c r="BD88" s="13">
        <f>IF('Données projet'!$A$88&gt;35,BD87+BC88-BL87,IF(A88&lt;'Données projet'!$A$88,$BA$205^A88,IF(A88='Données projet'!$A$88,'Données projet'!$B$88,BD87+BC88-BL87)))</f>
        <v>268.99999999999994</v>
      </c>
      <c r="BE88" s="14">
        <f>BD88*VLOOKUP('Données projet'!$B$11,Paramètres!$A$1:$I$89,3,0)*VLOOKUP('Données projet'!$B$11,Paramètres!$A$1:$I$89,5,0)</f>
        <v>226.60559999999998</v>
      </c>
      <c r="BF88" s="14">
        <f t="shared" si="91"/>
        <v>55.548098989444924</v>
      </c>
      <c r="BG88" s="22">
        <f t="shared" si="61"/>
        <v>491.41769240661648</v>
      </c>
      <c r="BH88" s="62">
        <f t="shared" si="62"/>
        <v>784.7510257399498</v>
      </c>
      <c r="BI88" s="62">
        <f ca="1">AVERAGE(OFFSET($BH$3,0,0,'Données projet'!$E$11+1,1))-AVERAGE(OFFSET($H$3,0,0,'Données projet'!$E$11+1,1))</f>
        <v>348.82438445524105</v>
      </c>
      <c r="BJ88" s="62">
        <f t="shared" si="92"/>
        <v>218.26721063098552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0.54688388344666672</v>
      </c>
      <c r="BR88" s="23">
        <f>EXP(-LN(2)/2)*BR87+(1-EXP(-LN(2)/2))/(LN(2)/2)*BL88*BO88*VLOOKUP('Données projet'!$B$11,Paramètres!$A$1:$I$89,3,0)*0.475*44/12</f>
        <v>6.1555250826922193E-8</v>
      </c>
      <c r="BS88" s="24">
        <f t="shared" si="63"/>
        <v>0.5468839450019175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-1.1368683772161603E-13</v>
      </c>
      <c r="O89" s="14">
        <f>N89*VLOOKUP('Données projet'!$B$9,Paramètres!$A$1:$I$89,3,0)*VLOOKUP('Données projet'!$B$9,Paramètres!$A$1:$I$89,5,0)</f>
        <v>-6.7984728957526396E-14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348.62416478262719</v>
      </c>
      <c r="T89" s="62">
        <f t="shared" si="88"/>
        <v>371.70674704563288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1.8477454064004204</v>
      </c>
      <c r="AA89" s="23">
        <f>EXP(-LN(2)/25)*AA88+(1-EXP(-LN(2)/25))/(LN(2)/25)*Calculateur!V89*Calculateur!X89*VLOOKUP('Données projet'!$B$9,Paramètres!$A$1:$I$89,3,0)*0.475*44/12</f>
        <v>2.5694088817103151</v>
      </c>
      <c r="AB89" s="23">
        <f>EXP(-LN(2)/2)*AB88+(1-EXP(-LN(2)/2))/(LN(2)/2)*V89*Y89*VLOOKUP('Données projet'!$B$9,Paramètres!$A$1:$I$89,3,0)*0.475*44/12</f>
        <v>6.3305358014632294E-8</v>
      </c>
      <c r="AC89" s="24">
        <f t="shared" si="57"/>
        <v>4.4171543514160936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253.39999999999992</v>
      </c>
      <c r="AJ89" s="14">
        <f>AI89*VLOOKUP('Données projet'!$B$10,Paramètres!$A$1:$I$89,3,0)*VLOOKUP('Données projet'!$B$10,Paramètres!$A$1:$I$89,5,0)</f>
        <v>229.27631999999994</v>
      </c>
      <c r="AK89" s="14">
        <f t="shared" si="89"/>
        <v>56.126176307517476</v>
      </c>
      <c r="AL89" s="22">
        <f t="shared" si="58"/>
        <v>497.07601440225949</v>
      </c>
      <c r="AM89" s="62">
        <f t="shared" si="59"/>
        <v>790.40934773559275</v>
      </c>
      <c r="AN89" s="62">
        <f ca="1">AVERAGE(OFFSET($AM$3,0,0,'Données projet'!$E$10+1,1))-AVERAGE(OFFSET($H$3,0,0,'Données projet'!$E$10+1,1))</f>
        <v>371.7282125501186</v>
      </c>
      <c r="AO89" s="62">
        <f t="shared" si="90"/>
        <v>231.36959598460686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0.57133148636810671</v>
      </c>
      <c r="AW89" s="23">
        <f>EXP(-LN(2)/2)*AW88+(1-EXP(-LN(2)/2))/(LN(2)/2)*AQ89*AT89*VLOOKUP('Données projet'!$B$10,Paramètres!$A$1:$I$89,3,0)*0.475*44/12</f>
        <v>4.6750293446048505E-8</v>
      </c>
      <c r="AX89" s="23">
        <f t="shared" si="60"/>
        <v>0.57133153311840013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253.39999999999992</v>
      </c>
      <c r="BE89" s="14">
        <f>BD89*VLOOKUP('Données projet'!$B$11,Paramètres!$A$1:$I$89,3,0)*VLOOKUP('Données projet'!$B$11,Paramètres!$A$1:$I$89,5,0)</f>
        <v>213.46415999999994</v>
      </c>
      <c r="BF89" s="14">
        <f t="shared" si="91"/>
        <v>52.691869461482241</v>
      </c>
      <c r="BG89" s="22">
        <f t="shared" si="61"/>
        <v>463.55508464541475</v>
      </c>
      <c r="BH89" s="62">
        <f t="shared" si="62"/>
        <v>756.88841797874807</v>
      </c>
      <c r="BI89" s="62">
        <f ca="1">AVERAGE(OFFSET($BH$3,0,0,'Données projet'!$E$11+1,1))-AVERAGE(OFFSET($H$3,0,0,'Données projet'!$E$11+1,1))</f>
        <v>348.82438445524105</v>
      </c>
      <c r="BJ89" s="62">
        <f t="shared" si="92"/>
        <v>218.26721063098552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0.53192931489444406</v>
      </c>
      <c r="BR89" s="23">
        <f>EXP(-LN(2)/2)*BR88+(1-EXP(-LN(2)/2))/(LN(2)/2)*BL89*BO89*VLOOKUP('Données projet'!$B$11,Paramètres!$A$1:$I$89,3,0)*0.475*44/12</f>
        <v>4.3526135277355521E-8</v>
      </c>
      <c r="BS89" s="24">
        <f t="shared" si="63"/>
        <v>0.53192935842057931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-1.1368683772161603E-13</v>
      </c>
      <c r="O90" s="14">
        <f>N90*VLOOKUP('Données projet'!$B$9,Paramètres!$A$1:$I$89,3,0)*VLOOKUP('Données projet'!$B$9,Paramètres!$A$1:$I$89,5,0)</f>
        <v>-6.7984728957526396E-14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348.62416478262719</v>
      </c>
      <c r="T90" s="62">
        <f t="shared" si="88"/>
        <v>371.70674704563288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1.8115122459943227</v>
      </c>
      <c r="AA90" s="23">
        <f>EXP(-LN(2)/25)*AA89+(1-EXP(-LN(2)/25))/(LN(2)/25)*Calculateur!V90*Calculateur!X90*VLOOKUP('Données projet'!$B$9,Paramètres!$A$1:$I$89,3,0)*0.475*44/12</f>
        <v>2.4991482607206059</v>
      </c>
      <c r="AB90" s="23">
        <f>EXP(-LN(2)/2)*AB89+(1-EXP(-LN(2)/2))/(LN(2)/2)*V90*Y90*VLOOKUP('Données projet'!$B$9,Paramètres!$A$1:$I$89,3,0)*0.475*44/12</f>
        <v>4.476364793758865E-8</v>
      </c>
      <c r="AC90" s="24">
        <f t="shared" si="57"/>
        <v>4.3106605514785761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</v>
      </c>
      <c r="AJ90" s="14">
        <f>AI90*VLOOKUP('Données projet'!$B$10,Paramètres!$A$1:$I$89,3,0)*VLOOKUP('Données projet'!$B$10,Paramètres!$A$1:$I$89,5,0)</f>
        <v>234.16223999999988</v>
      </c>
      <c r="AK90" s="14">
        <f t="shared" si="89"/>
        <v>57.181713578143047</v>
      </c>
      <c r="AL90" s="22">
        <f t="shared" si="58"/>
        <v>507.42405248193222</v>
      </c>
      <c r="AM90" s="62">
        <f t="shared" si="59"/>
        <v>800.75738581526548</v>
      </c>
      <c r="AN90" s="62">
        <f ca="1">AVERAGE(OFFSET($AM$3,0,0,'Données projet'!$E$10+1,1))-AVERAGE(OFFSET($H$3,0,0,'Données projet'!$E$10+1,1))</f>
        <v>371.7282125501186</v>
      </c>
      <c r="AO90" s="62">
        <f t="shared" si="90"/>
        <v>231.36959598460686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0.55570839682835371</v>
      </c>
      <c r="AW90" s="23">
        <f>EXP(-LN(2)/2)*AW89+(1-EXP(-LN(2)/2))/(LN(2)/2)*AQ90*AT90*VLOOKUP('Données projet'!$B$10,Paramètres!$A$1:$I$89,3,0)*0.475*44/12</f>
        <v>3.3057449518161907E-8</v>
      </c>
      <c r="AX90" s="23">
        <f t="shared" si="60"/>
        <v>0.55570842988580327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258.7999999999999</v>
      </c>
      <c r="BE90" s="14">
        <f>BD90*VLOOKUP('Données projet'!$B$11,Paramètres!$A$1:$I$89,3,0)*VLOOKUP('Données projet'!$B$11,Paramètres!$A$1:$I$89,5,0)</f>
        <v>218.01311999999993</v>
      </c>
      <c r="BF90" s="14">
        <f t="shared" si="91"/>
        <v>53.68281941985461</v>
      </c>
      <c r="BG90" s="22">
        <f t="shared" si="61"/>
        <v>473.20376115624663</v>
      </c>
      <c r="BH90" s="62">
        <f t="shared" si="62"/>
        <v>766.53709448957989</v>
      </c>
      <c r="BI90" s="62">
        <f ca="1">AVERAGE(OFFSET($BH$3,0,0,'Données projet'!$E$11+1,1))-AVERAGE(OFFSET($H$3,0,0,'Données projet'!$E$11+1,1))</f>
        <v>348.82438445524105</v>
      </c>
      <c r="BJ90" s="62">
        <f t="shared" si="92"/>
        <v>218.26721063098552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0.51738367980570854</v>
      </c>
      <c r="BR90" s="23">
        <f>EXP(-LN(2)/2)*BR89+(1-EXP(-LN(2)/2))/(LN(2)/2)*BL90*BO90*VLOOKUP('Données projet'!$B$11,Paramètres!$A$1:$I$89,3,0)*0.475*44/12</f>
        <v>3.0777625413461096E-8</v>
      </c>
      <c r="BS90" s="24">
        <f t="shared" si="63"/>
        <v>0.51738371058333399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-1.1368683772161603E-13</v>
      </c>
      <c r="O91" s="14">
        <f>N91*VLOOKUP('Données projet'!$B$9,Paramètres!$A$1:$I$89,3,0)*VLOOKUP('Données projet'!$B$9,Paramètres!$A$1:$I$89,5,0)</f>
        <v>-6.7984728957526396E-14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348.62416478262719</v>
      </c>
      <c r="T91" s="62">
        <f t="shared" si="88"/>
        <v>371.70674704563288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1.775989595763743</v>
      </c>
      <c r="AA91" s="23">
        <f>EXP(-LN(2)/25)*AA90+(1-EXP(-LN(2)/25))/(LN(2)/25)*Calculateur!V91*Calculateur!X91*VLOOKUP('Données projet'!$B$9,Paramètres!$A$1:$I$89,3,0)*0.475*44/12</f>
        <v>2.4308089201067058</v>
      </c>
      <c r="AB91" s="23">
        <f>EXP(-LN(2)/2)*AB90+(1-EXP(-LN(2)/2))/(LN(2)/2)*V91*Y91*VLOOKUP('Données projet'!$B$9,Paramètres!$A$1:$I$89,3,0)*0.475*44/12</f>
        <v>3.1652679007316147E-8</v>
      </c>
      <c r="AC91" s="24">
        <f t="shared" si="57"/>
        <v>4.2067985475231273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264.19999999999987</v>
      </c>
      <c r="AJ91" s="14">
        <f>AI91*VLOOKUP('Données projet'!$B$10,Paramètres!$A$1:$I$89,3,0)*VLOOKUP('Données projet'!$B$10,Paramètres!$A$1:$I$89,5,0)</f>
        <v>239.04815999999985</v>
      </c>
      <c r="AK91" s="14">
        <f t="shared" si="89"/>
        <v>58.234690128947292</v>
      </c>
      <c r="AL91" s="22">
        <f t="shared" si="58"/>
        <v>517.76763064124964</v>
      </c>
      <c r="AM91" s="62">
        <f t="shared" si="59"/>
        <v>811.10096397458301</v>
      </c>
      <c r="AN91" s="62">
        <f ca="1">AVERAGE(OFFSET($AM$3,0,0,'Données projet'!$E$10+1,1))-AVERAGE(OFFSET($H$3,0,0,'Données projet'!$E$10+1,1))</f>
        <v>371.7282125501186</v>
      </c>
      <c r="AO91" s="62">
        <f t="shared" si="90"/>
        <v>231.36959598460686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0.54051252149364792</v>
      </c>
      <c r="AW91" s="23">
        <f>EXP(-LN(2)/2)*AW90+(1-EXP(-LN(2)/2))/(LN(2)/2)*AQ91*AT91*VLOOKUP('Données projet'!$B$10,Paramètres!$A$1:$I$89,3,0)*0.475*44/12</f>
        <v>2.3375146723024253E-8</v>
      </c>
      <c r="AX91" s="23">
        <f t="shared" si="60"/>
        <v>0.54051254486879463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264.19999999999987</v>
      </c>
      <c r="BE91" s="14">
        <f>BD91*VLOOKUP('Données projet'!$B$11,Paramètres!$A$1:$I$89,3,0)*VLOOKUP('Données projet'!$B$11,Paramètres!$A$1:$I$89,5,0)</f>
        <v>222.56207999999992</v>
      </c>
      <c r="BF91" s="14">
        <f t="shared" si="91"/>
        <v>54.671365346393124</v>
      </c>
      <c r="BG91" s="22">
        <f t="shared" si="61"/>
        <v>482.84825064496795</v>
      </c>
      <c r="BH91" s="62">
        <f t="shared" si="62"/>
        <v>776.18158397830121</v>
      </c>
      <c r="BI91" s="62">
        <f ca="1">AVERAGE(OFFSET($BH$3,0,0,'Données projet'!$E$11+1,1))-AVERAGE(OFFSET($H$3,0,0,'Données projet'!$E$11+1,1))</f>
        <v>348.82438445524105</v>
      </c>
      <c r="BJ91" s="62">
        <f t="shared" si="92"/>
        <v>218.26721063098552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0.50323579587339617</v>
      </c>
      <c r="BR91" s="23">
        <f>EXP(-LN(2)/2)*BR90+(1-EXP(-LN(2)/2))/(LN(2)/2)*BL91*BO91*VLOOKUP('Données projet'!$B$11,Paramètres!$A$1:$I$89,3,0)*0.475*44/12</f>
        <v>2.1763067638677761E-8</v>
      </c>
      <c r="BS91" s="24">
        <f t="shared" si="63"/>
        <v>0.50323581763646386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-1.1368683772161603E-13</v>
      </c>
      <c r="O92" s="14">
        <f>N92*VLOOKUP('Données projet'!$B$9,Paramètres!$A$1:$I$89,3,0)*VLOOKUP('Données projet'!$B$9,Paramètres!$A$1:$I$89,5,0)</f>
        <v>-6.7984728957526396E-14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348.62416478262719</v>
      </c>
      <c r="T92" s="62">
        <f t="shared" si="88"/>
        <v>371.70674704563288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1.7411635230375078</v>
      </c>
      <c r="AA92" s="23">
        <f>EXP(-LN(2)/25)*AA91+(1-EXP(-LN(2)/25))/(LN(2)/25)*Calculateur!V92*Calculateur!X92*VLOOKUP('Données projet'!$B$9,Paramètres!$A$1:$I$89,3,0)*0.475*44/12</f>
        <v>2.3643383223557026</v>
      </c>
      <c r="AB92" s="23">
        <f>EXP(-LN(2)/2)*AB91+(1-EXP(-LN(2)/2))/(LN(2)/2)*V92*Y92*VLOOKUP('Données projet'!$B$9,Paramètres!$A$1:$I$89,3,0)*0.475*44/12</f>
        <v>2.2381823968794325E-8</v>
      </c>
      <c r="AC92" s="24">
        <f t="shared" si="57"/>
        <v>4.1055018677750343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269.59999999999985</v>
      </c>
      <c r="AJ92" s="14">
        <f>AI92*VLOOKUP('Données projet'!$B$10,Paramètres!$A$1:$I$89,3,0)*VLOOKUP('Données projet'!$B$10,Paramètres!$A$1:$I$89,5,0)</f>
        <v>243.93407999999988</v>
      </c>
      <c r="AK92" s="14">
        <f t="shared" si="89"/>
        <v>59.285164329617594</v>
      </c>
      <c r="AL92" s="22">
        <f t="shared" si="58"/>
        <v>528.10685054075043</v>
      </c>
      <c r="AM92" s="62">
        <f t="shared" si="59"/>
        <v>821.44018387408369</v>
      </c>
      <c r="AN92" s="62">
        <f ca="1">AVERAGE(OFFSET($AM$3,0,0,'Données projet'!$E$10+1,1))-AVERAGE(OFFSET($H$3,0,0,'Données projet'!$E$10+1,1))</f>
        <v>371.7282125501186</v>
      </c>
      <c r="AO92" s="62">
        <f t="shared" si="90"/>
        <v>231.36959598460686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0.52573217816908602</v>
      </c>
      <c r="AW92" s="23">
        <f>EXP(-LN(2)/2)*AW91+(1-EXP(-LN(2)/2))/(LN(2)/2)*AQ92*AT92*VLOOKUP('Données projet'!$B$10,Paramètres!$A$1:$I$89,3,0)*0.475*44/12</f>
        <v>1.6528724759080954E-8</v>
      </c>
      <c r="AX92" s="23">
        <f t="shared" si="60"/>
        <v>0.52573219469781074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269.59999999999985</v>
      </c>
      <c r="BE92" s="14">
        <f>BD92*VLOOKUP('Données projet'!$B$11,Paramètres!$A$1:$I$89,3,0)*VLOOKUP('Données projet'!$B$11,Paramètres!$A$1:$I$89,5,0)</f>
        <v>227.11103999999989</v>
      </c>
      <c r="BF92" s="14">
        <f t="shared" si="91"/>
        <v>55.657562039200045</v>
      </c>
      <c r="BG92" s="22">
        <f t="shared" si="61"/>
        <v>492.48864855160656</v>
      </c>
      <c r="BH92" s="62">
        <f t="shared" si="62"/>
        <v>785.82198188493987</v>
      </c>
      <c r="BI92" s="62">
        <f ca="1">AVERAGE(OFFSET($BH$3,0,0,'Données projet'!$E$11+1,1))-AVERAGE(OFFSET($H$3,0,0,'Données projet'!$E$11+1,1))</f>
        <v>348.82438445524105</v>
      </c>
      <c r="BJ92" s="62">
        <f t="shared" si="92"/>
        <v>218.26721063098552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0.48947478657121779</v>
      </c>
      <c r="BR92" s="23">
        <f>EXP(-LN(2)/2)*BR91+(1-EXP(-LN(2)/2))/(LN(2)/2)*BL92*BO92*VLOOKUP('Données projet'!$B$11,Paramètres!$A$1:$I$89,3,0)*0.475*44/12</f>
        <v>1.5388812706730548E-8</v>
      </c>
      <c r="BS92" s="24">
        <f t="shared" si="63"/>
        <v>0.48947480196003051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-1.1368683772161603E-13</v>
      </c>
      <c r="O93" s="14">
        <f>N93*VLOOKUP('Données projet'!$B$9,Paramètres!$A$1:$I$89,3,0)*VLOOKUP('Données projet'!$B$9,Paramètres!$A$1:$I$89,5,0)</f>
        <v>-6.7984728957526396E-14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348.62416478262719</v>
      </c>
      <c r="T93" s="62">
        <f t="shared" si="88"/>
        <v>371.70674704563288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1.7070203683556271</v>
      </c>
      <c r="AA93" s="23">
        <f>EXP(-LN(2)/25)*AA92+(1-EXP(-LN(2)/25))/(LN(2)/25)*Calculateur!V93*Calculateur!X93*VLOOKUP('Données projet'!$B$9,Paramètres!$A$1:$I$89,3,0)*0.475*44/12</f>
        <v>2.2996853665957375</v>
      </c>
      <c r="AB93" s="23">
        <f>EXP(-LN(2)/2)*AB92+(1-EXP(-LN(2)/2))/(LN(2)/2)*V93*Y93*VLOOKUP('Données projet'!$B$9,Paramètres!$A$1:$I$89,3,0)*0.475*44/12</f>
        <v>1.5826339503658074E-8</v>
      </c>
      <c r="AC93" s="24">
        <f t="shared" si="57"/>
        <v>4.0067057507777042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274.99999999999983</v>
      </c>
      <c r="AJ93" s="14">
        <f>AI93*VLOOKUP('Données projet'!$B$10,Paramètres!$A$1:$I$89,3,0)*VLOOKUP('Données projet'!$B$10,Paramètres!$A$1:$I$89,5,0)</f>
        <v>248.81999999999982</v>
      </c>
      <c r="AK93" s="14">
        <f t="shared" si="89"/>
        <v>60.333192077890018</v>
      </c>
      <c r="AL93" s="22">
        <f t="shared" si="58"/>
        <v>538.44180953565808</v>
      </c>
      <c r="AM93" s="62">
        <f t="shared" si="59"/>
        <v>831.77514286899145</v>
      </c>
      <c r="AN93" s="62">
        <f ca="1">AVERAGE(OFFSET($AM$3,0,0,'Données projet'!$E$10+1,1))-AVERAGE(OFFSET($H$3,0,0,'Données projet'!$E$10+1,1))</f>
        <v>371.7282125501186</v>
      </c>
      <c r="AO93" s="62">
        <f t="shared" si="90"/>
        <v>231.36959598460686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0.51135600410999871</v>
      </c>
      <c r="AW93" s="23">
        <f>EXP(-LN(2)/2)*AW92+(1-EXP(-LN(2)/2))/(LN(2)/2)*AQ93*AT93*VLOOKUP('Données projet'!$B$10,Paramètres!$A$1:$I$89,3,0)*0.475*44/12</f>
        <v>1.1687573361512126E-8</v>
      </c>
      <c r="AX93" s="23">
        <f t="shared" si="60"/>
        <v>0.51135601579757206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274.99999999999983</v>
      </c>
      <c r="BE93" s="14">
        <f>BD93*VLOOKUP('Données projet'!$B$11,Paramètres!$A$1:$I$89,3,0)*VLOOKUP('Données projet'!$B$11,Paramètres!$A$1:$I$89,5,0)</f>
        <v>231.65999999999988</v>
      </c>
      <c r="BF93" s="14">
        <f t="shared" si="91"/>
        <v>56.641461975682766</v>
      </c>
      <c r="BG93" s="22">
        <f t="shared" si="61"/>
        <v>502.12504627431389</v>
      </c>
      <c r="BH93" s="62">
        <f t="shared" si="62"/>
        <v>795.4583796076472</v>
      </c>
      <c r="BI93" s="62">
        <f ca="1">AVERAGE(OFFSET($BH$3,0,0,'Données projet'!$E$11+1,1))-AVERAGE(OFFSET($H$3,0,0,'Données projet'!$E$11+1,1))</f>
        <v>348.82438445524105</v>
      </c>
      <c r="BJ93" s="62">
        <f t="shared" si="92"/>
        <v>218.26721063098552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0.4760900727920675</v>
      </c>
      <c r="BR93" s="23">
        <f>EXP(-LN(2)/2)*BR92+(1-EXP(-LN(2)/2))/(LN(2)/2)*BL93*BO93*VLOOKUP('Données projet'!$B$11,Paramètres!$A$1:$I$89,3,0)*0.475*44/12</f>
        <v>1.088153381933888E-8</v>
      </c>
      <c r="BS93" s="24">
        <f t="shared" si="63"/>
        <v>0.47609008367360134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-1.1368683772161603E-13</v>
      </c>
      <c r="O94" s="14">
        <f>N94*VLOOKUP('Données projet'!$B$9,Paramètres!$A$1:$I$89,3,0)*VLOOKUP('Données projet'!$B$9,Paramètres!$A$1:$I$89,5,0)</f>
        <v>-6.7984728957526396E-14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348.62416478262719</v>
      </c>
      <c r="T94" s="62">
        <f t="shared" si="88"/>
        <v>371.70674704563288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1.6735467401117901</v>
      </c>
      <c r="AA94" s="23">
        <f>EXP(-LN(2)/25)*AA93+(1-EXP(-LN(2)/25))/(LN(2)/25)*Calculateur!V94*Calculateur!X94*VLOOKUP('Données projet'!$B$9,Paramètres!$A$1:$I$89,3,0)*0.475*44/12</f>
        <v>2.2368003493109798</v>
      </c>
      <c r="AB94" s="23">
        <f>EXP(-LN(2)/2)*AB93+(1-EXP(-LN(2)/2))/(LN(2)/2)*V94*Y94*VLOOKUP('Données projet'!$B$9,Paramètres!$A$1:$I$89,3,0)*0.475*44/12</f>
        <v>1.1190911984397163E-8</v>
      </c>
      <c r="AC94" s="24">
        <f t="shared" si="57"/>
        <v>3.9103471006136821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258.99999999999983</v>
      </c>
      <c r="AJ94" s="14">
        <f>AI94*VLOOKUP('Données projet'!$B$10,Paramètres!$A$1:$I$89,3,0)*VLOOKUP('Données projet'!$B$10,Paramètres!$A$1:$I$89,5,0)</f>
        <v>234.34319999999983</v>
      </c>
      <c r="AK94" s="14">
        <f t="shared" si="89"/>
        <v>57.220758006491614</v>
      </c>
      <c r="AL94" s="22">
        <f t="shared" si="58"/>
        <v>507.80722686130588</v>
      </c>
      <c r="AM94" s="62">
        <f t="shared" si="59"/>
        <v>801.14056019463919</v>
      </c>
      <c r="AN94" s="62">
        <f ca="1">AVERAGE(OFFSET($AM$3,0,0,'Données projet'!$E$10+1,1))-AVERAGE(OFFSET($H$3,0,0,'Données projet'!$E$10+1,1))</f>
        <v>371.7282125501186</v>
      </c>
      <c r="AO94" s="62">
        <f t="shared" si="90"/>
        <v>231.36959598460686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0.49737294728656728</v>
      </c>
      <c r="AW94" s="23">
        <f>EXP(-LN(2)/2)*AW93+(1-EXP(-LN(2)/2))/(LN(2)/2)*AQ94*AT94*VLOOKUP('Données projet'!$B$10,Paramètres!$A$1:$I$89,3,0)*0.475*44/12</f>
        <v>8.2643623795404768E-9</v>
      </c>
      <c r="AX94" s="23">
        <f t="shared" si="60"/>
        <v>0.49737295555092964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258.99999999999983</v>
      </c>
      <c r="BE94" s="14">
        <f>BD94*VLOOKUP('Données projet'!$B$11,Paramètres!$A$1:$I$89,3,0)*VLOOKUP('Données projet'!$B$11,Paramètres!$A$1:$I$89,5,0)</f>
        <v>218.18159999999989</v>
      </c>
      <c r="BF94" s="14">
        <f t="shared" si="91"/>
        <v>53.719474757115933</v>
      </c>
      <c r="BG94" s="22">
        <f t="shared" si="61"/>
        <v>473.56103853531005</v>
      </c>
      <c r="BH94" s="62">
        <f t="shared" si="62"/>
        <v>766.89437186864336</v>
      </c>
      <c r="BI94" s="62">
        <f ca="1">AVERAGE(OFFSET($BH$3,0,0,'Données projet'!$E$11+1,1))-AVERAGE(OFFSET($H$3,0,0,'Données projet'!$E$11+1,1))</f>
        <v>348.82438445524105</v>
      </c>
      <c r="BJ94" s="62">
        <f t="shared" si="92"/>
        <v>218.26721063098552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0.46307136471507959</v>
      </c>
      <c r="BR94" s="23">
        <f>EXP(-LN(2)/2)*BR93+(1-EXP(-LN(2)/2))/(LN(2)/2)*BL94*BO94*VLOOKUP('Données projet'!$B$11,Paramètres!$A$1:$I$89,3,0)*0.475*44/12</f>
        <v>7.6944063533652741E-9</v>
      </c>
      <c r="BS94" s="24">
        <f t="shared" si="63"/>
        <v>0.46307137240948593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-1.1368683772161603E-13</v>
      </c>
      <c r="O95" s="14">
        <f>N95*VLOOKUP('Données projet'!$B$9,Paramètres!$A$1:$I$89,3,0)*VLOOKUP('Données projet'!$B$9,Paramètres!$A$1:$I$89,5,0)</f>
        <v>-6.7984728957526396E-14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348.62416478262719</v>
      </c>
      <c r="T95" s="62">
        <f t="shared" si="88"/>
        <v>371.70674704563288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1.6407295093009173</v>
      </c>
      <c r="AA95" s="23">
        <f>EXP(-LN(2)/25)*AA94+(1-EXP(-LN(2)/25))/(LN(2)/25)*Calculateur!V95*Calculateur!X95*VLOOKUP('Données projet'!$B$9,Paramètres!$A$1:$I$89,3,0)*0.475*44/12</f>
        <v>2.175634926130853</v>
      </c>
      <c r="AB95" s="23">
        <f>EXP(-LN(2)/2)*AB94+(1-EXP(-LN(2)/2))/(LN(2)/2)*V95*Y95*VLOOKUP('Données projet'!$B$9,Paramètres!$A$1:$I$89,3,0)*0.475*44/12</f>
        <v>7.9131697518290368E-9</v>
      </c>
      <c r="AC95" s="24">
        <f t="shared" si="57"/>
        <v>3.81636444334494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263.99999999999983</v>
      </c>
      <c r="AJ95" s="14">
        <f>AI95*VLOOKUP('Données projet'!$B$10,Paramètres!$A$1:$I$89,3,0)*VLOOKUP('Données projet'!$B$10,Paramètres!$A$1:$I$89,5,0)</f>
        <v>238.86719999999983</v>
      </c>
      <c r="AK95" s="14">
        <f t="shared" si="89"/>
        <v>58.195735973104156</v>
      </c>
      <c r="AL95" s="22">
        <f t="shared" si="58"/>
        <v>517.38461348648946</v>
      </c>
      <c r="AM95" s="62">
        <f t="shared" si="59"/>
        <v>810.71794681982283</v>
      </c>
      <c r="AN95" s="62">
        <f ca="1">AVERAGE(OFFSET($AM$3,0,0,'Données projet'!$E$10+1,1))-AVERAGE(OFFSET($H$3,0,0,'Données projet'!$E$10+1,1))</f>
        <v>371.7282125501186</v>
      </c>
      <c r="AO95" s="62">
        <f t="shared" si="90"/>
        <v>231.36959598460686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0.48377225788730954</v>
      </c>
      <c r="AW95" s="23">
        <f>EXP(-LN(2)/2)*AW94+(1-EXP(-LN(2)/2))/(LN(2)/2)*AQ95*AT95*VLOOKUP('Données projet'!$B$10,Paramètres!$A$1:$I$89,3,0)*0.475*44/12</f>
        <v>5.8437866807560632E-9</v>
      </c>
      <c r="AX95" s="23">
        <f t="shared" si="60"/>
        <v>0.48377226373109622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263.99999999999983</v>
      </c>
      <c r="BE95" s="14">
        <f>BD95*VLOOKUP('Données projet'!$B$11,Paramètres!$A$1:$I$89,3,0)*VLOOKUP('Données projet'!$B$11,Paramètres!$A$1:$I$89,5,0)</f>
        <v>222.39359999999988</v>
      </c>
      <c r="BF95" s="14">
        <f t="shared" si="91"/>
        <v>54.634794757949237</v>
      </c>
      <c r="BG95" s="22">
        <f t="shared" si="61"/>
        <v>482.49112087009468</v>
      </c>
      <c r="BH95" s="62">
        <f t="shared" si="62"/>
        <v>775.82445420342799</v>
      </c>
      <c r="BI95" s="62">
        <f ca="1">AVERAGE(OFFSET($BH$3,0,0,'Données projet'!$E$11+1,1))-AVERAGE(OFFSET($H$3,0,0,'Données projet'!$E$11+1,1))</f>
        <v>348.82438445524105</v>
      </c>
      <c r="BJ95" s="62">
        <f t="shared" si="92"/>
        <v>218.26721063098552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0.45040865389508106</v>
      </c>
      <c r="BR95" s="23">
        <f>EXP(-LN(2)/2)*BR94+(1-EXP(-LN(2)/2))/(LN(2)/2)*BL95*BO95*VLOOKUP('Données projet'!$B$11,Paramètres!$A$1:$I$89,3,0)*0.475*44/12</f>
        <v>5.4407669096694401E-9</v>
      </c>
      <c r="BS95" s="24">
        <f t="shared" si="63"/>
        <v>0.45040865933584795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-1.1368683772161603E-13</v>
      </c>
      <c r="O96" s="14">
        <f>N96*VLOOKUP('Données projet'!$B$9,Paramètres!$A$1:$I$89,3,0)*VLOOKUP('Données projet'!$B$9,Paramètres!$A$1:$I$89,5,0)</f>
        <v>-6.7984728957526396E-14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348.62416478262719</v>
      </c>
      <c r="T96" s="62">
        <f t="shared" si="88"/>
        <v>371.70674704563288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1.6085558043697115</v>
      </c>
      <c r="AA96" s="23">
        <f>EXP(-LN(2)/25)*AA95+(1-EXP(-LN(2)/25))/(LN(2)/25)*Calculateur!V96*Calculateur!X96*VLOOKUP('Données projet'!$B$9,Paramètres!$A$1:$I$89,3,0)*0.475*44/12</f>
        <v>2.1161420746641366</v>
      </c>
      <c r="AB96" s="23">
        <f>EXP(-LN(2)/2)*AB95+(1-EXP(-LN(2)/2))/(LN(2)/2)*V96*Y96*VLOOKUP('Données projet'!$B$9,Paramètres!$A$1:$I$89,3,0)*0.475*44/12</f>
        <v>5.5954559921985813E-9</v>
      </c>
      <c r="AC96" s="24">
        <f t="shared" si="57"/>
        <v>3.7246978846293044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268.99999999999983</v>
      </c>
      <c r="AJ96" s="14">
        <f>AI96*VLOOKUP('Données projet'!$B$10,Paramètres!$A$1:$I$89,3,0)*VLOOKUP('Données projet'!$B$10,Paramètres!$A$1:$I$89,5,0)</f>
        <v>243.39119999999986</v>
      </c>
      <c r="AK96" s="14">
        <f t="shared" si="89"/>
        <v>59.168566788241527</v>
      </c>
      <c r="AL96" s="22">
        <f t="shared" si="58"/>
        <v>526.95826048952051</v>
      </c>
      <c r="AM96" s="62">
        <f t="shared" si="59"/>
        <v>820.29159382285388</v>
      </c>
      <c r="AN96" s="62">
        <f ca="1">AVERAGE(OFFSET($AM$3,0,0,'Données projet'!$E$10+1,1))-AVERAGE(OFFSET($H$3,0,0,'Données projet'!$E$10+1,1))</f>
        <v>371.7282125501186</v>
      </c>
      <c r="AO96" s="62">
        <f t="shared" si="90"/>
        <v>231.36959598460686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0.47054348005490371</v>
      </c>
      <c r="AW96" s="23">
        <f>EXP(-LN(2)/2)*AW95+(1-EXP(-LN(2)/2))/(LN(2)/2)*AQ96*AT96*VLOOKUP('Données projet'!$B$10,Paramètres!$A$1:$I$89,3,0)*0.475*44/12</f>
        <v>4.1321811897702384E-9</v>
      </c>
      <c r="AX96" s="23">
        <f t="shared" si="60"/>
        <v>0.47054348418708491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268.99999999999983</v>
      </c>
      <c r="BE96" s="14">
        <f>BD96*VLOOKUP('Données projet'!$B$11,Paramètres!$A$1:$I$89,3,0)*VLOOKUP('Données projet'!$B$11,Paramètres!$A$1:$I$89,5,0)</f>
        <v>226.60559999999987</v>
      </c>
      <c r="BF96" s="14">
        <f t="shared" si="91"/>
        <v>55.548098989444924</v>
      </c>
      <c r="BG96" s="22">
        <f t="shared" si="61"/>
        <v>491.41769240661642</v>
      </c>
      <c r="BH96" s="62">
        <f t="shared" si="62"/>
        <v>784.75102573994968</v>
      </c>
      <c r="BI96" s="62">
        <f ca="1">AVERAGE(OFFSET($BH$3,0,0,'Données projet'!$E$11+1,1))-AVERAGE(OFFSET($H$3,0,0,'Données projet'!$E$11+1,1))</f>
        <v>348.82438445524105</v>
      </c>
      <c r="BJ96" s="62">
        <f t="shared" si="92"/>
        <v>218.26721063098552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0.43809220556835837</v>
      </c>
      <c r="BR96" s="23">
        <f>EXP(-LN(2)/2)*BR95+(1-EXP(-LN(2)/2))/(LN(2)/2)*BL96*BO96*VLOOKUP('Données projet'!$B$11,Paramètres!$A$1:$I$89,3,0)*0.475*44/12</f>
        <v>3.847203176682637E-9</v>
      </c>
      <c r="BS96" s="24">
        <f t="shared" si="63"/>
        <v>0.43809220941556154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-1.1368683772161603E-13</v>
      </c>
      <c r="O97" s="14">
        <f>N97*VLOOKUP('Données projet'!$B$9,Paramètres!$A$1:$I$89,3,0)*VLOOKUP('Données projet'!$B$9,Paramètres!$A$1:$I$89,5,0)</f>
        <v>-6.7984728957526396E-14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348.62416478262719</v>
      </c>
      <c r="T97" s="62">
        <f t="shared" si="88"/>
        <v>371.70674704563288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1.5770130061681844</v>
      </c>
      <c r="AA97" s="23">
        <f>EXP(-LN(2)/25)*AA96+(1-EXP(-LN(2)/25))/(LN(2)/25)*Calculateur!V97*Calculateur!X97*VLOOKUP('Données projet'!$B$9,Paramètres!$A$1:$I$89,3,0)*0.475*44/12</f>
        <v>2.0582760583493704</v>
      </c>
      <c r="AB97" s="23">
        <f>EXP(-LN(2)/2)*AB96+(1-EXP(-LN(2)/2))/(LN(2)/2)*V97*Y97*VLOOKUP('Données projet'!$B$9,Paramètres!$A$1:$I$89,3,0)*0.475*44/12</f>
        <v>3.9565848759145184E-9</v>
      </c>
      <c r="AC97" s="24">
        <f t="shared" si="57"/>
        <v>3.6352890684741399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273.99999999999983</v>
      </c>
      <c r="AJ97" s="14">
        <f>AI97*VLOOKUP('Données projet'!$B$10,Paramètres!$A$1:$I$89,3,0)*VLOOKUP('Données projet'!$B$10,Paramètres!$A$1:$I$89,5,0)</f>
        <v>247.91519999999986</v>
      </c>
      <c r="AK97" s="14">
        <f t="shared" si="89"/>
        <v>60.139294964297406</v>
      </c>
      <c r="AL97" s="22">
        <f t="shared" si="58"/>
        <v>536.52824539615096</v>
      </c>
      <c r="AM97" s="62">
        <f t="shared" si="59"/>
        <v>829.86157872948434</v>
      </c>
      <c r="AN97" s="62">
        <f ca="1">AVERAGE(OFFSET($AM$3,0,0,'Données projet'!$E$10+1,1))-AVERAGE(OFFSET($H$3,0,0,'Données projet'!$E$10+1,1))</f>
        <v>371.7282125501186</v>
      </c>
      <c r="AO97" s="62">
        <f t="shared" si="90"/>
        <v>231.36959598460686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0.45767644384799622</v>
      </c>
      <c r="AW97" s="23">
        <f>EXP(-LN(2)/2)*AW96+(1-EXP(-LN(2)/2))/(LN(2)/2)*AQ97*AT97*VLOOKUP('Données projet'!$B$10,Paramètres!$A$1:$I$89,3,0)*0.475*44/12</f>
        <v>2.9218933403780316E-9</v>
      </c>
      <c r="AX97" s="23">
        <f t="shared" si="60"/>
        <v>0.45767644676988956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273.99999999999983</v>
      </c>
      <c r="BE97" s="14">
        <f>BD97*VLOOKUP('Données projet'!$B$11,Paramètres!$A$1:$I$89,3,0)*VLOOKUP('Données projet'!$B$11,Paramètres!$A$1:$I$89,5,0)</f>
        <v>230.81759999999989</v>
      </c>
      <c r="BF97" s="14">
        <f t="shared" si="91"/>
        <v>56.459429240325889</v>
      </c>
      <c r="BG97" s="22">
        <f t="shared" si="61"/>
        <v>500.34082592690061</v>
      </c>
      <c r="BH97" s="62">
        <f t="shared" si="62"/>
        <v>793.67415926023386</v>
      </c>
      <c r="BI97" s="62">
        <f ca="1">AVERAGE(OFFSET($BH$3,0,0,'Données projet'!$E$11+1,1))-AVERAGE(OFFSET($H$3,0,0,'Données projet'!$E$11+1,1))</f>
        <v>348.82438445524105</v>
      </c>
      <c r="BJ97" s="62">
        <f t="shared" si="92"/>
        <v>218.26721063098552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0.42611255116882379</v>
      </c>
      <c r="BR97" s="23">
        <f>EXP(-LN(2)/2)*BR96+(1-EXP(-LN(2)/2))/(LN(2)/2)*BL97*BO97*VLOOKUP('Données projet'!$B$11,Paramètres!$A$1:$I$89,3,0)*0.475*44/12</f>
        <v>2.7203834548347201E-9</v>
      </c>
      <c r="BS97" s="24">
        <f t="shared" si="63"/>
        <v>0.42611255388920727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-1.1368683772161603E-13</v>
      </c>
      <c r="O98" s="14">
        <f>N98*VLOOKUP('Données projet'!$B$9,Paramètres!$A$1:$I$89,3,0)*VLOOKUP('Données projet'!$B$9,Paramètres!$A$1:$I$89,5,0)</f>
        <v>-6.7984728957526396E-14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348.62416478262719</v>
      </c>
      <c r="T98" s="62">
        <f t="shared" si="88"/>
        <v>371.70674704563288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1.546088743000182</v>
      </c>
      <c r="AA98" s="23">
        <f>EXP(-LN(2)/25)*AA97+(1-EXP(-LN(2)/25))/(LN(2)/25)*Calculateur!V98*Calculateur!X98*VLOOKUP('Données projet'!$B$9,Paramètres!$A$1:$I$89,3,0)*0.475*44/12</f>
        <v>2.0019923912937734</v>
      </c>
      <c r="AB98" s="23">
        <f>EXP(-LN(2)/2)*AB97+(1-EXP(-LN(2)/2))/(LN(2)/2)*V98*Y98*VLOOKUP('Données projet'!$B$9,Paramètres!$A$1:$I$89,3,0)*0.475*44/12</f>
        <v>2.7977279960992906E-9</v>
      </c>
      <c r="AC98" s="24">
        <f t="shared" si="57"/>
        <v>3.5480811370916832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278.99999999999983</v>
      </c>
      <c r="AJ98" s="14">
        <f>AI98*VLOOKUP('Données projet'!$B$10,Paramètres!$A$1:$I$89,3,0)*VLOOKUP('Données projet'!$B$10,Paramètres!$A$1:$I$89,5,0)</f>
        <v>252.43919999999983</v>
      </c>
      <c r="AK98" s="14">
        <f t="shared" si="89"/>
        <v>61.107963296116218</v>
      </c>
      <c r="AL98" s="22">
        <f t="shared" si="58"/>
        <v>546.09464274073537</v>
      </c>
      <c r="AM98" s="62">
        <f t="shared" si="59"/>
        <v>839.42797607406874</v>
      </c>
      <c r="AN98" s="62">
        <f ca="1">AVERAGE(OFFSET($AM$3,0,0,'Données projet'!$E$10+1,1))-AVERAGE(OFFSET($H$3,0,0,'Données projet'!$E$10+1,1))</f>
        <v>371.7282125501186</v>
      </c>
      <c r="AO98" s="62">
        <f t="shared" si="90"/>
        <v>231.36959598460686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0.44516125742281459</v>
      </c>
      <c r="AW98" s="23">
        <f>EXP(-LN(2)/2)*AW97+(1-EXP(-LN(2)/2))/(LN(2)/2)*AQ98*AT98*VLOOKUP('Données projet'!$B$10,Paramètres!$A$1:$I$89,3,0)*0.475*44/12</f>
        <v>2.0660905948851192E-9</v>
      </c>
      <c r="AX98" s="23">
        <f t="shared" si="60"/>
        <v>0.44516125948890517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278.99999999999983</v>
      </c>
      <c r="BE98" s="14">
        <f>BD98*VLOOKUP('Données projet'!$B$11,Paramètres!$A$1:$I$89,3,0)*VLOOKUP('Données projet'!$B$11,Paramètres!$A$1:$I$89,5,0)</f>
        <v>235.02959999999987</v>
      </c>
      <c r="BF98" s="14">
        <f t="shared" si="91"/>
        <v>57.368825686861108</v>
      </c>
      <c r="BG98" s="22">
        <f t="shared" si="61"/>
        <v>509.26059140461626</v>
      </c>
      <c r="BH98" s="62">
        <f t="shared" si="62"/>
        <v>802.59392473794958</v>
      </c>
      <c r="BI98" s="62">
        <f ca="1">AVERAGE(OFFSET($BH$3,0,0,'Données projet'!$E$11+1,1))-AVERAGE(OFFSET($H$3,0,0,'Données projet'!$E$11+1,1))</f>
        <v>348.82438445524105</v>
      </c>
      <c r="BJ98" s="62">
        <f t="shared" si="92"/>
        <v>218.26721063098552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0.41446048104882716</v>
      </c>
      <c r="BR98" s="23">
        <f>EXP(-LN(2)/2)*BR97+(1-EXP(-LN(2)/2))/(LN(2)/2)*BL98*BO98*VLOOKUP('Données projet'!$B$11,Paramètres!$A$1:$I$89,3,0)*0.475*44/12</f>
        <v>1.9236015883413185E-9</v>
      </c>
      <c r="BS98" s="24">
        <f t="shared" si="63"/>
        <v>0.41446048297242877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-1.1368683772161603E-13</v>
      </c>
      <c r="O99" s="14">
        <f>N99*VLOOKUP('Données projet'!$B$9,Paramètres!$A$1:$I$89,3,0)*VLOOKUP('Données projet'!$B$9,Paramètres!$A$1:$I$89,5,0)</f>
        <v>-6.7984728957526396E-14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348.62416478262719</v>
      </c>
      <c r="T99" s="62">
        <f t="shared" si="88"/>
        <v>371.70674704563288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1.515770885770966</v>
      </c>
      <c r="AA99" s="23">
        <f>EXP(-LN(2)/25)*AA98+(1-EXP(-LN(2)/25))/(LN(2)/25)*Calculateur!V99*Calculateur!X99*VLOOKUP('Données projet'!$B$9,Paramètres!$A$1:$I$89,3,0)*0.475*44/12</f>
        <v>1.947247804073641</v>
      </c>
      <c r="AB99" s="23">
        <f>EXP(-LN(2)/2)*AB98+(1-EXP(-LN(2)/2))/(LN(2)/2)*V99*Y99*VLOOKUP('Données projet'!$B$9,Paramètres!$A$1:$I$89,3,0)*0.475*44/12</f>
        <v>1.9782924379572592E-9</v>
      </c>
      <c r="AC99" s="24">
        <f t="shared" si="57"/>
        <v>3.4630186918228998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262.79999999999984</v>
      </c>
      <c r="AJ99" s="14">
        <f>AI99*VLOOKUP('Données projet'!$B$10,Paramètres!$A$1:$I$89,3,0)*VLOOKUP('Données projet'!$B$10,Paramètres!$A$1:$I$89,5,0)</f>
        <v>237.78143999999983</v>
      </c>
      <c r="AK99" s="14">
        <f t="shared" si="89"/>
        <v>57.9619387969109</v>
      </c>
      <c r="AL99" s="22">
        <f t="shared" si="58"/>
        <v>515.08638473795281</v>
      </c>
      <c r="AM99" s="62">
        <f t="shared" si="59"/>
        <v>808.41971807128607</v>
      </c>
      <c r="AN99" s="62">
        <f ca="1">AVERAGE(OFFSET($AM$3,0,0,'Données projet'!$E$10+1,1))-AVERAGE(OFFSET($H$3,0,0,'Données projet'!$E$10+1,1))</f>
        <v>371.7282125501186</v>
      </c>
      <c r="AO99" s="62">
        <f t="shared" si="90"/>
        <v>231.36959598460686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0.43298829942857464</v>
      </c>
      <c r="AW99" s="23">
        <f>EXP(-LN(2)/2)*AW98+(1-EXP(-LN(2)/2))/(LN(2)/2)*AQ99*AT99*VLOOKUP('Données projet'!$B$10,Paramètres!$A$1:$I$89,3,0)*0.475*44/12</f>
        <v>1.4609466701890158E-9</v>
      </c>
      <c r="AX99" s="23">
        <f t="shared" si="60"/>
        <v>0.43298830088952134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262.79999999999984</v>
      </c>
      <c r="BE99" s="14">
        <f>BD99*VLOOKUP('Données projet'!$B$11,Paramètres!$A$1:$I$89,3,0)*VLOOKUP('Données projet'!$B$11,Paramètres!$A$1:$I$89,5,0)</f>
        <v>221.38271999999989</v>
      </c>
      <c r="BF99" s="14">
        <f t="shared" si="91"/>
        <v>54.415303406517452</v>
      </c>
      <c r="BG99" s="22">
        <f t="shared" si="61"/>
        <v>480.34822409968433</v>
      </c>
      <c r="BH99" s="62">
        <f t="shared" si="62"/>
        <v>773.68155743301759</v>
      </c>
      <c r="BI99" s="62">
        <f ca="1">AVERAGE(OFFSET($BH$3,0,0,'Données projet'!$E$11+1,1))-AVERAGE(OFFSET($H$3,0,0,'Données projet'!$E$11+1,1))</f>
        <v>348.82438445524105</v>
      </c>
      <c r="BJ99" s="62">
        <f t="shared" si="92"/>
        <v>218.26721063098552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0.40312703739901756</v>
      </c>
      <c r="BR99" s="23">
        <f>EXP(-LN(2)/2)*BR98+(1-EXP(-LN(2)/2))/(LN(2)/2)*BL99*BO99*VLOOKUP('Données projet'!$B$11,Paramètres!$A$1:$I$89,3,0)*0.475*44/12</f>
        <v>1.36019172741736E-9</v>
      </c>
      <c r="BS99" s="24">
        <f t="shared" si="63"/>
        <v>0.4031270387592093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-1.1368683772161603E-13</v>
      </c>
      <c r="O100" s="14">
        <f>N100*VLOOKUP('Données projet'!$B$9,Paramètres!$A$1:$I$89,3,0)*VLOOKUP('Données projet'!$B$9,Paramètres!$A$1:$I$89,5,0)</f>
        <v>-6.7984728957526396E-14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348.62416478262719</v>
      </c>
      <c r="T100" s="62">
        <f t="shared" si="88"/>
        <v>371.70674704563288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1.486047543229948</v>
      </c>
      <c r="AA100" s="23">
        <f>EXP(-LN(2)/25)*AA99+(1-EXP(-LN(2)/25))/(LN(2)/25)*Calculateur!V100*Calculateur!X100*VLOOKUP('Données projet'!$B$9,Paramètres!$A$1:$I$89,3,0)*0.475*44/12</f>
        <v>1.8940002104699358</v>
      </c>
      <c r="AB100" s="23">
        <f>EXP(-LN(2)/2)*AB99+(1-EXP(-LN(2)/2))/(LN(2)/2)*V100*Y100*VLOOKUP('Données projet'!$B$9,Paramètres!$A$1:$I$89,3,0)*0.475*44/12</f>
        <v>1.3988639980496453E-9</v>
      </c>
      <c r="AC100" s="24">
        <f t="shared" si="57"/>
        <v>3.3800477550987482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267.59999999999985</v>
      </c>
      <c r="AJ100" s="14">
        <f>AI100*VLOOKUP('Données projet'!$B$10,Paramètres!$A$1:$I$89,3,0)*VLOOKUP('Données projet'!$B$10,Paramètres!$A$1:$I$89,5,0)</f>
        <v>242.12447999999986</v>
      </c>
      <c r="AK100" s="14">
        <f t="shared" si="89"/>
        <v>58.896387987806008</v>
      </c>
      <c r="AL100" s="22">
        <f t="shared" si="58"/>
        <v>524.27801174542856</v>
      </c>
      <c r="AM100" s="62">
        <f t="shared" si="59"/>
        <v>817.61134507876181</v>
      </c>
      <c r="AN100" s="62">
        <f ca="1">AVERAGE(OFFSET($AM$3,0,0,'Données projet'!$E$10+1,1))-AVERAGE(OFFSET($H$3,0,0,'Données projet'!$E$10+1,1))</f>
        <v>371.7282125501186</v>
      </c>
      <c r="AO100" s="62">
        <f t="shared" si="90"/>
        <v>231.36959598460686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0.42114821161083521</v>
      </c>
      <c r="AW100" s="23">
        <f>EXP(-LN(2)/2)*AW99+(1-EXP(-LN(2)/2))/(LN(2)/2)*AQ100*AT100*VLOOKUP('Données projet'!$B$10,Paramètres!$A$1:$I$89,3,0)*0.475*44/12</f>
        <v>1.0330452974425596E-9</v>
      </c>
      <c r="AX100" s="23">
        <f t="shared" si="60"/>
        <v>0.42114821264388053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267.59999999999985</v>
      </c>
      <c r="BE100" s="14">
        <f>BD100*VLOOKUP('Données projet'!$B$11,Paramètres!$A$1:$I$89,3,0)*VLOOKUP('Données projet'!$B$11,Paramètres!$A$1:$I$89,5,0)</f>
        <v>225.42623999999989</v>
      </c>
      <c r="BF100" s="14">
        <f t="shared" si="91"/>
        <v>55.292574548511105</v>
      </c>
      <c r="BG100" s="22">
        <f t="shared" si="61"/>
        <v>488.91860200532329</v>
      </c>
      <c r="BH100" s="62">
        <f t="shared" si="62"/>
        <v>782.25193533865661</v>
      </c>
      <c r="BI100" s="62">
        <f ca="1">AVERAGE(OFFSET($BH$3,0,0,'Données projet'!$E$11+1,1))-AVERAGE(OFFSET($H$3,0,0,'Données projet'!$E$11+1,1))</f>
        <v>348.82438445524105</v>
      </c>
      <c r="BJ100" s="62">
        <f t="shared" si="92"/>
        <v>218.26721063098552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0.39210350736181188</v>
      </c>
      <c r="BR100" s="23">
        <f>EXP(-LN(2)/2)*BR99+(1-EXP(-LN(2)/2))/(LN(2)/2)*BL100*BO100*VLOOKUP('Données projet'!$B$11,Paramètres!$A$1:$I$89,3,0)*0.475*44/12</f>
        <v>9.6180079417065926E-10</v>
      </c>
      <c r="BS100" s="24">
        <f t="shared" si="63"/>
        <v>0.39210350832361268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-1.1368683772161603E-13</v>
      </c>
      <c r="O101" s="14">
        <f>N101*VLOOKUP('Données projet'!$B$9,Paramètres!$A$1:$I$89,3,0)*VLOOKUP('Données projet'!$B$9,Paramètres!$A$1:$I$89,5,0)</f>
        <v>-6.7984728957526396E-14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348.62416478262719</v>
      </c>
      <c r="T101" s="62">
        <f t="shared" si="88"/>
        <v>371.70674704563288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1.4569070573067107</v>
      </c>
      <c r="AA101" s="23">
        <f>EXP(-LN(2)/25)*AA100+(1-EXP(-LN(2)/25))/(LN(2)/25)*Calculateur!V101*Calculateur!X101*VLOOKUP('Données projet'!$B$9,Paramètres!$A$1:$I$89,3,0)*0.475*44/12</f>
        <v>1.8422086751134932</v>
      </c>
      <c r="AB101" s="23">
        <f>EXP(-LN(2)/2)*AB100+(1-EXP(-LN(2)/2))/(LN(2)/2)*V101*Y101*VLOOKUP('Données projet'!$B$9,Paramètres!$A$1:$I$89,3,0)*0.475*44/12</f>
        <v>9.8914621897862959E-10</v>
      </c>
      <c r="AC101" s="24">
        <f t="shared" si="57"/>
        <v>3.2991157334093502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272.39999999999986</v>
      </c>
      <c r="AJ101" s="14">
        <f>AI101*VLOOKUP('Données projet'!$B$10,Paramètres!$A$1:$I$89,3,0)*VLOOKUP('Données projet'!$B$10,Paramètres!$A$1:$I$89,5,0)</f>
        <v>246.46751999999987</v>
      </c>
      <c r="AK101" s="14">
        <f t="shared" si="89"/>
        <v>59.828888074216977</v>
      </c>
      <c r="AL101" s="22">
        <f t="shared" si="58"/>
        <v>533.46624406259423</v>
      </c>
      <c r="AM101" s="62">
        <f t="shared" si="59"/>
        <v>826.7995773959276</v>
      </c>
      <c r="AN101" s="62">
        <f ca="1">AVERAGE(OFFSET($AM$3,0,0,'Données projet'!$E$10+1,1))-AVERAGE(OFFSET($H$3,0,0,'Données projet'!$E$10+1,1))</f>
        <v>371.7282125501186</v>
      </c>
      <c r="AO101" s="62">
        <f t="shared" si="90"/>
        <v>231.36959598460686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0.409631891617115</v>
      </c>
      <c r="AW101" s="23">
        <f>EXP(-LN(2)/2)*AW100+(1-EXP(-LN(2)/2))/(LN(2)/2)*AQ101*AT101*VLOOKUP('Données projet'!$B$10,Paramètres!$A$1:$I$89,3,0)*0.475*44/12</f>
        <v>7.304733350945079E-10</v>
      </c>
      <c r="AX101" s="23">
        <f t="shared" si="60"/>
        <v>0.40963189234758834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272.39999999999986</v>
      </c>
      <c r="BE101" s="14">
        <f>BD101*VLOOKUP('Données projet'!$B$11,Paramètres!$A$1:$I$89,3,0)*VLOOKUP('Données projet'!$B$11,Paramètres!$A$1:$I$89,5,0)</f>
        <v>229.46975999999992</v>
      </c>
      <c r="BF101" s="14">
        <f t="shared" si="91"/>
        <v>56.168015849852821</v>
      </c>
      <c r="BG101" s="22">
        <f t="shared" si="61"/>
        <v>497.4857929384936</v>
      </c>
      <c r="BH101" s="62">
        <f t="shared" si="62"/>
        <v>790.81912627182692</v>
      </c>
      <c r="BI101" s="62">
        <f ca="1">AVERAGE(OFFSET($BH$3,0,0,'Données projet'!$E$11+1,1))-AVERAGE(OFFSET($H$3,0,0,'Données projet'!$E$11+1,1))</f>
        <v>348.82438445524105</v>
      </c>
      <c r="BJ101" s="62">
        <f t="shared" si="92"/>
        <v>218.26721063098552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0.38138141633317585</v>
      </c>
      <c r="BR101" s="23">
        <f>EXP(-LN(2)/2)*BR100+(1-EXP(-LN(2)/2))/(LN(2)/2)*BL101*BO101*VLOOKUP('Données projet'!$B$11,Paramètres!$A$1:$I$89,3,0)*0.475*44/12</f>
        <v>6.8009586370868002E-10</v>
      </c>
      <c r="BS101" s="24">
        <f t="shared" si="63"/>
        <v>0.38138141701327172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-1.1368683772161603E-13</v>
      </c>
      <c r="O102" s="14">
        <f>N102*VLOOKUP('Données projet'!$B$9,Paramètres!$A$1:$I$89,3,0)*VLOOKUP('Données projet'!$B$9,Paramètres!$A$1:$I$89,5,0)</f>
        <v>-6.7984728957526396E-14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348.62416478262719</v>
      </c>
      <c r="T102" s="62">
        <f t="shared" si="88"/>
        <v>371.70674704563288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1.4283379985384865</v>
      </c>
      <c r="AA102" s="23">
        <f>EXP(-LN(2)/25)*AA101+(1-EXP(-LN(2)/25))/(LN(2)/25)*Calculateur!V102*Calculateur!X102*VLOOKUP('Données projet'!$B$9,Paramètres!$A$1:$I$89,3,0)*0.475*44/12</f>
        <v>1.791833382014971</v>
      </c>
      <c r="AB102" s="23">
        <f>EXP(-LN(2)/2)*AB101+(1-EXP(-LN(2)/2))/(LN(2)/2)*V102*Y102*VLOOKUP('Données projet'!$B$9,Paramètres!$A$1:$I$89,3,0)*0.475*44/12</f>
        <v>6.9943199902482266E-10</v>
      </c>
      <c r="AC102" s="24">
        <f t="shared" si="57"/>
        <v>3.2201713812528898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277.19999999999987</v>
      </c>
      <c r="AJ102" s="14">
        <f>AI102*VLOOKUP('Données projet'!$B$10,Paramètres!$A$1:$I$89,3,0)*VLOOKUP('Données projet'!$B$10,Paramètres!$A$1:$I$89,5,0)</f>
        <v>250.8105599999999</v>
      </c>
      <c r="AK102" s="14">
        <f t="shared" si="89"/>
        <v>60.75947736410869</v>
      </c>
      <c r="AL102" s="22">
        <f t="shared" si="58"/>
        <v>542.65114840915578</v>
      </c>
      <c r="AM102" s="62">
        <f t="shared" si="59"/>
        <v>835.98448174248915</v>
      </c>
      <c r="AN102" s="62">
        <f ca="1">AVERAGE(OFFSET($AM$3,0,0,'Données projet'!$E$10+1,1))-AVERAGE(OFFSET($H$3,0,0,'Données projet'!$E$10+1,1))</f>
        <v>371.7282125501186</v>
      </c>
      <c r="AO102" s="62">
        <f t="shared" si="90"/>
        <v>231.36959598460686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0.39843048599924002</v>
      </c>
      <c r="AW102" s="23">
        <f>EXP(-LN(2)/2)*AW101+(1-EXP(-LN(2)/2))/(LN(2)/2)*AQ102*AT102*VLOOKUP('Données projet'!$B$10,Paramètres!$A$1:$I$89,3,0)*0.475*44/12</f>
        <v>5.165226487212798E-10</v>
      </c>
      <c r="AX102" s="23">
        <f t="shared" si="60"/>
        <v>0.39843048651576268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277.19999999999987</v>
      </c>
      <c r="BE102" s="14">
        <f>BD102*VLOOKUP('Données projet'!$B$11,Paramètres!$A$1:$I$89,3,0)*VLOOKUP('Données projet'!$B$11,Paramètres!$A$1:$I$89,5,0)</f>
        <v>233.5132799999999</v>
      </c>
      <c r="BF102" s="14">
        <f t="shared" si="91"/>
        <v>57.041663274479838</v>
      </c>
      <c r="BG102" s="22">
        <f t="shared" si="61"/>
        <v>506.04985953638561</v>
      </c>
      <c r="BH102" s="62">
        <f t="shared" si="62"/>
        <v>799.38319286971887</v>
      </c>
      <c r="BI102" s="62">
        <f ca="1">AVERAGE(OFFSET($BH$3,0,0,'Données projet'!$E$11+1,1))-AVERAGE(OFFSET($H$3,0,0,'Données projet'!$E$11+1,1))</f>
        <v>348.82438445524105</v>
      </c>
      <c r="BJ102" s="62">
        <f t="shared" si="92"/>
        <v>218.26721063098552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0.37095252144756813</v>
      </c>
      <c r="BR102" s="23">
        <f>EXP(-LN(2)/2)*BR101+(1-EXP(-LN(2)/2))/(LN(2)/2)*BL102*BO102*VLOOKUP('Données projet'!$B$11,Paramètres!$A$1:$I$89,3,0)*0.475*44/12</f>
        <v>4.8090039708532963E-10</v>
      </c>
      <c r="BS102" s="24">
        <f t="shared" si="63"/>
        <v>0.3709525219284685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-1.1368683772161603E-13</v>
      </c>
      <c r="O103" s="14">
        <f>N103*VLOOKUP('Données projet'!$B$9,Paramètres!$A$1:$I$89,3,0)*VLOOKUP('Données projet'!$B$9,Paramètres!$A$1:$I$89,5,0)</f>
        <v>-6.7984728957526396E-14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348.62416478262719</v>
      </c>
      <c r="T103" s="62">
        <f t="shared" si="88"/>
        <v>371.70674704563288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1.4003291615873021</v>
      </c>
      <c r="AA103" s="23">
        <f>EXP(-LN(2)/25)*AA102+(1-EXP(-LN(2)/25))/(LN(2)/25)*Calculateur!V103*Calculateur!X103*VLOOKUP('Données projet'!$B$9,Paramètres!$A$1:$I$89,3,0)*0.475*44/12</f>
        <v>1.7428356039553494</v>
      </c>
      <c r="AB103" s="23">
        <f>EXP(-LN(2)/2)*AB102+(1-EXP(-LN(2)/2))/(LN(2)/2)*V103*Y103*VLOOKUP('Données projet'!$B$9,Paramètres!$A$1:$I$89,3,0)*0.475*44/12</f>
        <v>4.945731094893148E-10</v>
      </c>
      <c r="AC103" s="24">
        <f t="shared" si="57"/>
        <v>3.1431647660372248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281.99999999999989</v>
      </c>
      <c r="AJ103" s="14">
        <f>AI103*VLOOKUP('Données projet'!$B$10,Paramètres!$A$1:$I$89,3,0)*VLOOKUP('Données projet'!$B$10,Paramètres!$A$1:$I$89,5,0)</f>
        <v>255.15359999999987</v>
      </c>
      <c r="AK103" s="14">
        <f t="shared" si="89"/>
        <v>61.688192762754376</v>
      </c>
      <c r="AL103" s="22">
        <f t="shared" si="58"/>
        <v>551.83278906179692</v>
      </c>
      <c r="AM103" s="62">
        <f t="shared" si="59"/>
        <v>845.16612239513029</v>
      </c>
      <c r="AN103" s="62">
        <f ca="1">AVERAGE(OFFSET($AM$3,0,0,'Données projet'!$E$10+1,1))-AVERAGE(OFFSET($H$3,0,0,'Données projet'!$E$10+1,1))</f>
        <v>371.7282125501186</v>
      </c>
      <c r="AO103" s="62">
        <f t="shared" si="90"/>
        <v>231.36959598460686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0.38753538340704219</v>
      </c>
      <c r="AW103" s="23">
        <f>EXP(-LN(2)/2)*AW102+(1-EXP(-LN(2)/2))/(LN(2)/2)*AQ103*AT103*VLOOKUP('Données projet'!$B$10,Paramètres!$A$1:$I$89,3,0)*0.475*44/12</f>
        <v>3.6523666754725395E-10</v>
      </c>
      <c r="AX103" s="23">
        <f t="shared" si="60"/>
        <v>0.38753538377227886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281.99999999999989</v>
      </c>
      <c r="BE103" s="14">
        <f>BD103*VLOOKUP('Données projet'!$B$11,Paramètres!$A$1:$I$89,3,0)*VLOOKUP('Données projet'!$B$11,Paramètres!$A$1:$I$89,5,0)</f>
        <v>237.55679999999992</v>
      </c>
      <c r="BF103" s="14">
        <f t="shared" si="91"/>
        <v>57.913551469467308</v>
      </c>
      <c r="BG103" s="22">
        <f t="shared" si="61"/>
        <v>514.61086214265538</v>
      </c>
      <c r="BH103" s="62">
        <f t="shared" si="62"/>
        <v>807.94419547598864</v>
      </c>
      <c r="BI103" s="62">
        <f ca="1">AVERAGE(OFFSET($BH$3,0,0,'Données projet'!$E$11+1,1))-AVERAGE(OFFSET($H$3,0,0,'Données projet'!$E$11+1,1))</f>
        <v>348.82438445524105</v>
      </c>
      <c r="BJ103" s="62">
        <f t="shared" si="92"/>
        <v>218.26721063098552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0.36080880524103909</v>
      </c>
      <c r="BR103" s="23">
        <f>EXP(-LN(2)/2)*BR102+(1-EXP(-LN(2)/2))/(LN(2)/2)*BL103*BO103*VLOOKUP('Données projet'!$B$11,Paramètres!$A$1:$I$89,3,0)*0.475*44/12</f>
        <v>3.4004793185434001E-10</v>
      </c>
      <c r="BS103" s="24">
        <f t="shared" si="63"/>
        <v>0.36080880558108702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-6.7984728957526396E-14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348.62416478262719</v>
      </c>
      <c r="T104" s="62">
        <f t="shared" si="88"/>
        <v>371.70674704563288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1.3728695608450268</v>
      </c>
      <c r="AA104" s="23">
        <f>EXP(-LN(2)/25)*AA103+(1-EXP(-LN(2)/25))/(LN(2)/25)*Calculateur!V104*Calculateur!X104*VLOOKUP('Données projet'!$B$9,Paramètres!$A$1:$I$89,3,0)*0.475*44/12</f>
        <v>1.6951776727134493</v>
      </c>
      <c r="AB104" s="23">
        <f>EXP(-LN(2)/2)*AB103+(1-EXP(-LN(2)/2))/(LN(2)/2)*V104*Y104*VLOOKUP('Données projet'!$B$9,Paramètres!$A$1:$I$89,3,0)*0.475*44/12</f>
        <v>3.4971599951241133E-10</v>
      </c>
      <c r="AC104" s="24">
        <f t="shared" si="57"/>
        <v>3.0680472339081919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265.59999999999991</v>
      </c>
      <c r="AJ104" s="14">
        <f>AI104*VLOOKUP('Données projet'!$B$10,Paramètres!$A$1:$I$89,3,0)*VLOOKUP('Données projet'!$B$10,Paramètres!$A$1:$I$89,5,0)</f>
        <v>240.31487999999993</v>
      </c>
      <c r="AK104" s="14">
        <f t="shared" si="89"/>
        <v>58.50727327751612</v>
      </c>
      <c r="AL104" s="22">
        <f t="shared" si="58"/>
        <v>520.44858362500713</v>
      </c>
      <c r="AM104" s="62">
        <f t="shared" si="59"/>
        <v>813.78191695834039</v>
      </c>
      <c r="AN104" s="62">
        <f ca="1">AVERAGE(OFFSET($AM$3,0,0,'Données projet'!$E$10+1,1))-AVERAGE(OFFSET($H$3,0,0,'Données projet'!$E$10+1,1))</f>
        <v>371.7282125501186</v>
      </c>
      <c r="AO104" s="62">
        <f t="shared" si="90"/>
        <v>231.36959598460686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0.37693820796817651</v>
      </c>
      <c r="AW104" s="23">
        <f>EXP(-LN(2)/2)*AW103+(1-EXP(-LN(2)/2))/(LN(2)/2)*AQ104*AT104*VLOOKUP('Données projet'!$B$10,Paramètres!$A$1:$I$89,3,0)*0.475*44/12</f>
        <v>2.582613243606399E-10</v>
      </c>
      <c r="AX104" s="23">
        <f t="shared" si="60"/>
        <v>0.37693820822643781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4.5999999999999996</v>
      </c>
      <c r="BD104" s="13">
        <f>IF('Données projet'!$A$88&gt;35,BD103+BC104-BL103,IF(A104&lt;'Données projet'!$A$88,$BA$205^A104,IF(A104='Données projet'!$A$88,'Données projet'!$B$88,BD103+BC104-BL103)))</f>
        <v>265.59999999999991</v>
      </c>
      <c r="BE104" s="14">
        <f>BD104*VLOOKUP('Données projet'!$B$11,Paramètres!$A$1:$I$89,3,0)*VLOOKUP('Données projet'!$B$11,Paramètres!$A$1:$I$89,5,0)</f>
        <v>223.74143999999993</v>
      </c>
      <c r="BF104" s="14">
        <f t="shared" si="91"/>
        <v>54.927269393786155</v>
      </c>
      <c r="BG104" s="22">
        <f t="shared" si="61"/>
        <v>485.34800219417735</v>
      </c>
      <c r="BH104" s="62">
        <f t="shared" si="62"/>
        <v>778.68133552751067</v>
      </c>
      <c r="BI104" s="62">
        <f ca="1">AVERAGE(OFFSET($BH$3,0,0,'Données projet'!$E$11+1,1))-AVERAGE(OFFSET($H$3,0,0,'Données projet'!$E$11+1,1))</f>
        <v>348.82438445524105</v>
      </c>
      <c r="BJ104" s="62">
        <f t="shared" si="92"/>
        <v>218.26721063098552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0.35094246948761243</v>
      </c>
      <c r="BR104" s="23">
        <f>EXP(-LN(2)/2)*BR103+(1-EXP(-LN(2)/2))/(LN(2)/2)*BL104*BO104*VLOOKUP('Données projet'!$B$11,Paramètres!$A$1:$I$89,3,0)*0.475*44/12</f>
        <v>2.4045019854266481E-10</v>
      </c>
      <c r="BS104" s="24">
        <f t="shared" si="63"/>
        <v>0.35094246972806264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-6.7984728957526396E-14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348.62416478262719</v>
      </c>
      <c r="T105" s="62">
        <f t="shared" si="88"/>
        <v>371.70674704563288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1.3459484261246046</v>
      </c>
      <c r="AA105" s="23">
        <f>EXP(-LN(2)/25)*AA104+(1-EXP(-LN(2)/25))/(LN(2)/25)*Calculateur!V105*Calculateur!X105*VLOOKUP('Données projet'!$B$9,Paramètres!$A$1:$I$89,3,0)*0.475*44/12</f>
        <v>1.6488229501075806</v>
      </c>
      <c r="AB105" s="23">
        <f>EXP(-LN(2)/2)*AB104+(1-EXP(-LN(2)/2))/(LN(2)/2)*V105*Y105*VLOOKUP('Données projet'!$B$9,Paramètres!$A$1:$I$89,3,0)*0.475*44/12</f>
        <v>2.472865547446574E-10</v>
      </c>
      <c r="AC105" s="24">
        <f t="shared" si="57"/>
        <v>2.9947713764794717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270.19999999999993</v>
      </c>
      <c r="AJ105" s="14">
        <f>AI105*VLOOKUP('Données projet'!$B$10,Paramètres!$A$1:$I$89,3,0)*VLOOKUP('Données projet'!$B$10,Paramètres!$A$1:$I$89,5,0)</f>
        <v>244.47695999999993</v>
      </c>
      <c r="AK105" s="14">
        <f t="shared" si="89"/>
        <v>59.401731670234192</v>
      </c>
      <c r="AL105" s="22">
        <f t="shared" si="58"/>
        <v>529.25538799232447</v>
      </c>
      <c r="AM105" s="62">
        <f t="shared" si="59"/>
        <v>822.58872132565784</v>
      </c>
      <c r="AN105" s="62">
        <f ca="1">AVERAGE(OFFSET($AM$3,0,0,'Données projet'!$E$10+1,1))-AVERAGE(OFFSET($H$3,0,0,'Données projet'!$E$10+1,1))</f>
        <v>371.7282125501186</v>
      </c>
      <c r="AO105" s="62">
        <f t="shared" si="90"/>
        <v>231.36959598460686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0.36663081284896787</v>
      </c>
      <c r="AW105" s="23">
        <f>EXP(-LN(2)/2)*AW104+(1-EXP(-LN(2)/2))/(LN(2)/2)*AQ105*AT105*VLOOKUP('Données projet'!$B$10,Paramètres!$A$1:$I$89,3,0)*0.475*44/12</f>
        <v>1.8261833377362697E-10</v>
      </c>
      <c r="AX105" s="23">
        <f t="shared" si="60"/>
        <v>0.36663081303158618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4.5999999999999996</v>
      </c>
      <c r="BD105" s="13">
        <f>IF('Données projet'!$A$88&gt;35,BD104+BC105-BL104,IF(A105&lt;'Données projet'!$A$88,$BA$205^A105,IF(A105='Données projet'!$A$88,'Données projet'!$B$88,BD104+BC105-BL104)))</f>
        <v>270.19999999999993</v>
      </c>
      <c r="BE105" s="14">
        <f>BD105*VLOOKUP('Données projet'!$B$11,Paramètres!$A$1:$I$89,3,0)*VLOOKUP('Données projet'!$B$11,Paramètres!$A$1:$I$89,5,0)</f>
        <v>227.61647999999994</v>
      </c>
      <c r="BF105" s="14">
        <f t="shared" si="91"/>
        <v>55.766996736151235</v>
      </c>
      <c r="BG105" s="22">
        <f t="shared" si="61"/>
        <v>493.55955531546334</v>
      </c>
      <c r="BH105" s="62">
        <f t="shared" si="62"/>
        <v>786.89288864879666</v>
      </c>
      <c r="BI105" s="62">
        <f ca="1">AVERAGE(OFFSET($BH$3,0,0,'Données projet'!$E$11+1,1))-AVERAGE(OFFSET($H$3,0,0,'Données projet'!$E$11+1,1))</f>
        <v>348.82438445524105</v>
      </c>
      <c r="BJ105" s="62">
        <f t="shared" si="92"/>
        <v>218.26721063098552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0.34134592920421131</v>
      </c>
      <c r="BR105" s="23">
        <f>EXP(-LN(2)/2)*BR104+(1-EXP(-LN(2)/2))/(LN(2)/2)*BL105*BO105*VLOOKUP('Données projet'!$B$11,Paramètres!$A$1:$I$89,3,0)*0.475*44/12</f>
        <v>1.7002396592717E-10</v>
      </c>
      <c r="BS105" s="24">
        <f t="shared" si="63"/>
        <v>0.34134592937423525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-6.7984728957526396E-14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348.62416478262719</v>
      </c>
      <c r="T106" s="62">
        <f t="shared" si="88"/>
        <v>371.70674704563288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1.3195551984357792</v>
      </c>
      <c r="AA106" s="23">
        <f>EXP(-LN(2)/25)*AA105+(1-EXP(-LN(2)/25))/(LN(2)/25)*Calculateur!V106*Calculateur!X106*VLOOKUP('Données projet'!$B$9,Paramètres!$A$1:$I$89,3,0)*0.475*44/12</f>
        <v>1.6037357998290582</v>
      </c>
      <c r="AB106" s="23">
        <f>EXP(-LN(2)/2)*AB105+(1-EXP(-LN(2)/2))/(LN(2)/2)*V106*Y106*VLOOKUP('Données projet'!$B$9,Paramètres!$A$1:$I$89,3,0)*0.475*44/12</f>
        <v>1.7485799975620567E-10</v>
      </c>
      <c r="AC106" s="24">
        <f t="shared" si="57"/>
        <v>2.9232909984396955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274.79999999999995</v>
      </c>
      <c r="AJ106" s="14">
        <f>AI106*VLOOKUP('Données projet'!$B$10,Paramètres!$A$1:$I$89,3,0)*VLOOKUP('Données projet'!$B$10,Paramètres!$A$1:$I$89,5,0)</f>
        <v>248.63903999999994</v>
      </c>
      <c r="AK106" s="14">
        <f t="shared" si="89"/>
        <v>60.294419230169922</v>
      </c>
      <c r="AL106" s="22">
        <f t="shared" si="58"/>
        <v>538.05910815921254</v>
      </c>
      <c r="AM106" s="62">
        <f t="shared" si="59"/>
        <v>831.39244149254591</v>
      </c>
      <c r="AN106" s="62">
        <f ca="1">AVERAGE(OFFSET($AM$3,0,0,'Données projet'!$E$10+1,1))-AVERAGE(OFFSET($H$3,0,0,'Données projet'!$E$10+1,1))</f>
        <v>371.7282125501186</v>
      </c>
      <c r="AO106" s="62">
        <f t="shared" si="90"/>
        <v>231.36959598460686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0.35660527399133635</v>
      </c>
      <c r="AW106" s="23">
        <f>EXP(-LN(2)/2)*AW105+(1-EXP(-LN(2)/2))/(LN(2)/2)*AQ106*AT106*VLOOKUP('Données projet'!$B$10,Paramètres!$A$1:$I$89,3,0)*0.475*44/12</f>
        <v>1.2913066218031995E-10</v>
      </c>
      <c r="AX106" s="23">
        <f t="shared" si="60"/>
        <v>0.356605274120467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4.5999999999999996</v>
      </c>
      <c r="BD106" s="13">
        <f>IF('Données projet'!$A$88&gt;35,BD105+BC106-BL105,IF(A106&lt;'Données projet'!$A$88,$BA$205^A106,IF(A106='Données projet'!$A$88,'Données projet'!$B$88,BD105+BC106-BL105)))</f>
        <v>274.79999999999995</v>
      </c>
      <c r="BE106" s="14">
        <f>BD106*VLOOKUP('Données projet'!$B$11,Paramètres!$A$1:$I$89,3,0)*VLOOKUP('Données projet'!$B$11,Paramètres!$A$1:$I$89,5,0)</f>
        <v>231.49152000000001</v>
      </c>
      <c r="BF106" s="14">
        <f t="shared" si="91"/>
        <v>56.605061601291979</v>
      </c>
      <c r="BG106" s="22">
        <f t="shared" si="61"/>
        <v>501.76821295558352</v>
      </c>
      <c r="BH106" s="62">
        <f t="shared" si="62"/>
        <v>795.10154628891678</v>
      </c>
      <c r="BI106" s="62">
        <f ca="1">AVERAGE(OFFSET($BH$3,0,0,'Données projet'!$E$11+1,1))-AVERAGE(OFFSET($H$3,0,0,'Données projet'!$E$11+1,1))</f>
        <v>348.82438445524105</v>
      </c>
      <c r="BJ106" s="62">
        <f t="shared" si="92"/>
        <v>218.26721063098552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0.33201180681951986</v>
      </c>
      <c r="BR106" s="23">
        <f>EXP(-LN(2)/2)*BR105+(1-EXP(-LN(2)/2))/(LN(2)/2)*BL106*BO106*VLOOKUP('Données projet'!$B$11,Paramètres!$A$1:$I$89,3,0)*0.475*44/12</f>
        <v>1.2022509927133241E-10</v>
      </c>
      <c r="BS106" s="24">
        <f t="shared" si="63"/>
        <v>0.33201180693974497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-6.7984728957526396E-14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348.62416478262719</v>
      </c>
      <c r="T107" s="62">
        <f t="shared" si="88"/>
        <v>371.70674704563288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1.2936795258436524</v>
      </c>
      <c r="AA107" s="23">
        <f>EXP(-LN(2)/25)*AA106+(1-EXP(-LN(2)/25))/(LN(2)/25)*Calculateur!V107*Calculateur!X107*VLOOKUP('Données projet'!$B$9,Paramètres!$A$1:$I$89,3,0)*0.475*44/12</f>
        <v>1.5598815600459324</v>
      </c>
      <c r="AB107" s="23">
        <f>EXP(-LN(2)/2)*AB106+(1-EXP(-LN(2)/2))/(LN(2)/2)*V107*Y107*VLOOKUP('Données projet'!$B$9,Paramètres!$A$1:$I$89,3,0)*0.475*44/12</f>
        <v>1.236432773723287E-10</v>
      </c>
      <c r="AC107" s="24">
        <f t="shared" si="57"/>
        <v>2.8535610860132281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279.39999999999998</v>
      </c>
      <c r="AJ107" s="14">
        <f>AI107*VLOOKUP('Données projet'!$B$10,Paramètres!$A$1:$I$89,3,0)*VLOOKUP('Données projet'!$B$10,Paramètres!$A$1:$I$89,5,0)</f>
        <v>252.80111999999994</v>
      </c>
      <c r="AK107" s="14">
        <f t="shared" si="89"/>
        <v>61.185369021394209</v>
      </c>
      <c r="AL107" s="22">
        <f t="shared" si="58"/>
        <v>546.8598017122614</v>
      </c>
      <c r="AM107" s="62">
        <f t="shared" si="59"/>
        <v>840.19313504559477</v>
      </c>
      <c r="AN107" s="62">
        <f ca="1">AVERAGE(OFFSET($AM$3,0,0,'Données projet'!$E$10+1,1))-AVERAGE(OFFSET($H$3,0,0,'Données projet'!$E$10+1,1))</f>
        <v>371.7282125501186</v>
      </c>
      <c r="AO107" s="62">
        <f t="shared" si="90"/>
        <v>231.36959598460686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0.34685388402098694</v>
      </c>
      <c r="AW107" s="23">
        <f>EXP(-LN(2)/2)*AW106+(1-EXP(-LN(2)/2))/(LN(2)/2)*AQ107*AT107*VLOOKUP('Données projet'!$B$10,Paramètres!$A$1:$I$89,3,0)*0.475*44/12</f>
        <v>9.1309166886813487E-11</v>
      </c>
      <c r="AX107" s="23">
        <f t="shared" si="60"/>
        <v>0.34685388411229612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4.5999999999999996</v>
      </c>
      <c r="BD107" s="13">
        <f>IF('Données projet'!$A$88&gt;35,BD106+BC107-BL106,IF(A107&lt;'Données projet'!$A$88,$BA$205^A107,IF(A107='Données projet'!$A$88,'Données projet'!$B$88,BD106+BC107-BL106)))</f>
        <v>279.39999999999998</v>
      </c>
      <c r="BE107" s="14">
        <f>BD107*VLOOKUP('Données projet'!$B$11,Paramètres!$A$1:$I$89,3,0)*VLOOKUP('Données projet'!$B$11,Paramètres!$A$1:$I$89,5,0)</f>
        <v>235.36656000000002</v>
      </c>
      <c r="BF107" s="14">
        <f t="shared" si="91"/>
        <v>57.441495030120393</v>
      </c>
      <c r="BG107" s="22">
        <f t="shared" si="61"/>
        <v>509.97402917745967</v>
      </c>
      <c r="BH107" s="62">
        <f t="shared" si="62"/>
        <v>803.30736251079293</v>
      </c>
      <c r="BI107" s="62">
        <f ca="1">AVERAGE(OFFSET($BH$3,0,0,'Données projet'!$E$11+1,1))-AVERAGE(OFFSET($H$3,0,0,'Données projet'!$E$11+1,1))</f>
        <v>348.82438445524105</v>
      </c>
      <c r="BJ107" s="62">
        <f t="shared" si="92"/>
        <v>218.26721063098552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0.32293292650229799</v>
      </c>
      <c r="BR107" s="23">
        <f>EXP(-LN(2)/2)*BR106+(1-EXP(-LN(2)/2))/(LN(2)/2)*BL107*BO107*VLOOKUP('Données projet'!$B$11,Paramètres!$A$1:$I$89,3,0)*0.475*44/12</f>
        <v>8.5011982963585002E-11</v>
      </c>
      <c r="BS107" s="24">
        <f t="shared" si="63"/>
        <v>0.32293292658730999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-6.7984728957526396E-14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348.62416478262719</v>
      </c>
      <c r="T108" s="62">
        <f t="shared" si="88"/>
        <v>371.70674704563288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1.2683112594084553</v>
      </c>
      <c r="AA108" s="23">
        <f>EXP(-LN(2)/25)*AA107+(1-EXP(-LN(2)/25))/(LN(2)/25)*Calculateur!V108*Calculateur!X108*VLOOKUP('Données projet'!$B$9,Paramètres!$A$1:$I$89,3,0)*0.475*44/12</f>
        <v>1.5172265167558703</v>
      </c>
      <c r="AB108" s="23">
        <f>EXP(-LN(2)/2)*AB107+(1-EXP(-LN(2)/2))/(LN(2)/2)*V108*Y108*VLOOKUP('Données projet'!$B$9,Paramètres!$A$1:$I$89,3,0)*0.475*44/12</f>
        <v>8.7428999878102833E-11</v>
      </c>
      <c r="AC108" s="24">
        <f t="shared" si="57"/>
        <v>2.7855377762517546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</v>
      </c>
      <c r="AJ108" s="14">
        <f>AI108*VLOOKUP('Données projet'!$B$10,Paramètres!$A$1:$I$89,3,0)*VLOOKUP('Données projet'!$B$10,Paramètres!$A$1:$I$89,5,0)</f>
        <v>256.96320000000003</v>
      </c>
      <c r="AK108" s="14">
        <f t="shared" si="89"/>
        <v>62.074612956838024</v>
      </c>
      <c r="AL108" s="22">
        <f t="shared" si="58"/>
        <v>555.65752423315951</v>
      </c>
      <c r="AM108" s="62">
        <f t="shared" si="59"/>
        <v>848.99085756649288</v>
      </c>
      <c r="AN108" s="62">
        <f ca="1">AVERAGE(OFFSET($AM$3,0,0,'Données projet'!$E$10+1,1))-AVERAGE(OFFSET($H$3,0,0,'Données projet'!$E$10+1,1))</f>
        <v>371.7282125501186</v>
      </c>
      <c r="AO108" s="62">
        <f t="shared" si="90"/>
        <v>231.36959598460686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0.33736914632218001</v>
      </c>
      <c r="AW108" s="23">
        <f>EXP(-LN(2)/2)*AW107+(1-EXP(-LN(2)/2))/(LN(2)/2)*AQ108*AT108*VLOOKUP('Données projet'!$B$10,Paramètres!$A$1:$I$89,3,0)*0.475*44/12</f>
        <v>6.4565331090159975E-11</v>
      </c>
      <c r="AX108" s="23">
        <f t="shared" si="60"/>
        <v>0.33736914638674537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284</v>
      </c>
      <c r="BB108" s="13">
        <f>VLOOKUP(A108,'Données projet'!$A$87:$I$107,9,0)</f>
        <v>4.5999999999999996</v>
      </c>
      <c r="BC108" s="13">
        <f t="array" ref="BC108">INDEX(BB:BB,MIN(IF(ISNUMBER(BB108:BB304),ROW(BB108:BB304),"")))</f>
        <v>4.5999999999999996</v>
      </c>
      <c r="BD108" s="13">
        <f>IF('Données projet'!$A$88&gt;35,BD107+BC108-BL107,IF(A108&lt;'Données projet'!$A$88,$BA$205^A108,IF(A108='Données projet'!$A$88,'Données projet'!$B$88,BD107+BC108-BL107)))</f>
        <v>284</v>
      </c>
      <c r="BE108" s="14">
        <f>BD108*VLOOKUP('Données projet'!$B$11,Paramètres!$A$1:$I$89,3,0)*VLOOKUP('Données projet'!$B$11,Paramètres!$A$1:$I$89,5,0)</f>
        <v>239.24160000000003</v>
      </c>
      <c r="BF108" s="14">
        <f t="shared" si="91"/>
        <v>58.276326982845887</v>
      </c>
      <c r="BG108" s="22">
        <f t="shared" si="61"/>
        <v>518.17705616178989</v>
      </c>
      <c r="BH108" s="62">
        <f t="shared" si="62"/>
        <v>811.51038949512326</v>
      </c>
      <c r="BI108" s="62">
        <f ca="1">AVERAGE(OFFSET($BH$3,0,0,'Données projet'!$E$11+1,1))-AVERAGE(OFFSET($H$3,0,0,'Données projet'!$E$11+1,1))</f>
        <v>348.82438445524105</v>
      </c>
      <c r="BJ108" s="62">
        <f t="shared" si="92"/>
        <v>218.26721063098552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0.31410230864478811</v>
      </c>
      <c r="BR108" s="23">
        <f>EXP(-LN(2)/2)*BR107+(1-EXP(-LN(2)/2))/(LN(2)/2)*BL108*BO108*VLOOKUP('Données projet'!$B$11,Paramètres!$A$1:$I$89,3,0)*0.475*44/12</f>
        <v>6.0112549635666204E-11</v>
      </c>
      <c r="BS108" s="24">
        <f t="shared" si="63"/>
        <v>0.31410230870490063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-6.7984728957526396E-14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348.62416478262719</v>
      </c>
      <c r="T109" s="62">
        <f t="shared" si="88"/>
        <v>371.70674704563288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1.2434404492049378</v>
      </c>
      <c r="AA109" s="23">
        <f>EXP(-LN(2)/25)*AA108+(1-EXP(-LN(2)/25))/(LN(2)/25)*Calculateur!V109*Calculateur!X109*VLOOKUP('Données projet'!$B$9,Paramètres!$A$1:$I$89,3,0)*0.475*44/12</f>
        <v>1.4757378778677062</v>
      </c>
      <c r="AB109" s="23">
        <f>EXP(-LN(2)/2)*AB108+(1-EXP(-LN(2)/2))/(LN(2)/2)*V109*Y109*VLOOKUP('Données projet'!$B$9,Paramètres!$A$1:$I$89,3,0)*0.475*44/12</f>
        <v>6.182163868616435E-11</v>
      </c>
      <c r="AC109" s="24">
        <f t="shared" si="57"/>
        <v>2.7191783271344656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</v>
      </c>
      <c r="AJ109" s="14">
        <f>AI109*VLOOKUP('Données projet'!$B$10,Paramètres!$A$1:$I$89,3,0)*VLOOKUP('Données projet'!$B$10,Paramètres!$A$1:$I$89,5,0)</f>
        <v>242.66735999999997</v>
      </c>
      <c r="AK109" s="14">
        <f t="shared" si="89"/>
        <v>59.013056290731797</v>
      </c>
      <c r="AL109" s="22">
        <f t="shared" si="58"/>
        <v>525.42672503969118</v>
      </c>
      <c r="AM109" s="62">
        <f t="shared" si="59"/>
        <v>818.76005837302455</v>
      </c>
      <c r="AN109" s="62">
        <f ca="1">AVERAGE(OFFSET($AM$3,0,0,'Données projet'!$E$10+1,1))-AVERAGE(OFFSET($H$3,0,0,'Données projet'!$E$10+1,1))</f>
        <v>371.7282125501186</v>
      </c>
      <c r="AO109" s="62">
        <f t="shared" si="90"/>
        <v>231.36959598460686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0.32814376927452765</v>
      </c>
      <c r="AW109" s="23">
        <f>EXP(-LN(2)/2)*AW108+(1-EXP(-LN(2)/2))/(LN(2)/2)*AQ109*AT109*VLOOKUP('Données projet'!$B$10,Paramètres!$A$1:$I$89,3,0)*0.475*44/12</f>
        <v>4.5654583443406744E-11</v>
      </c>
      <c r="AX109" s="23">
        <f t="shared" si="60"/>
        <v>0.32814376932018224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268.2</v>
      </c>
      <c r="BE109" s="14">
        <f>BD109*VLOOKUP('Données projet'!$B$11,Paramètres!$A$1:$I$89,3,0)*VLOOKUP('Données projet'!$B$11,Paramètres!$A$1:$I$89,5,0)</f>
        <v>225.93168</v>
      </c>
      <c r="BF109" s="14">
        <f t="shared" si="91"/>
        <v>55.402104029984706</v>
      </c>
      <c r="BG109" s="22">
        <f t="shared" si="61"/>
        <v>489.9896738522234</v>
      </c>
      <c r="BH109" s="62">
        <f t="shared" si="62"/>
        <v>783.32300718555666</v>
      </c>
      <c r="BI109" s="62">
        <f ca="1">AVERAGE(OFFSET($BH$3,0,0,'Données projet'!$E$11+1,1))-AVERAGE(OFFSET($H$3,0,0,'Données projet'!$E$11+1,1))</f>
        <v>348.82438445524105</v>
      </c>
      <c r="BJ109" s="62">
        <f t="shared" si="92"/>
        <v>218.26721063098552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0.30551316449697385</v>
      </c>
      <c r="BR109" s="23">
        <f>EXP(-LN(2)/2)*BR108+(1-EXP(-LN(2)/2))/(LN(2)/2)*BL109*BO109*VLOOKUP('Données projet'!$B$11,Paramètres!$A$1:$I$89,3,0)*0.475*44/12</f>
        <v>4.2505991481792501E-11</v>
      </c>
      <c r="BS109" s="24">
        <f t="shared" si="63"/>
        <v>0.30551316453947985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-6.7984728957526396E-14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348.62416478262719</v>
      </c>
      <c r="T110" s="62">
        <f t="shared" si="88"/>
        <v>371.70674704563288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1.2190573404198148</v>
      </c>
      <c r="AA110" s="23">
        <f>EXP(-LN(2)/25)*AA109+(1-EXP(-LN(2)/25))/(LN(2)/25)*Calculateur!V110*Calculateur!X110*VLOOKUP('Données projet'!$B$9,Paramètres!$A$1:$I$89,3,0)*0.475*44/12</f>
        <v>1.4353837479917315</v>
      </c>
      <c r="AB110" s="23">
        <f>EXP(-LN(2)/2)*AB109+(1-EXP(-LN(2)/2))/(LN(2)/2)*V110*Y110*VLOOKUP('Données projet'!$B$9,Paramètres!$A$1:$I$89,3,0)*0.475*44/12</f>
        <v>4.3714499939051416E-11</v>
      </c>
      <c r="AC110" s="24">
        <f t="shared" si="57"/>
        <v>2.6544410884552607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272.39999999999998</v>
      </c>
      <c r="AJ110" s="14">
        <f>AI110*VLOOKUP('Données projet'!$B$10,Paramètres!$A$1:$I$89,3,0)*VLOOKUP('Données projet'!$B$10,Paramètres!$A$1:$I$89,5,0)</f>
        <v>246.46751999999995</v>
      </c>
      <c r="AK110" s="14">
        <f t="shared" si="89"/>
        <v>59.828888074216977</v>
      </c>
      <c r="AL110" s="22">
        <f t="shared" si="58"/>
        <v>533.46624406259446</v>
      </c>
      <c r="AM110" s="62">
        <f t="shared" si="59"/>
        <v>826.79957739592783</v>
      </c>
      <c r="AN110" s="62">
        <f ca="1">AVERAGE(OFFSET($AM$3,0,0,'Données projet'!$E$10+1,1))-AVERAGE(OFFSET($H$3,0,0,'Données projet'!$E$10+1,1))</f>
        <v>371.7282125501186</v>
      </c>
      <c r="AO110" s="62">
        <f t="shared" si="90"/>
        <v>231.36959598460686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0.31917066064738486</v>
      </c>
      <c r="AW110" s="23">
        <f>EXP(-LN(2)/2)*AW109+(1-EXP(-LN(2)/2))/(LN(2)/2)*AQ110*AT110*VLOOKUP('Données projet'!$B$10,Paramètres!$A$1:$I$89,3,0)*0.475*44/12</f>
        <v>3.2282665545079988E-11</v>
      </c>
      <c r="AX110" s="23">
        <f t="shared" si="60"/>
        <v>0.31917066067966754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272.39999999999998</v>
      </c>
      <c r="BE110" s="14">
        <f>BD110*VLOOKUP('Données projet'!$B$11,Paramètres!$A$1:$I$89,3,0)*VLOOKUP('Données projet'!$B$11,Paramètres!$A$1:$I$89,5,0)</f>
        <v>229.46976000000001</v>
      </c>
      <c r="BF110" s="14">
        <f t="shared" si="91"/>
        <v>56.168015849852821</v>
      </c>
      <c r="BG110" s="22">
        <f t="shared" si="61"/>
        <v>497.4857929384936</v>
      </c>
      <c r="BH110" s="62">
        <f t="shared" si="62"/>
        <v>790.81912627182692</v>
      </c>
      <c r="BI110" s="62">
        <f ca="1">AVERAGE(OFFSET($BH$3,0,0,'Données projet'!$E$11+1,1))-AVERAGE(OFFSET($H$3,0,0,'Données projet'!$E$11+1,1))</f>
        <v>348.82438445524105</v>
      </c>
      <c r="BJ110" s="62">
        <f t="shared" si="92"/>
        <v>218.26721063098552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0.29715889094756504</v>
      </c>
      <c r="BR110" s="23">
        <f>EXP(-LN(2)/2)*BR109+(1-EXP(-LN(2)/2))/(LN(2)/2)*BL110*BO110*VLOOKUP('Données projet'!$B$11,Paramètres!$A$1:$I$89,3,0)*0.475*44/12</f>
        <v>3.0056274817833102E-11</v>
      </c>
      <c r="BS110" s="24">
        <f t="shared" si="63"/>
        <v>0.29715889097762133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-6.7984728957526396E-14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348.62416478262719</v>
      </c>
      <c r="T111" s="62">
        <f t="shared" si="88"/>
        <v>371.70674704563288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1.1951523695257402</v>
      </c>
      <c r="AA111" s="23">
        <f>EXP(-LN(2)/25)*AA110+(1-EXP(-LN(2)/25))/(LN(2)/25)*Calculateur!V111*Calculateur!X111*VLOOKUP('Données projet'!$B$9,Paramètres!$A$1:$I$89,3,0)*0.475*44/12</f>
        <v>1.396133103919347</v>
      </c>
      <c r="AB111" s="23">
        <f>EXP(-LN(2)/2)*AB110+(1-EXP(-LN(2)/2))/(LN(2)/2)*V111*Y111*VLOOKUP('Données projet'!$B$9,Paramètres!$A$1:$I$89,3,0)*0.475*44/12</f>
        <v>3.0910819343082175E-11</v>
      </c>
      <c r="AC111" s="24">
        <f t="shared" si="57"/>
        <v>2.591285473475998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276.59999999999997</v>
      </c>
      <c r="AJ111" s="14">
        <f>AI111*VLOOKUP('Données projet'!$B$10,Paramètres!$A$1:$I$89,3,0)*VLOOKUP('Données projet'!$B$10,Paramètres!$A$1:$I$89,5,0)</f>
        <v>250.26767999999996</v>
      </c>
      <c r="AK111" s="14">
        <f t="shared" si="89"/>
        <v>60.643256925083442</v>
      </c>
      <c r="AL111" s="22">
        <f t="shared" si="58"/>
        <v>541.50321514452014</v>
      </c>
      <c r="AM111" s="62">
        <f t="shared" si="59"/>
        <v>834.83654847785351</v>
      </c>
      <c r="AN111" s="62">
        <f ca="1">AVERAGE(OFFSET($AM$3,0,0,'Données projet'!$E$10+1,1))-AVERAGE(OFFSET($H$3,0,0,'Données projet'!$E$10+1,1))</f>
        <v>371.7282125501186</v>
      </c>
      <c r="AO111" s="62">
        <f t="shared" si="90"/>
        <v>231.36959598460686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0.31044292214752656</v>
      </c>
      <c r="AW111" s="23">
        <f>EXP(-LN(2)/2)*AW110+(1-EXP(-LN(2)/2))/(LN(2)/2)*AQ111*AT111*VLOOKUP('Données projet'!$B$10,Paramètres!$A$1:$I$89,3,0)*0.475*44/12</f>
        <v>2.2827291721703372E-11</v>
      </c>
      <c r="AX111" s="23">
        <f t="shared" si="60"/>
        <v>0.31044292217035385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276.59999999999997</v>
      </c>
      <c r="BE111" s="14">
        <f>BD111*VLOOKUP('Données projet'!$B$11,Paramètres!$A$1:$I$89,3,0)*VLOOKUP('Données projet'!$B$11,Paramètres!$A$1:$I$89,5,0)</f>
        <v>233.00784000000002</v>
      </c>
      <c r="BF111" s="14">
        <f t="shared" si="91"/>
        <v>56.932554252544712</v>
      </c>
      <c r="BG111" s="22">
        <f t="shared" si="61"/>
        <v>504.9795199898486</v>
      </c>
      <c r="BH111" s="62">
        <f t="shared" si="62"/>
        <v>798.31285332318191</v>
      </c>
      <c r="BI111" s="62">
        <f ca="1">AVERAGE(OFFSET($BH$3,0,0,'Données projet'!$E$11+1,1))-AVERAGE(OFFSET($H$3,0,0,'Données projet'!$E$11+1,1))</f>
        <v>348.82438445524105</v>
      </c>
      <c r="BJ111" s="62">
        <f t="shared" si="92"/>
        <v>218.26721063098552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0.28903306544769697</v>
      </c>
      <c r="BR111" s="23">
        <f>EXP(-LN(2)/2)*BR110+(1-EXP(-LN(2)/2))/(LN(2)/2)*BL111*BO111*VLOOKUP('Données projet'!$B$11,Paramètres!$A$1:$I$89,3,0)*0.475*44/12</f>
        <v>2.125299574089625E-11</v>
      </c>
      <c r="BS111" s="24">
        <f t="shared" si="63"/>
        <v>0.28903306546894997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-6.7984728957526396E-14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348.62416478262719</v>
      </c>
      <c r="T112" s="62">
        <f t="shared" si="88"/>
        <v>371.70674704563288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1.1717161605303059</v>
      </c>
      <c r="AA112" s="23">
        <f>EXP(-LN(2)/25)*AA111+(1-EXP(-LN(2)/25))/(LN(2)/25)*Calculateur!V112*Calculateur!X112*VLOOKUP('Données projet'!$B$9,Paramètres!$A$1:$I$89,3,0)*0.475*44/12</f>
        <v>1.3579557707732235</v>
      </c>
      <c r="AB112" s="23">
        <f>EXP(-LN(2)/2)*AB111+(1-EXP(-LN(2)/2))/(LN(2)/2)*V112*Y112*VLOOKUP('Données projet'!$B$9,Paramètres!$A$1:$I$89,3,0)*0.475*44/12</f>
        <v>2.1857249969525708E-11</v>
      </c>
      <c r="AC112" s="24">
        <f t="shared" si="57"/>
        <v>2.5296719313253866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280.79999999999995</v>
      </c>
      <c r="AJ112" s="14">
        <f>AI112*VLOOKUP('Données projet'!$B$10,Paramètres!$A$1:$I$89,3,0)*VLOOKUP('Données projet'!$B$10,Paramètres!$A$1:$I$89,5,0)</f>
        <v>254.06783999999996</v>
      </c>
      <c r="AK112" s="14">
        <f t="shared" si="89"/>
        <v>61.456187622750718</v>
      </c>
      <c r="AL112" s="22">
        <f t="shared" si="58"/>
        <v>549.53768144295748</v>
      </c>
      <c r="AM112" s="62">
        <f t="shared" si="59"/>
        <v>842.87101477629085</v>
      </c>
      <c r="AN112" s="62">
        <f ca="1">AVERAGE(OFFSET($AM$3,0,0,'Données projet'!$E$10+1,1))-AVERAGE(OFFSET($H$3,0,0,'Données projet'!$E$10+1,1))</f>
        <v>371.7282125501186</v>
      </c>
      <c r="AO112" s="62">
        <f t="shared" si="90"/>
        <v>231.36959598460686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0.30195384411591869</v>
      </c>
      <c r="AW112" s="23">
        <f>EXP(-LN(2)/2)*AW111+(1-EXP(-LN(2)/2))/(LN(2)/2)*AQ112*AT112*VLOOKUP('Données projet'!$B$10,Paramètres!$A$1:$I$89,3,0)*0.475*44/12</f>
        <v>1.6141332772539994E-11</v>
      </c>
      <c r="AX112" s="23">
        <f t="shared" si="60"/>
        <v>0.30195384413206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280.79999999999995</v>
      </c>
      <c r="BE112" s="14">
        <f>BD112*VLOOKUP('Données projet'!$B$11,Paramètres!$A$1:$I$89,3,0)*VLOOKUP('Données projet'!$B$11,Paramètres!$A$1:$I$89,5,0)</f>
        <v>236.54591999999997</v>
      </c>
      <c r="BF112" s="14">
        <f t="shared" si="91"/>
        <v>57.695742501251033</v>
      </c>
      <c r="BG112" s="22">
        <f t="shared" si="61"/>
        <v>512.47089552301202</v>
      </c>
      <c r="BH112" s="62">
        <f t="shared" si="62"/>
        <v>805.80422885634539</v>
      </c>
      <c r="BI112" s="62">
        <f ca="1">AVERAGE(OFFSET($BH$3,0,0,'Données projet'!$E$11+1,1))-AVERAGE(OFFSET($H$3,0,0,'Données projet'!$E$11+1,1))</f>
        <v>348.82438445524105</v>
      </c>
      <c r="BJ112" s="62">
        <f t="shared" si="92"/>
        <v>218.26721063098552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0.2811294410734414</v>
      </c>
      <c r="BR112" s="23">
        <f>EXP(-LN(2)/2)*BR111+(1-EXP(-LN(2)/2))/(LN(2)/2)*BL112*BO112*VLOOKUP('Données projet'!$B$11,Paramètres!$A$1:$I$89,3,0)*0.475*44/12</f>
        <v>1.5028137408916551E-11</v>
      </c>
      <c r="BS112" s="24">
        <f t="shared" si="63"/>
        <v>0.28112944108846954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-6.7984728957526396E-14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348.62416478262719</v>
      </c>
      <c r="T113" s="62">
        <f t="shared" si="88"/>
        <v>371.70674704563288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1.148739521298596</v>
      </c>
      <c r="AA113" s="23">
        <f>EXP(-LN(2)/25)*AA112+(1-EXP(-LN(2)/25))/(LN(2)/25)*Calculateur!V113*Calculateur!X113*VLOOKUP('Données projet'!$B$9,Paramètres!$A$1:$I$89,3,0)*0.475*44/12</f>
        <v>1.3208223988096393</v>
      </c>
      <c r="AB113" s="23">
        <f>EXP(-LN(2)/2)*AB112+(1-EXP(-LN(2)/2))/(LN(2)/2)*V113*Y113*VLOOKUP('Données projet'!$B$9,Paramètres!$A$1:$I$89,3,0)*0.475*44/12</f>
        <v>1.5455409671541087E-11</v>
      </c>
      <c r="AC113" s="24">
        <f t="shared" si="57"/>
        <v>2.4695619201236907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284.99999999999994</v>
      </c>
      <c r="AJ113" s="14">
        <f>AI113*VLOOKUP('Données projet'!$B$10,Paramètres!$A$1:$I$89,3,0)*VLOOKUP('Données projet'!$B$10,Paramètres!$A$1:$I$89,5,0)</f>
        <v>257.86799999999994</v>
      </c>
      <c r="AK113" s="14">
        <f t="shared" si="89"/>
        <v>62.267704162827528</v>
      </c>
      <c r="AL113" s="22">
        <f t="shared" si="58"/>
        <v>557.56968475025781</v>
      </c>
      <c r="AM113" s="62">
        <f t="shared" si="59"/>
        <v>850.90301808359118</v>
      </c>
      <c r="AN113" s="62">
        <f ca="1">AVERAGE(OFFSET($AM$3,0,0,'Données projet'!$E$10+1,1))-AVERAGE(OFFSET($H$3,0,0,'Données projet'!$E$10+1,1))</f>
        <v>371.7282125501186</v>
      </c>
      <c r="AO113" s="62">
        <f t="shared" si="90"/>
        <v>231.36959598460686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0.29369690036950635</v>
      </c>
      <c r="AW113" s="23">
        <f>EXP(-LN(2)/2)*AW112+(1-EXP(-LN(2)/2))/(LN(2)/2)*AQ113*AT113*VLOOKUP('Données projet'!$B$10,Paramètres!$A$1:$I$89,3,0)*0.475*44/12</f>
        <v>1.1413645860851686E-11</v>
      </c>
      <c r="AX113" s="23">
        <f t="shared" si="60"/>
        <v>0.29369690038092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285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284.99999999999994</v>
      </c>
      <c r="BE113" s="14">
        <f>BD113*VLOOKUP('Données projet'!$B$11,Paramètres!$A$1:$I$89,3,0)*VLOOKUP('Données projet'!$B$11,Paramètres!$A$1:$I$89,5,0)</f>
        <v>240.08399999999997</v>
      </c>
      <c r="BF113" s="14">
        <f t="shared" si="91"/>
        <v>58.457603123312154</v>
      </c>
      <c r="BG113" s="22">
        <f t="shared" si="61"/>
        <v>519.9599587731019</v>
      </c>
      <c r="BH113" s="62">
        <f t="shared" si="62"/>
        <v>813.29329210643527</v>
      </c>
      <c r="BI113" s="62">
        <f ca="1">AVERAGE(OFFSET($BH$3,0,0,'Données projet'!$E$11+1,1))-AVERAGE(OFFSET($H$3,0,0,'Données projet'!$E$11+1,1))</f>
        <v>348.82438445524105</v>
      </c>
      <c r="BJ113" s="62">
        <f t="shared" si="92"/>
        <v>218.26721063098552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0.27344194172333336</v>
      </c>
      <c r="BR113" s="23">
        <f>EXP(-LN(2)/2)*BR112+(1-EXP(-LN(2)/2))/(LN(2)/2)*BL113*BO113*VLOOKUP('Données projet'!$B$11,Paramètres!$A$1:$I$89,3,0)*0.475*44/12</f>
        <v>1.0626497870448125E-11</v>
      </c>
      <c r="BS113" s="24">
        <f t="shared" si="63"/>
        <v>0.27344194173395986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-6.7984728957526396E-14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348.62416478262719</v>
      </c>
      <c r="T114" s="62">
        <f t="shared" si="88"/>
        <v>371.70674704563288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1.1262134399478538</v>
      </c>
      <c r="AA114" s="23">
        <f>EXP(-LN(2)/25)*AA113+(1-EXP(-LN(2)/25))/(LN(2)/25)*Calculateur!V114*Calculateur!X114*VLOOKUP('Données projet'!$B$9,Paramètres!$A$1:$I$89,3,0)*0.475*44/12</f>
        <v>1.2847044408551584</v>
      </c>
      <c r="AB114" s="23">
        <f>EXP(-LN(2)/2)*AB113+(1-EXP(-LN(2)/2))/(LN(2)/2)*V114*Y114*VLOOKUP('Données projet'!$B$9,Paramètres!$A$1:$I$89,3,0)*0.475*44/12</f>
        <v>1.0928624984762854E-11</v>
      </c>
      <c r="AC114" s="24">
        <f t="shared" si="57"/>
        <v>2.4109178808139409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269.79999999999995</v>
      </c>
      <c r="AJ114" s="14">
        <f>AI114*VLOOKUP('Données projet'!$B$10,Paramètres!$A$1:$I$89,3,0)*VLOOKUP('Données projet'!$B$10,Paramètres!$A$1:$I$89,5,0)</f>
        <v>244.11503999999994</v>
      </c>
      <c r="AK114" s="14">
        <f t="shared" si="89"/>
        <v>59.324023461759012</v>
      </c>
      <c r="AL114" s="22">
        <f t="shared" si="58"/>
        <v>528.48970219589683</v>
      </c>
      <c r="AM114" s="62">
        <f t="shared" si="59"/>
        <v>821.82303552923008</v>
      </c>
      <c r="AN114" s="62">
        <f ca="1">AVERAGE(OFFSET($AM$3,0,0,'Données projet'!$E$10+1,1))-AVERAGE(OFFSET($H$3,0,0,'Données projet'!$E$10+1,1))</f>
        <v>371.7282125501186</v>
      </c>
      <c r="AO114" s="62">
        <f t="shared" si="90"/>
        <v>231.36959598460686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0.28566574318405347</v>
      </c>
      <c r="AW114" s="23">
        <f>EXP(-LN(2)/2)*AW113+(1-EXP(-LN(2)/2))/(LN(2)/2)*AQ114*AT114*VLOOKUP('Données projet'!$B$10,Paramètres!$A$1:$I$89,3,0)*0.475*44/12</f>
        <v>8.0706663862699969E-12</v>
      </c>
      <c r="AX114" s="23">
        <f t="shared" si="60"/>
        <v>0.28566574319212412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269.79999999999995</v>
      </c>
      <c r="BE114" s="14">
        <f>BD114*VLOOKUP('Données projet'!$B$11,Paramètres!$A$1:$I$89,3,0)*VLOOKUP('Données projet'!$B$11,Paramètres!$A$1:$I$89,5,0)</f>
        <v>227.27951999999996</v>
      </c>
      <c r="BF114" s="14">
        <f t="shared" si="91"/>
        <v>55.694043418351306</v>
      </c>
      <c r="BG114" s="22">
        <f t="shared" si="61"/>
        <v>492.84562295362849</v>
      </c>
      <c r="BH114" s="62">
        <f t="shared" si="62"/>
        <v>786.17895628696181</v>
      </c>
      <c r="BI114" s="62">
        <f ca="1">AVERAGE(OFFSET($BH$3,0,0,'Données projet'!$E$11+1,1))-AVERAGE(OFFSET($H$3,0,0,'Données projet'!$E$11+1,1))</f>
        <v>348.82438445524105</v>
      </c>
      <c r="BJ114" s="62">
        <f t="shared" si="92"/>
        <v>218.26721063098552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0.26596465744722203</v>
      </c>
      <c r="BR114" s="23">
        <f>EXP(-LN(2)/2)*BR113+(1-EXP(-LN(2)/2))/(LN(2)/2)*BL114*BO114*VLOOKUP('Données projet'!$B$11,Paramètres!$A$1:$I$89,3,0)*0.475*44/12</f>
        <v>7.5140687044582755E-12</v>
      </c>
      <c r="BS114" s="24">
        <f t="shared" si="63"/>
        <v>0.26596465745473608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-6.7984728957526396E-14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348.62416478262719</v>
      </c>
      <c r="T115" s="62">
        <f t="shared" si="88"/>
        <v>371.70674704563288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1.1041290813128468</v>
      </c>
      <c r="AA115" s="23">
        <f>EXP(-LN(2)/25)*AA114+(1-EXP(-LN(2)/25))/(LN(2)/25)*Calculateur!V115*Calculateur!X115*VLOOKUP('Données projet'!$B$9,Paramètres!$A$1:$I$89,3,0)*0.475*44/12</f>
        <v>1.2495741303603038</v>
      </c>
      <c r="AB115" s="23">
        <f>EXP(-LN(2)/2)*AB114+(1-EXP(-LN(2)/2))/(LN(2)/2)*V115*Y115*VLOOKUP('Données projet'!$B$9,Paramètres!$A$1:$I$89,3,0)*0.475*44/12</f>
        <v>7.7277048357705437E-12</v>
      </c>
      <c r="AC115" s="24">
        <f t="shared" si="57"/>
        <v>2.353703211680878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273.59999999999997</v>
      </c>
      <c r="AJ115" s="14">
        <f>AI115*VLOOKUP('Données projet'!$B$10,Paramètres!$A$1:$I$89,3,0)*VLOOKUP('Données projet'!$B$10,Paramètres!$A$1:$I$89,5,0)</f>
        <v>247.55327999999994</v>
      </c>
      <c r="AK115" s="14">
        <f t="shared" si="89"/>
        <v>60.061713068870255</v>
      </c>
      <c r="AL115" s="22">
        <f t="shared" si="58"/>
        <v>535.76277959494894</v>
      </c>
      <c r="AM115" s="62">
        <f t="shared" si="59"/>
        <v>829.09611292828231</v>
      </c>
      <c r="AN115" s="62">
        <f ca="1">AVERAGE(OFFSET($AM$3,0,0,'Données projet'!$E$10+1,1))-AVERAGE(OFFSET($H$3,0,0,'Données projet'!$E$10+1,1))</f>
        <v>371.7282125501186</v>
      </c>
      <c r="AO115" s="62">
        <f t="shared" si="90"/>
        <v>231.36959598460686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0.27785419841417697</v>
      </c>
      <c r="AW115" s="23">
        <f>EXP(-LN(2)/2)*AW114+(1-EXP(-LN(2)/2))/(LN(2)/2)*AQ115*AT115*VLOOKUP('Données projet'!$B$10,Paramètres!$A$1:$I$89,3,0)*0.475*44/12</f>
        <v>5.7068229304258429E-12</v>
      </c>
      <c r="AX115" s="23">
        <f t="shared" si="60"/>
        <v>0.27785419841988379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273.59999999999997</v>
      </c>
      <c r="BE115" s="14">
        <f>BD115*VLOOKUP('Données projet'!$B$11,Paramètres!$A$1:$I$89,3,0)*VLOOKUP('Données projet'!$B$11,Paramètres!$A$1:$I$89,5,0)</f>
        <v>230.48063999999999</v>
      </c>
      <c r="BF115" s="14">
        <f t="shared" si="91"/>
        <v>56.386594506599792</v>
      </c>
      <c r="BG115" s="22">
        <f t="shared" si="61"/>
        <v>499.62710009899462</v>
      </c>
      <c r="BH115" s="62">
        <f t="shared" si="62"/>
        <v>792.96043343232793</v>
      </c>
      <c r="BI115" s="62">
        <f ca="1">AVERAGE(OFFSET($BH$3,0,0,'Données projet'!$E$11+1,1))-AVERAGE(OFFSET($H$3,0,0,'Données projet'!$E$11+1,1))</f>
        <v>348.82438445524105</v>
      </c>
      <c r="BJ115" s="62">
        <f t="shared" si="92"/>
        <v>218.26721063098552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0.25869183990285427</v>
      </c>
      <c r="BR115" s="23">
        <f>EXP(-LN(2)/2)*BR114+(1-EXP(-LN(2)/2))/(LN(2)/2)*BL115*BO115*VLOOKUP('Données projet'!$B$11,Paramètres!$A$1:$I$89,3,0)*0.475*44/12</f>
        <v>5.3132489352240626E-12</v>
      </c>
      <c r="BS115" s="24">
        <f t="shared" si="63"/>
        <v>0.25869183990816752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-6.7984728957526396E-14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348.62416478262719</v>
      </c>
      <c r="T116" s="62">
        <f t="shared" si="88"/>
        <v>371.70674704563288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1.0824777834805437</v>
      </c>
      <c r="AA116" s="23">
        <f>EXP(-LN(2)/25)*AA115+(1-EXP(-LN(2)/25))/(LN(2)/25)*Calculateur!V116*Calculateur!X116*VLOOKUP('Données projet'!$B$9,Paramètres!$A$1:$I$89,3,0)*0.475*44/12</f>
        <v>1.2154044600533538</v>
      </c>
      <c r="AB116" s="23">
        <f>EXP(-LN(2)/2)*AB115+(1-EXP(-LN(2)/2))/(LN(2)/2)*V116*Y116*VLOOKUP('Données projet'!$B$9,Paramètres!$A$1:$I$89,3,0)*0.475*44/12</f>
        <v>5.464312492381427E-12</v>
      </c>
      <c r="AC116" s="24">
        <f t="shared" si="57"/>
        <v>2.297882243539362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277.39999999999998</v>
      </c>
      <c r="AJ116" s="14">
        <f>AI116*VLOOKUP('Données projet'!$B$10,Paramètres!$A$1:$I$89,3,0)*VLOOKUP('Données projet'!$B$10,Paramètres!$A$1:$I$89,5,0)</f>
        <v>250.99151999999995</v>
      </c>
      <c r="AK116" s="14">
        <f t="shared" si="89"/>
        <v>60.798211000769406</v>
      </c>
      <c r="AL116" s="22">
        <f t="shared" si="58"/>
        <v>543.03378149300659</v>
      </c>
      <c r="AM116" s="62">
        <f t="shared" si="59"/>
        <v>836.36711482633996</v>
      </c>
      <c r="AN116" s="62">
        <f ca="1">AVERAGE(OFFSET($AM$3,0,0,'Données projet'!$E$10+1,1))-AVERAGE(OFFSET($H$3,0,0,'Données projet'!$E$10+1,1))</f>
        <v>371.7282125501186</v>
      </c>
      <c r="AO116" s="62">
        <f t="shared" si="90"/>
        <v>231.36959598460686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0.27025626074682407</v>
      </c>
      <c r="AW116" s="23">
        <f>EXP(-LN(2)/2)*AW115+(1-EXP(-LN(2)/2))/(LN(2)/2)*AQ116*AT116*VLOOKUP('Données projet'!$B$10,Paramètres!$A$1:$I$89,3,0)*0.475*44/12</f>
        <v>4.0353331931349984E-12</v>
      </c>
      <c r="AX116" s="23">
        <f t="shared" si="60"/>
        <v>0.2702562607508594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277.39999999999998</v>
      </c>
      <c r="BE116" s="14">
        <f>BD116*VLOOKUP('Données projet'!$B$11,Paramètres!$A$1:$I$89,3,0)*VLOOKUP('Données projet'!$B$11,Paramètres!$A$1:$I$89,5,0)</f>
        <v>233.68176</v>
      </c>
      <c r="BF116" s="14">
        <f t="shared" si="91"/>
        <v>57.078026837098335</v>
      </c>
      <c r="BG116" s="22">
        <f t="shared" si="61"/>
        <v>506.40662874127952</v>
      </c>
      <c r="BH116" s="62">
        <f t="shared" si="62"/>
        <v>799.73996207461278</v>
      </c>
      <c r="BI116" s="62">
        <f ca="1">AVERAGE(OFFSET($BH$3,0,0,'Données projet'!$E$11+1,1))-AVERAGE(OFFSET($H$3,0,0,'Données projet'!$E$11+1,1))</f>
        <v>348.82438445524105</v>
      </c>
      <c r="BJ116" s="62">
        <f t="shared" si="92"/>
        <v>218.26721063098552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0.25161789793669809</v>
      </c>
      <c r="BR116" s="23">
        <f>EXP(-LN(2)/2)*BR115+(1-EXP(-LN(2)/2))/(LN(2)/2)*BL116*BO116*VLOOKUP('Données projet'!$B$11,Paramètres!$A$1:$I$89,3,0)*0.475*44/12</f>
        <v>3.7570343522291377E-12</v>
      </c>
      <c r="BS116" s="24">
        <f t="shared" si="63"/>
        <v>0.25161789794045514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-6.7984728957526396E-14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348.62416478262719</v>
      </c>
      <c r="T117" s="62">
        <f t="shared" si="88"/>
        <v>371.70674704563288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1.0612510543927443</v>
      </c>
      <c r="AA117" s="23">
        <f>EXP(-LN(2)/25)*AA116+(1-EXP(-LN(2)/25))/(LN(2)/25)*Calculateur!V117*Calculateur!X117*VLOOKUP('Données projet'!$B$9,Paramètres!$A$1:$I$89,3,0)*0.475*44/12</f>
        <v>1.1821691611778522</v>
      </c>
      <c r="AB117" s="23">
        <f>EXP(-LN(2)/2)*AB116+(1-EXP(-LN(2)/2))/(LN(2)/2)*V117*Y117*VLOOKUP('Données projet'!$B$9,Paramètres!$A$1:$I$89,3,0)*0.475*44/12</f>
        <v>3.8638524178852719E-12</v>
      </c>
      <c r="AC117" s="24">
        <f t="shared" si="57"/>
        <v>2.2434202155744605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</v>
      </c>
      <c r="AJ117" s="14">
        <f>AI117*VLOOKUP('Données projet'!$B$10,Paramètres!$A$1:$I$89,3,0)*VLOOKUP('Données projet'!$B$10,Paramètres!$A$1:$I$89,5,0)</f>
        <v>254.42975999999996</v>
      </c>
      <c r="AK117" s="14">
        <f t="shared" si="89"/>
        <v>61.533535468549189</v>
      </c>
      <c r="AL117" s="22">
        <f t="shared" si="58"/>
        <v>550.30273960772308</v>
      </c>
      <c r="AM117" s="62">
        <f t="shared" si="59"/>
        <v>843.63607294105645</v>
      </c>
      <c r="AN117" s="62">
        <f ca="1">AVERAGE(OFFSET($AM$3,0,0,'Données projet'!$E$10+1,1))-AVERAGE(OFFSET($H$3,0,0,'Données projet'!$E$10+1,1))</f>
        <v>371.7282125501186</v>
      </c>
      <c r="AO117" s="62">
        <f t="shared" si="90"/>
        <v>231.36959598460686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0.26286608908454312</v>
      </c>
      <c r="AW117" s="23">
        <f>EXP(-LN(2)/2)*AW116+(1-EXP(-LN(2)/2))/(LN(2)/2)*AQ117*AT117*VLOOKUP('Données projet'!$B$10,Paramètres!$A$1:$I$89,3,0)*0.475*44/12</f>
        <v>2.8534114652129215E-12</v>
      </c>
      <c r="AX117" s="23">
        <f t="shared" si="60"/>
        <v>0.2628660890873965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281.2</v>
      </c>
      <c r="BE117" s="14">
        <f>BD117*VLOOKUP('Données projet'!$B$11,Paramètres!$A$1:$I$89,3,0)*VLOOKUP('Données projet'!$B$11,Paramètres!$A$1:$I$89,5,0)</f>
        <v>236.88288000000003</v>
      </c>
      <c r="BF117" s="14">
        <f t="shared" si="91"/>
        <v>57.768357506620532</v>
      </c>
      <c r="BG117" s="22">
        <f t="shared" si="61"/>
        <v>513.18423865736406</v>
      </c>
      <c r="BH117" s="62">
        <f t="shared" si="62"/>
        <v>806.51757199069743</v>
      </c>
      <c r="BI117" s="62">
        <f ca="1">AVERAGE(OFFSET($BH$3,0,0,'Données projet'!$E$11+1,1))-AVERAGE(OFFSET($H$3,0,0,'Données projet'!$E$11+1,1))</f>
        <v>348.82438445524105</v>
      </c>
      <c r="BJ117" s="62">
        <f t="shared" si="92"/>
        <v>218.26721063098552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0.2447373932856089</v>
      </c>
      <c r="BR117" s="23">
        <f>EXP(-LN(2)/2)*BR116+(1-EXP(-LN(2)/2))/(LN(2)/2)*BL117*BO117*VLOOKUP('Données projet'!$B$11,Paramètres!$A$1:$I$89,3,0)*0.475*44/12</f>
        <v>2.6566244676120313E-12</v>
      </c>
      <c r="BS117" s="24">
        <f t="shared" si="63"/>
        <v>0.24473739328826552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-6.7984728957526396E-14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348.62416478262719</v>
      </c>
      <c r="T118" s="62">
        <f t="shared" si="88"/>
        <v>371.70674704563288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1.0404405685153302</v>
      </c>
      <c r="AA118" s="23">
        <f>EXP(-LN(2)/25)*AA117+(1-EXP(-LN(2)/25))/(LN(2)/25)*Calculateur!V118*Calculateur!X118*VLOOKUP('Données projet'!$B$9,Paramètres!$A$1:$I$89,3,0)*0.475*44/12</f>
        <v>1.1498426832978694</v>
      </c>
      <c r="AB118" s="23">
        <f>EXP(-LN(2)/2)*AB117+(1-EXP(-LN(2)/2))/(LN(2)/2)*V118*Y118*VLOOKUP('Données projet'!$B$9,Paramètres!$A$1:$I$89,3,0)*0.475*44/12</f>
        <v>2.7321562461907135E-12</v>
      </c>
      <c r="AC118" s="24">
        <f t="shared" si="57"/>
        <v>2.1902832518159316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</v>
      </c>
      <c r="AJ118" s="14">
        <f>AI118*VLOOKUP('Données projet'!$B$10,Paramètres!$A$1:$I$89,3,0)*VLOOKUP('Données projet'!$B$10,Paramètres!$A$1:$I$89,5,0)</f>
        <v>257.86799999999999</v>
      </c>
      <c r="AK118" s="14">
        <f t="shared" si="89"/>
        <v>62.267704162827528</v>
      </c>
      <c r="AL118" s="22">
        <f t="shared" si="58"/>
        <v>557.56968475025803</v>
      </c>
      <c r="AM118" s="62">
        <f t="shared" si="59"/>
        <v>850.90301808359141</v>
      </c>
      <c r="AN118" s="62">
        <f ca="1">AVERAGE(OFFSET($AM$3,0,0,'Données projet'!$E$10+1,1))-AVERAGE(OFFSET($H$3,0,0,'Données projet'!$E$10+1,1))</f>
        <v>371.7282125501186</v>
      </c>
      <c r="AO118" s="62">
        <f t="shared" si="90"/>
        <v>231.36959598460686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0.25567800205499946</v>
      </c>
      <c r="AW118" s="23">
        <f>EXP(-LN(2)/2)*AW117+(1-EXP(-LN(2)/2))/(LN(2)/2)*AQ118*AT118*VLOOKUP('Données projet'!$B$10,Paramètres!$A$1:$I$89,3,0)*0.475*44/12</f>
        <v>2.0176665965674992E-12</v>
      </c>
      <c r="AX118" s="23">
        <f t="shared" si="60"/>
        <v>0.25567800205701713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285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285</v>
      </c>
      <c r="BE118" s="14">
        <f>BD118*VLOOKUP('Données projet'!$B$11,Paramètres!$A$1:$I$89,3,0)*VLOOKUP('Données projet'!$B$11,Paramètres!$A$1:$I$89,5,0)</f>
        <v>240.084</v>
      </c>
      <c r="BF118" s="14">
        <f t="shared" si="91"/>
        <v>58.457603123312211</v>
      </c>
      <c r="BG118" s="22">
        <f t="shared" si="61"/>
        <v>519.95995877310202</v>
      </c>
      <c r="BH118" s="62">
        <f t="shared" si="62"/>
        <v>813.29329210643527</v>
      </c>
      <c r="BI118" s="62">
        <f ca="1">AVERAGE(OFFSET($BH$3,0,0,'Données projet'!$E$11+1,1))-AVERAGE(OFFSET($H$3,0,0,'Données projet'!$E$11+1,1))</f>
        <v>348.82438445524105</v>
      </c>
      <c r="BJ118" s="62">
        <f t="shared" si="92"/>
        <v>218.26721063098552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0.23804503639603375</v>
      </c>
      <c r="BR118" s="23">
        <f>EXP(-LN(2)/2)*BR117+(1-EXP(-LN(2)/2))/(LN(2)/2)*BL118*BO118*VLOOKUP('Données projet'!$B$11,Paramètres!$A$1:$I$89,3,0)*0.475*44/12</f>
        <v>1.8785171761145689E-12</v>
      </c>
      <c r="BS118" s="24">
        <f t="shared" si="63"/>
        <v>0.23804503639791227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-6.7984728957526396E-14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348.62416478262719</v>
      </c>
      <c r="T119" s="62">
        <f t="shared" si="88"/>
        <v>371.70674704563288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1.0200381635728293</v>
      </c>
      <c r="AA119" s="23">
        <f>EXP(-LN(2)/25)*AA118+(1-EXP(-LN(2)/25))/(LN(2)/25)*Calculateur!V119*Calculateur!X119*VLOOKUP('Données projet'!$B$9,Paramètres!$A$1:$I$89,3,0)*0.475*44/12</f>
        <v>1.1184001746554906</v>
      </c>
      <c r="AB119" s="23">
        <f>EXP(-LN(2)/2)*AB118+(1-EXP(-LN(2)/2))/(LN(2)/2)*V119*Y119*VLOOKUP('Données projet'!$B$9,Paramètres!$A$1:$I$89,3,0)*0.475*44/12</f>
        <v>1.9319262089426359E-12</v>
      </c>
      <c r="AC119" s="24">
        <f t="shared" si="57"/>
        <v>2.1384383382302516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270.60000000000002</v>
      </c>
      <c r="AJ119" s="14">
        <f>AI119*VLOOKUP('Données projet'!$B$10,Paramètres!$A$1:$I$89,3,0)*VLOOKUP('Données projet'!$B$10,Paramètres!$A$1:$I$89,5,0)</f>
        <v>244.83888000000002</v>
      </c>
      <c r="AK119" s="14">
        <f t="shared" si="89"/>
        <v>59.479426489427787</v>
      </c>
      <c r="AL119" s="22">
        <f t="shared" si="58"/>
        <v>530.02105046908684</v>
      </c>
      <c r="AM119" s="62">
        <f t="shared" si="59"/>
        <v>823.35438380242022</v>
      </c>
      <c r="AN119" s="62">
        <f ca="1">AVERAGE(OFFSET($AM$3,0,0,'Données projet'!$E$10+1,1))-AVERAGE(OFFSET($H$3,0,0,'Données projet'!$E$10+1,1))</f>
        <v>371.7282125501186</v>
      </c>
      <c r="AO119" s="62">
        <f t="shared" si="90"/>
        <v>231.36959598460686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0.24868647364328372</v>
      </c>
      <c r="AW119" s="23">
        <f>EXP(-LN(2)/2)*AW118+(1-EXP(-LN(2)/2))/(LN(2)/2)*AQ119*AT119*VLOOKUP('Données projet'!$B$10,Paramètres!$A$1:$I$89,3,0)*0.475*44/12</f>
        <v>1.4267057326064607E-12</v>
      </c>
      <c r="AX119" s="23">
        <f t="shared" si="60"/>
        <v>0.24868647364471042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270.60000000000002</v>
      </c>
      <c r="BE119" s="14">
        <f>BD119*VLOOKUP('Données projet'!$B$11,Paramètres!$A$1:$I$89,3,0)*VLOOKUP('Données projet'!$B$11,Paramètres!$A$1:$I$89,5,0)</f>
        <v>227.95344000000006</v>
      </c>
      <c r="BF119" s="14">
        <f t="shared" si="91"/>
        <v>55.839937483946954</v>
      </c>
      <c r="BG119" s="22">
        <f t="shared" si="61"/>
        <v>494.27346578454097</v>
      </c>
      <c r="BH119" s="62">
        <f t="shared" si="62"/>
        <v>787.60679911787429</v>
      </c>
      <c r="BI119" s="62">
        <f ca="1">AVERAGE(OFFSET($BH$3,0,0,'Données projet'!$E$11+1,1))-AVERAGE(OFFSET($H$3,0,0,'Données projet'!$E$11+1,1))</f>
        <v>348.82438445524105</v>
      </c>
      <c r="BJ119" s="62">
        <f t="shared" si="92"/>
        <v>218.26721063098552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0.2315356823575398</v>
      </c>
      <c r="BR119" s="23">
        <f>EXP(-LN(2)/2)*BR118+(1-EXP(-LN(2)/2))/(LN(2)/2)*BL119*BO119*VLOOKUP('Données projet'!$B$11,Paramètres!$A$1:$I$89,3,0)*0.475*44/12</f>
        <v>1.3283122338060157E-12</v>
      </c>
      <c r="BS119" s="24">
        <f t="shared" si="63"/>
        <v>0.23153568235886809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-6.7984728957526396E-14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348.62416478262719</v>
      </c>
      <c r="T120" s="62">
        <f t="shared" si="88"/>
        <v>371.70674704563288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1.0000358373470124</v>
      </c>
      <c r="AA120" s="23">
        <f>EXP(-LN(2)/25)*AA119+(1-EXP(-LN(2)/25))/(LN(2)/25)*Calculateur!V120*Calculateur!X120*VLOOKUP('Données projet'!$B$9,Paramètres!$A$1:$I$89,3,0)*0.475*44/12</f>
        <v>1.0878174630654271</v>
      </c>
      <c r="AB120" s="23">
        <f>EXP(-LN(2)/2)*AB119+(1-EXP(-LN(2)/2))/(LN(2)/2)*V120*Y120*VLOOKUP('Données projet'!$B$9,Paramètres!$A$1:$I$89,3,0)*0.475*44/12</f>
        <v>1.3660781230953568E-12</v>
      </c>
      <c r="AC120" s="24">
        <f t="shared" si="57"/>
        <v>2.0878533004138058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274.20000000000005</v>
      </c>
      <c r="AJ120" s="14">
        <f>AI120*VLOOKUP('Données projet'!$B$10,Paramètres!$A$1:$I$89,3,0)*VLOOKUP('Données projet'!$B$10,Paramètres!$A$1:$I$89,5,0)</f>
        <v>248.09616</v>
      </c>
      <c r="AK120" s="14">
        <f t="shared" si="89"/>
        <v>60.178080967364686</v>
      </c>
      <c r="AL120" s="22">
        <f t="shared" si="58"/>
        <v>536.91096968482668</v>
      </c>
      <c r="AM120" s="62">
        <f t="shared" si="59"/>
        <v>830.24430301816005</v>
      </c>
      <c r="AN120" s="62">
        <f ca="1">AVERAGE(OFFSET($AM$3,0,0,'Données projet'!$E$10+1,1))-AVERAGE(OFFSET($H$3,0,0,'Données projet'!$E$10+1,1))</f>
        <v>371.7282125501186</v>
      </c>
      <c r="AO120" s="62">
        <f t="shared" si="90"/>
        <v>231.36959598460686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0.24188612894365485</v>
      </c>
      <c r="AW120" s="23">
        <f>EXP(-LN(2)/2)*AW119+(1-EXP(-LN(2)/2))/(LN(2)/2)*AQ120*AT120*VLOOKUP('Données projet'!$B$10,Paramètres!$A$1:$I$89,3,0)*0.475*44/12</f>
        <v>1.0088332982837496E-12</v>
      </c>
      <c r="AX120" s="23">
        <f t="shared" si="60"/>
        <v>0.24188612894466369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274.20000000000005</v>
      </c>
      <c r="BE120" s="14">
        <f>BD120*VLOOKUP('Données projet'!$B$11,Paramètres!$A$1:$I$89,3,0)*VLOOKUP('Données projet'!$B$11,Paramètres!$A$1:$I$89,5,0)</f>
        <v>230.98608000000007</v>
      </c>
      <c r="BF120" s="14">
        <f t="shared" si="91"/>
        <v>56.495841965100801</v>
      </c>
      <c r="BG120" s="22">
        <f t="shared" si="61"/>
        <v>500.69768075588399</v>
      </c>
      <c r="BH120" s="62">
        <f t="shared" si="62"/>
        <v>794.03101408921725</v>
      </c>
      <c r="BI120" s="62">
        <f ca="1">AVERAGE(OFFSET($BH$3,0,0,'Données projet'!$E$11+1,1))-AVERAGE(OFFSET($H$3,0,0,'Données projet'!$E$11+1,1))</f>
        <v>348.82438445524105</v>
      </c>
      <c r="BJ120" s="62">
        <f t="shared" si="92"/>
        <v>218.26721063098552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0.22520432694754053</v>
      </c>
      <c r="BR120" s="23">
        <f>EXP(-LN(2)/2)*BR119+(1-EXP(-LN(2)/2))/(LN(2)/2)*BL120*BO120*VLOOKUP('Données projet'!$B$11,Paramètres!$A$1:$I$89,3,0)*0.475*44/12</f>
        <v>9.3925858805728443E-13</v>
      </c>
      <c r="BS120" s="24">
        <f t="shared" si="63"/>
        <v>0.22520432694847978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-6.7984728957526396E-14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348.62416478262719</v>
      </c>
      <c r="T121" s="62">
        <f t="shared" si="88"/>
        <v>371.70674704563288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0.98042574453826958</v>
      </c>
      <c r="AA121" s="23">
        <f>EXP(-LN(2)/25)*AA120+(1-EXP(-LN(2)/25))/(LN(2)/25)*Calculateur!V121*Calculateur!X121*VLOOKUP('Données projet'!$B$9,Paramètres!$A$1:$I$89,3,0)*0.475*44/12</f>
        <v>1.058071037332069</v>
      </c>
      <c r="AB121" s="23">
        <f>EXP(-LN(2)/2)*AB120+(1-EXP(-LN(2)/2))/(LN(2)/2)*V121*Y121*VLOOKUP('Données projet'!$B$9,Paramètres!$A$1:$I$89,3,0)*0.475*44/12</f>
        <v>9.6596310447131796E-13</v>
      </c>
      <c r="AC121" s="24">
        <f t="shared" si="57"/>
        <v>2.0384967818713045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277.80000000000007</v>
      </c>
      <c r="AJ121" s="14">
        <f>AI121*VLOOKUP('Données projet'!$B$10,Paramètres!$A$1:$I$89,3,0)*VLOOKUP('Données projet'!$B$10,Paramètres!$A$1:$I$89,5,0)</f>
        <v>251.35344000000003</v>
      </c>
      <c r="AK121" s="14">
        <f t="shared" si="89"/>
        <v>60.875668525285015</v>
      </c>
      <c r="AL121" s="22">
        <f t="shared" si="58"/>
        <v>543.79903068153806</v>
      </c>
      <c r="AM121" s="62">
        <f t="shared" si="59"/>
        <v>837.13236401487143</v>
      </c>
      <c r="AN121" s="62">
        <f ca="1">AVERAGE(OFFSET($AM$3,0,0,'Données projet'!$E$10+1,1))-AVERAGE(OFFSET($H$3,0,0,'Données projet'!$E$10+1,1))</f>
        <v>371.7282125501186</v>
      </c>
      <c r="AO121" s="62">
        <f t="shared" si="90"/>
        <v>231.36959598460686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0.23527174002745194</v>
      </c>
      <c r="AW121" s="23">
        <f>EXP(-LN(2)/2)*AW120+(1-EXP(-LN(2)/2))/(LN(2)/2)*AQ121*AT121*VLOOKUP('Données projet'!$B$10,Paramètres!$A$1:$I$89,3,0)*0.475*44/12</f>
        <v>7.1335286630323037E-13</v>
      </c>
      <c r="AX121" s="23">
        <f t="shared" si="60"/>
        <v>0.23527174002816528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277.80000000000007</v>
      </c>
      <c r="BE121" s="14">
        <f>BD121*VLOOKUP('Données projet'!$B$11,Paramètres!$A$1:$I$89,3,0)*VLOOKUP('Données projet'!$B$11,Paramètres!$A$1:$I$89,5,0)</f>
        <v>234.01872000000009</v>
      </c>
      <c r="BF121" s="14">
        <f t="shared" si="91"/>
        <v>57.150744810049616</v>
      </c>
      <c r="BG121" s="22">
        <f t="shared" si="61"/>
        <v>507.12015121083658</v>
      </c>
      <c r="BH121" s="62">
        <f t="shared" si="62"/>
        <v>800.4534845441699</v>
      </c>
      <c r="BI121" s="62">
        <f ca="1">AVERAGE(OFFSET($BH$3,0,0,'Données projet'!$E$11+1,1))-AVERAGE(OFFSET($H$3,0,0,'Données projet'!$E$11+1,1))</f>
        <v>348.82438445524105</v>
      </c>
      <c r="BJ121" s="62">
        <f t="shared" si="92"/>
        <v>218.26721063098552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0.21904610278417919</v>
      </c>
      <c r="BR121" s="23">
        <f>EXP(-LN(2)/2)*BR120+(1-EXP(-LN(2)/2))/(LN(2)/2)*BL121*BO121*VLOOKUP('Données projet'!$B$11,Paramètres!$A$1:$I$89,3,0)*0.475*44/12</f>
        <v>6.6415611690300783E-13</v>
      </c>
      <c r="BS121" s="24">
        <f t="shared" si="63"/>
        <v>0.21904610278484335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-6.7984728957526396E-14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348.62416478262719</v>
      </c>
      <c r="T122" s="62">
        <f t="shared" si="88"/>
        <v>371.70674704563288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0.9612001936885306</v>
      </c>
      <c r="AA122" s="23">
        <f>EXP(-LN(2)/25)*AA121+(1-EXP(-LN(2)/25))/(LN(2)/25)*Calculateur!V122*Calculateur!X122*VLOOKUP('Données projet'!$B$9,Paramètres!$A$1:$I$89,3,0)*0.475*44/12</f>
        <v>1.0291380291746859</v>
      </c>
      <c r="AB122" s="23">
        <f>EXP(-LN(2)/2)*AB121+(1-EXP(-LN(2)/2))/(LN(2)/2)*V122*Y122*VLOOKUP('Données projet'!$B$9,Paramètres!$A$1:$I$89,3,0)*0.475*44/12</f>
        <v>6.8303906154767838E-13</v>
      </c>
      <c r="AC122" s="24">
        <f t="shared" si="57"/>
        <v>1.9903382228638995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281.40000000000009</v>
      </c>
      <c r="AJ122" s="14">
        <f>AI122*VLOOKUP('Données projet'!$B$10,Paramètres!$A$1:$I$89,3,0)*VLOOKUP('Données projet'!$B$10,Paramètres!$A$1:$I$89,5,0)</f>
        <v>254.61072000000007</v>
      </c>
      <c r="AK122" s="14">
        <f t="shared" si="89"/>
        <v>61.572204587965729</v>
      </c>
      <c r="AL122" s="22">
        <f t="shared" si="58"/>
        <v>550.68526032404031</v>
      </c>
      <c r="AM122" s="62">
        <f t="shared" si="59"/>
        <v>844.01859365737369</v>
      </c>
      <c r="AN122" s="62">
        <f ca="1">AVERAGE(OFFSET($AM$3,0,0,'Données projet'!$E$10+1,1))-AVERAGE(OFFSET($H$3,0,0,'Données projet'!$E$10+1,1))</f>
        <v>371.7282125501186</v>
      </c>
      <c r="AO122" s="62">
        <f t="shared" si="90"/>
        <v>231.36959598460686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0.22883822192399816</v>
      </c>
      <c r="AW122" s="23">
        <f>EXP(-LN(2)/2)*AW121+(1-EXP(-LN(2)/2))/(LN(2)/2)*AQ122*AT122*VLOOKUP('Données projet'!$B$10,Paramètres!$A$1:$I$89,3,0)*0.475*44/12</f>
        <v>5.0441664914187481E-13</v>
      </c>
      <c r="AX122" s="23">
        <f t="shared" si="60"/>
        <v>0.22883822192450259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281.40000000000009</v>
      </c>
      <c r="BE122" s="14">
        <f>BD122*VLOOKUP('Données projet'!$B$11,Paramètres!$A$1:$I$89,3,0)*VLOOKUP('Données projet'!$B$11,Paramètres!$A$1:$I$89,5,0)</f>
        <v>237.05136000000007</v>
      </c>
      <c r="BF122" s="14">
        <f t="shared" si="91"/>
        <v>57.804660499743029</v>
      </c>
      <c r="BG122" s="22">
        <f t="shared" si="61"/>
        <v>513.54090237038588</v>
      </c>
      <c r="BH122" s="62">
        <f t="shared" si="62"/>
        <v>806.87423570371925</v>
      </c>
      <c r="BI122" s="62">
        <f ca="1">AVERAGE(OFFSET($BH$3,0,0,'Données projet'!$E$11+1,1))-AVERAGE(OFFSET($H$3,0,0,'Données projet'!$E$11+1,1))</f>
        <v>348.82438445524105</v>
      </c>
      <c r="BJ122" s="62">
        <f t="shared" si="92"/>
        <v>218.26721063098552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0.2130562755844119</v>
      </c>
      <c r="BR122" s="23">
        <f>EXP(-LN(2)/2)*BR121+(1-EXP(-LN(2)/2))/(LN(2)/2)*BL122*BO122*VLOOKUP('Données projet'!$B$11,Paramètres!$A$1:$I$89,3,0)*0.475*44/12</f>
        <v>4.6962929402864222E-13</v>
      </c>
      <c r="BS122" s="24">
        <f t="shared" si="63"/>
        <v>0.21305627558488152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-6.7984728957526396E-14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348.62416478262719</v>
      </c>
      <c r="T123" s="62">
        <f t="shared" si="88"/>
        <v>371.70674704563288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0.94235164416452688</v>
      </c>
      <c r="AA123" s="23">
        <f>EXP(-LN(2)/25)*AA122+(1-EXP(-LN(2)/25))/(LN(2)/25)*Calculateur!V123*Calculateur!X123*VLOOKUP('Données projet'!$B$9,Paramètres!$A$1:$I$89,3,0)*0.475*44/12</f>
        <v>1.0009961956468874</v>
      </c>
      <c r="AB123" s="23">
        <f>EXP(-LN(2)/2)*AB122+(1-EXP(-LN(2)/2))/(LN(2)/2)*V123*Y123*VLOOKUP('Données projet'!$B$9,Paramètres!$A$1:$I$89,3,0)*0.475*44/12</f>
        <v>4.8298155223565898E-13</v>
      </c>
      <c r="AC123" s="24">
        <f t="shared" si="57"/>
        <v>1.9433478398118973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285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285.00000000000011</v>
      </c>
      <c r="AJ123" s="14">
        <f>AI123*VLOOKUP('Données projet'!$B$10,Paramètres!$A$1:$I$89,3,0)*VLOOKUP('Données projet'!$B$10,Paramètres!$A$1:$I$89,5,0)</f>
        <v>257.86800000000011</v>
      </c>
      <c r="AK123" s="14">
        <f t="shared" si="89"/>
        <v>62.267704162827528</v>
      </c>
      <c r="AL123" s="22">
        <f t="shared" si="58"/>
        <v>557.56968475025815</v>
      </c>
      <c r="AM123" s="62">
        <f t="shared" si="59"/>
        <v>850.90301808359141</v>
      </c>
      <c r="AN123" s="62">
        <f ca="1">AVERAGE(OFFSET($AM$3,0,0,'Données projet'!$E$10+1,1))-AVERAGE(OFFSET($H$3,0,0,'Données projet'!$E$10+1,1))</f>
        <v>371.7282125501186</v>
      </c>
      <c r="AO123" s="62">
        <f t="shared" si="90"/>
        <v>231.36959598460686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0.22258062871140735</v>
      </c>
      <c r="AW123" s="23">
        <f>EXP(-LN(2)/2)*AW122+(1-EXP(-LN(2)/2))/(LN(2)/2)*AQ123*AT123*VLOOKUP('Données projet'!$B$10,Paramètres!$A$1:$I$89,3,0)*0.475*44/12</f>
        <v>3.5667643315161518E-13</v>
      </c>
      <c r="AX123" s="23">
        <f t="shared" si="60"/>
        <v>0.22258062871176404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285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285.00000000000011</v>
      </c>
      <c r="BE123" s="14">
        <f>BD123*VLOOKUP('Données projet'!$B$11,Paramètres!$A$1:$I$89,3,0)*VLOOKUP('Données projet'!$B$11,Paramètres!$A$1:$I$89,5,0)</f>
        <v>240.08400000000012</v>
      </c>
      <c r="BF123" s="14">
        <f t="shared" si="91"/>
        <v>58.457603123312211</v>
      </c>
      <c r="BG123" s="22">
        <f t="shared" si="61"/>
        <v>519.95995877310224</v>
      </c>
      <c r="BH123" s="62">
        <f t="shared" si="62"/>
        <v>813.2932921064355</v>
      </c>
      <c r="BI123" s="62">
        <f ca="1">AVERAGE(OFFSET($BH$3,0,0,'Données projet'!$E$11+1,1))-AVERAGE(OFFSET($H$3,0,0,'Données projet'!$E$11+1,1))</f>
        <v>348.82438445524105</v>
      </c>
      <c r="BJ123" s="62">
        <f t="shared" si="92"/>
        <v>218.26721063098552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0.20723024052441358</v>
      </c>
      <c r="BR123" s="23">
        <f>EXP(-LN(2)/2)*BR122+(1-EXP(-LN(2)/2))/(LN(2)/2)*BL123*BO123*VLOOKUP('Données projet'!$B$11,Paramètres!$A$1:$I$89,3,0)*0.475*44/12</f>
        <v>3.3207805845150391E-13</v>
      </c>
      <c r="BS123" s="24">
        <f t="shared" si="63"/>
        <v>0.20723024052474565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-6.7984728957526396E-14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348.62416478262719</v>
      </c>
      <c r="T124" s="62">
        <f t="shared" si="88"/>
        <v>371.70674704563288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0.92387270320020887</v>
      </c>
      <c r="AA124" s="23">
        <f>EXP(-LN(2)/25)*AA123+(1-EXP(-LN(2)/25))/(LN(2)/25)*Calculateur!V124*Calculateur!X124*VLOOKUP('Données projet'!$B$9,Paramètres!$A$1:$I$89,3,0)*0.475*44/12</f>
        <v>0.97362390203682114</v>
      </c>
      <c r="AB124" s="23">
        <f>EXP(-LN(2)/2)*AB123+(1-EXP(-LN(2)/2))/(LN(2)/2)*V124*Y124*VLOOKUP('Données projet'!$B$9,Paramètres!$A$1:$I$89,3,0)*0.475*44/12</f>
        <v>3.4151953077383919E-13</v>
      </c>
      <c r="AC124" s="24">
        <f t="shared" si="57"/>
        <v>1.8974966052373716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1.0286385077051818E-13</v>
      </c>
      <c r="AK124" s="14">
        <f t="shared" si="89"/>
        <v>1.5402366592183556E-12</v>
      </c>
      <c r="AL124" s="22">
        <f t="shared" si="58"/>
        <v>2.8617333882306215E-12</v>
      </c>
      <c r="AM124" s="62">
        <f t="shared" si="59"/>
        <v>293.33333333333616</v>
      </c>
      <c r="AN124" s="62">
        <f ca="1">AVERAGE(OFFSET($AM$3,0,0,'Données projet'!$E$10+1,1))-AVERAGE(OFFSET($H$3,0,0,'Données projet'!$E$10+1,1))</f>
        <v>371.7282125501186</v>
      </c>
      <c r="AO124" s="62">
        <f t="shared" si="90"/>
        <v>231.36959598460686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0.21649414971428738</v>
      </c>
      <c r="AW124" s="23">
        <f>EXP(-LN(2)/2)*AW123+(1-EXP(-LN(2)/2))/(LN(2)/2)*AQ124*AT124*VLOOKUP('Données projet'!$B$10,Paramètres!$A$1:$I$89,3,0)*0.475*44/12</f>
        <v>2.522083245709374E-13</v>
      </c>
      <c r="AX124" s="23">
        <f t="shared" si="60"/>
        <v>0.21649414971453959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9.5769792096689348E-14</v>
      </c>
      <c r="BF124" s="14">
        <f t="shared" si="91"/>
        <v>1.4459910566979609E-12</v>
      </c>
      <c r="BG124" s="22">
        <f t="shared" si="61"/>
        <v>2.6852334783173491E-12</v>
      </c>
      <c r="BH124" s="62">
        <f t="shared" si="62"/>
        <v>293.33333333333599</v>
      </c>
      <c r="BI124" s="62">
        <f ca="1">AVERAGE(OFFSET($BH$3,0,0,'Données projet'!$E$11+1,1))-AVERAGE(OFFSET($H$3,0,0,'Données projet'!$E$11+1,1))</f>
        <v>348.82438445524105</v>
      </c>
      <c r="BJ124" s="62">
        <f t="shared" si="92"/>
        <v>218.26721063098552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0.20156351869950878</v>
      </c>
      <c r="BR124" s="23">
        <f>EXP(-LN(2)/2)*BR123+(1-EXP(-LN(2)/2))/(LN(2)/2)*BL124*BO124*VLOOKUP('Données projet'!$B$11,Paramètres!$A$1:$I$89,3,0)*0.475*44/12</f>
        <v>2.3481464701432111E-13</v>
      </c>
      <c r="BS124" s="24">
        <f t="shared" si="63"/>
        <v>0.20156351869974359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-6.7984728957526396E-14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348.62416478262719</v>
      </c>
      <c r="T125" s="62">
        <f t="shared" si="88"/>
        <v>371.70674704563288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0.90575612299716002</v>
      </c>
      <c r="AA125" s="23">
        <f>EXP(-LN(2)/25)*AA124+(1-EXP(-LN(2)/25))/(LN(2)/25)*Calculateur!V125*Calculateur!X125*VLOOKUP('Données projet'!$B$9,Paramètres!$A$1:$I$89,3,0)*0.475*44/12</f>
        <v>0.94700010523496847</v>
      </c>
      <c r="AB125" s="23">
        <f>EXP(-LN(2)/2)*AB124+(1-EXP(-LN(2)/2))/(LN(2)/2)*V125*Y125*VLOOKUP('Données projet'!$B$9,Paramètres!$A$1:$I$89,3,0)*0.475*44/12</f>
        <v>2.4149077611782949E-13</v>
      </c>
      <c r="AC125" s="24">
        <f t="shared" si="57"/>
        <v>1.8527562282323702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1.0286385077051818E-13</v>
      </c>
      <c r="AK125" s="14">
        <f t="shared" si="89"/>
        <v>1.5402366592183556E-12</v>
      </c>
      <c r="AL125" s="22">
        <f t="shared" si="58"/>
        <v>2.8617333882306215E-12</v>
      </c>
      <c r="AM125" s="62">
        <f t="shared" si="59"/>
        <v>293.33333333333616</v>
      </c>
      <c r="AN125" s="62">
        <f ca="1">AVERAGE(OFFSET($AM$3,0,0,'Données projet'!$E$10+1,1))-AVERAGE(OFFSET($H$3,0,0,'Données projet'!$E$10+1,1))</f>
        <v>371.7282125501186</v>
      </c>
      <c r="AO125" s="62">
        <f t="shared" si="90"/>
        <v>231.36959598460686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0.21057410580541766</v>
      </c>
      <c r="AW125" s="23">
        <f>EXP(-LN(2)/2)*AW124+(1-EXP(-LN(2)/2))/(LN(2)/2)*AQ125*AT125*VLOOKUP('Données projet'!$B$10,Paramètres!$A$1:$I$89,3,0)*0.475*44/12</f>
        <v>1.7833821657580759E-13</v>
      </c>
      <c r="AX125" s="23">
        <f t="shared" si="60"/>
        <v>0.21057410580559599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9.5769792096689348E-14</v>
      </c>
      <c r="BF125" s="14">
        <f t="shared" si="91"/>
        <v>1.4459910566979609E-12</v>
      </c>
      <c r="BG125" s="22">
        <f t="shared" si="61"/>
        <v>2.6852334783173491E-12</v>
      </c>
      <c r="BH125" s="62">
        <f t="shared" si="62"/>
        <v>293.33333333333599</v>
      </c>
      <c r="BI125" s="62">
        <f ca="1">AVERAGE(OFFSET($BH$3,0,0,'Données projet'!$E$11+1,1))-AVERAGE(OFFSET($H$3,0,0,'Données projet'!$E$11+1,1))</f>
        <v>348.82438445524105</v>
      </c>
      <c r="BJ125" s="62">
        <f t="shared" si="92"/>
        <v>218.26721063098552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0.19605175368090594</v>
      </c>
      <c r="BR125" s="23">
        <f>EXP(-LN(2)/2)*BR124+(1-EXP(-LN(2)/2))/(LN(2)/2)*BL125*BO125*VLOOKUP('Données projet'!$B$11,Paramètres!$A$1:$I$89,3,0)*0.475*44/12</f>
        <v>1.6603902922575196E-13</v>
      </c>
      <c r="BS125" s="24">
        <f t="shared" si="63"/>
        <v>0.19605175368107197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-6.7984728957526396E-14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348.62416478262719</v>
      </c>
      <c r="T126" s="62">
        <f t="shared" si="88"/>
        <v>371.70674704563288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0.88799479788187019</v>
      </c>
      <c r="AA126" s="23">
        <f>EXP(-LN(2)/25)*AA125+(1-EXP(-LN(2)/25))/(LN(2)/25)*Calculateur!V126*Calculateur!X126*VLOOKUP('Données projet'!$B$9,Paramètres!$A$1:$I$89,3,0)*0.475*44/12</f>
        <v>0.92110433755674714</v>
      </c>
      <c r="AB126" s="23">
        <f>EXP(-LN(2)/2)*AB125+(1-EXP(-LN(2)/2))/(LN(2)/2)*V126*Y126*VLOOKUP('Données projet'!$B$9,Paramètres!$A$1:$I$89,3,0)*0.475*44/12</f>
        <v>1.707597653869196E-13</v>
      </c>
      <c r="AC126" s="24">
        <f t="shared" si="57"/>
        <v>1.8090991354387882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1.0286385077051818E-13</v>
      </c>
      <c r="AK126" s="14">
        <f t="shared" si="89"/>
        <v>1.5402366592183556E-12</v>
      </c>
      <c r="AL126" s="22">
        <f t="shared" si="58"/>
        <v>2.8617333882306215E-12</v>
      </c>
      <c r="AM126" s="62">
        <f t="shared" si="59"/>
        <v>293.33333333333616</v>
      </c>
      <c r="AN126" s="62">
        <f ca="1">AVERAGE(OFFSET($AM$3,0,0,'Données projet'!$E$10+1,1))-AVERAGE(OFFSET($H$3,0,0,'Données projet'!$E$10+1,1))</f>
        <v>371.7282125501186</v>
      </c>
      <c r="AO126" s="62">
        <f t="shared" si="90"/>
        <v>231.36959598460686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0.20481594580855755</v>
      </c>
      <c r="AW126" s="23">
        <f>EXP(-LN(2)/2)*AW125+(1-EXP(-LN(2)/2))/(LN(2)/2)*AQ126*AT126*VLOOKUP('Données projet'!$B$10,Paramètres!$A$1:$I$89,3,0)*0.475*44/12</f>
        <v>1.261041622854687E-13</v>
      </c>
      <c r="AX126" s="23">
        <f t="shared" si="60"/>
        <v>0.20481594580868365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9.5769792096689348E-14</v>
      </c>
      <c r="BF126" s="14">
        <f t="shared" si="91"/>
        <v>1.4459910566979609E-12</v>
      </c>
      <c r="BG126" s="22">
        <f t="shared" si="61"/>
        <v>2.6852334783173491E-12</v>
      </c>
      <c r="BH126" s="62">
        <f t="shared" si="62"/>
        <v>293.33333333333599</v>
      </c>
      <c r="BI126" s="62">
        <f ca="1">AVERAGE(OFFSET($BH$3,0,0,'Données projet'!$E$11+1,1))-AVERAGE(OFFSET($H$3,0,0,'Données projet'!$E$11+1,1))</f>
        <v>348.82438445524105</v>
      </c>
      <c r="BJ126" s="62">
        <f t="shared" si="92"/>
        <v>218.26721063098552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0.19069070816658792</v>
      </c>
      <c r="BR126" s="23">
        <f>EXP(-LN(2)/2)*BR125+(1-EXP(-LN(2)/2))/(LN(2)/2)*BL126*BO126*VLOOKUP('Données projet'!$B$11,Paramètres!$A$1:$I$89,3,0)*0.475*44/12</f>
        <v>1.1740732350716055E-13</v>
      </c>
      <c r="BS126" s="24">
        <f t="shared" si="63"/>
        <v>0.19069070816670533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-6.7984728957526396E-14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348.62416478262719</v>
      </c>
      <c r="T127" s="62">
        <f t="shared" si="88"/>
        <v>371.70674704563288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0.87058176151875255</v>
      </c>
      <c r="AA127" s="23">
        <f>EXP(-LN(2)/25)*AA126+(1-EXP(-LN(2)/25))/(LN(2)/25)*Calculateur!V127*Calculateur!X127*VLOOKUP('Données projet'!$B$9,Paramètres!$A$1:$I$89,3,0)*0.475*44/12</f>
        <v>0.89591669100748594</v>
      </c>
      <c r="AB127" s="23">
        <f>EXP(-LN(2)/2)*AB126+(1-EXP(-LN(2)/2))/(LN(2)/2)*V127*Y127*VLOOKUP('Données projet'!$B$9,Paramètres!$A$1:$I$89,3,0)*0.475*44/12</f>
        <v>1.2074538805891475E-13</v>
      </c>
      <c r="AC127" s="24">
        <f t="shared" si="57"/>
        <v>1.7664984525263594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1.0286385077051818E-13</v>
      </c>
      <c r="AK127" s="14">
        <f t="shared" si="89"/>
        <v>1.5402366592183556E-12</v>
      </c>
      <c r="AL127" s="22">
        <f t="shared" si="58"/>
        <v>2.8617333882306215E-12</v>
      </c>
      <c r="AM127" s="62">
        <f t="shared" si="59"/>
        <v>293.33333333333616</v>
      </c>
      <c r="AN127" s="62">
        <f ca="1">AVERAGE(OFFSET($AM$3,0,0,'Données projet'!$E$10+1,1))-AVERAGE(OFFSET($H$3,0,0,'Données projet'!$E$10+1,1))</f>
        <v>371.7282125501186</v>
      </c>
      <c r="AO127" s="62">
        <f t="shared" si="90"/>
        <v>231.36959598460686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0.19921524299962007</v>
      </c>
      <c r="AW127" s="23">
        <f>EXP(-LN(2)/2)*AW126+(1-EXP(-LN(2)/2))/(LN(2)/2)*AQ127*AT127*VLOOKUP('Données projet'!$B$10,Paramètres!$A$1:$I$89,3,0)*0.475*44/12</f>
        <v>8.9169108287903796E-14</v>
      </c>
      <c r="AX127" s="23">
        <f t="shared" si="60"/>
        <v>0.19921524299970925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9.5769792096689348E-14</v>
      </c>
      <c r="BF127" s="14">
        <f t="shared" si="91"/>
        <v>1.4459910566979609E-12</v>
      </c>
      <c r="BG127" s="22">
        <f t="shared" si="61"/>
        <v>2.6852334783173491E-12</v>
      </c>
      <c r="BH127" s="62">
        <f t="shared" si="62"/>
        <v>293.33333333333599</v>
      </c>
      <c r="BI127" s="62">
        <f ca="1">AVERAGE(OFFSET($BH$3,0,0,'Données projet'!$E$11+1,1))-AVERAGE(OFFSET($H$3,0,0,'Données projet'!$E$11+1,1))</f>
        <v>348.82438445524105</v>
      </c>
      <c r="BJ127" s="62">
        <f t="shared" si="92"/>
        <v>218.26721063098552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0.18547626072378406</v>
      </c>
      <c r="BR127" s="23">
        <f>EXP(-LN(2)/2)*BR126+(1-EXP(-LN(2)/2))/(LN(2)/2)*BL127*BO127*VLOOKUP('Données projet'!$B$11,Paramètres!$A$1:$I$89,3,0)*0.475*44/12</f>
        <v>8.3019514612875978E-14</v>
      </c>
      <c r="BS127" s="24">
        <f t="shared" si="63"/>
        <v>0.18547626072386708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-6.7984728957526396E-14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348.62416478262719</v>
      </c>
      <c r="T128" s="62">
        <f t="shared" si="88"/>
        <v>371.70674704563288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0.85351018417781221</v>
      </c>
      <c r="AA128" s="23">
        <f>EXP(-LN(2)/25)*AA127+(1-EXP(-LN(2)/25))/(LN(2)/25)*Calculateur!V128*Calculateur!X128*VLOOKUP('Données projet'!$B$9,Paramètres!$A$1:$I$89,3,0)*0.475*44/12</f>
        <v>0.87141780197767515</v>
      </c>
      <c r="AB128" s="23">
        <f>EXP(-LN(2)/2)*AB127+(1-EXP(-LN(2)/2))/(LN(2)/2)*V128*Y128*VLOOKUP('Données projet'!$B$9,Paramètres!$A$1:$I$89,3,0)*0.475*44/12</f>
        <v>8.5379882693459798E-14</v>
      </c>
      <c r="AC128" s="24">
        <f t="shared" si="57"/>
        <v>1.7249279861555729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1.0286385077051818E-13</v>
      </c>
      <c r="AK128" s="14">
        <f t="shared" si="89"/>
        <v>1.5402366592183556E-12</v>
      </c>
      <c r="AL128" s="22">
        <f t="shared" si="58"/>
        <v>2.8617333882306215E-12</v>
      </c>
      <c r="AM128" s="62">
        <f t="shared" si="59"/>
        <v>293.33333333333616</v>
      </c>
      <c r="AN128" s="62">
        <f ca="1">AVERAGE(OFFSET($AM$3,0,0,'Données projet'!$E$10+1,1))-AVERAGE(OFFSET($H$3,0,0,'Données projet'!$E$10+1,1))</f>
        <v>371.7282125501186</v>
      </c>
      <c r="AO128" s="62">
        <f t="shared" si="90"/>
        <v>231.36959598460686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0.19376769170352115</v>
      </c>
      <c r="AW128" s="23">
        <f>EXP(-LN(2)/2)*AW127+(1-EXP(-LN(2)/2))/(LN(2)/2)*AQ128*AT128*VLOOKUP('Données projet'!$B$10,Paramètres!$A$1:$I$89,3,0)*0.475*44/12</f>
        <v>6.3052081142734351E-14</v>
      </c>
      <c r="AX128" s="23">
        <f t="shared" si="60"/>
        <v>0.19376769170358421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9.5769792096689348E-14</v>
      </c>
      <c r="BF128" s="14">
        <f t="shared" si="91"/>
        <v>1.4459910566979609E-12</v>
      </c>
      <c r="BG128" s="22">
        <f t="shared" si="61"/>
        <v>2.6852334783173491E-12</v>
      </c>
      <c r="BH128" s="62">
        <f t="shared" si="62"/>
        <v>293.33333333333599</v>
      </c>
      <c r="BI128" s="62">
        <f ca="1">AVERAGE(OFFSET($BH$3,0,0,'Données projet'!$E$11+1,1))-AVERAGE(OFFSET($H$3,0,0,'Données projet'!$E$11+1,1))</f>
        <v>348.82438445524105</v>
      </c>
      <c r="BJ128" s="62">
        <f t="shared" si="92"/>
        <v>218.26721063098552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0.18040440262051954</v>
      </c>
      <c r="BR128" s="23">
        <f>EXP(-LN(2)/2)*BR127+(1-EXP(-LN(2)/2))/(LN(2)/2)*BL128*BO128*VLOOKUP('Données projet'!$B$11,Paramètres!$A$1:$I$89,3,0)*0.475*44/12</f>
        <v>5.8703661753580277E-14</v>
      </c>
      <c r="BS128" s="24">
        <f t="shared" si="63"/>
        <v>0.18040440262057825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-6.7984728957526396E-14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348.62416478262719</v>
      </c>
      <c r="T129" s="62">
        <f t="shared" si="88"/>
        <v>371.70674704563288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0.83677337005589369</v>
      </c>
      <c r="AA129" s="23">
        <f>EXP(-LN(2)/25)*AA128+(1-EXP(-LN(2)/25))/(LN(2)/25)*Calculateur!V129*Calculateur!X129*VLOOKUP('Données projet'!$B$9,Paramètres!$A$1:$I$89,3,0)*0.475*44/12</f>
        <v>0.84758883635672511</v>
      </c>
      <c r="AB129" s="23">
        <f>EXP(-LN(2)/2)*AB128+(1-EXP(-LN(2)/2))/(LN(2)/2)*V129*Y129*VLOOKUP('Données projet'!$B$9,Paramètres!$A$1:$I$89,3,0)*0.475*44/12</f>
        <v>6.0372694029457373E-14</v>
      </c>
      <c r="AC129" s="24">
        <f t="shared" si="57"/>
        <v>1.6843622064126791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1.0286385077051818E-13</v>
      </c>
      <c r="AK129" s="14">
        <f t="shared" si="89"/>
        <v>1.5402366592183556E-12</v>
      </c>
      <c r="AL129" s="22">
        <f t="shared" si="58"/>
        <v>2.8617333882306215E-12</v>
      </c>
      <c r="AM129" s="62">
        <f t="shared" si="59"/>
        <v>293.33333333333616</v>
      </c>
      <c r="AN129" s="62">
        <f ca="1">AVERAGE(OFFSET($AM$3,0,0,'Données projet'!$E$10+1,1))-AVERAGE(OFFSET($H$3,0,0,'Données projet'!$E$10+1,1))</f>
        <v>371.7282125501186</v>
      </c>
      <c r="AO129" s="62">
        <f t="shared" si="90"/>
        <v>231.36959598460686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0.18846910398408831</v>
      </c>
      <c r="AW129" s="23">
        <f>EXP(-LN(2)/2)*AW128+(1-EXP(-LN(2)/2))/(LN(2)/2)*AQ129*AT129*VLOOKUP('Données projet'!$B$10,Paramètres!$A$1:$I$89,3,0)*0.475*44/12</f>
        <v>4.4584554143951898E-14</v>
      </c>
      <c r="AX129" s="23">
        <f t="shared" si="60"/>
        <v>0.18846910398413289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9.5769792096689348E-14</v>
      </c>
      <c r="BF129" s="14">
        <f t="shared" si="91"/>
        <v>1.4459910566979609E-12</v>
      </c>
      <c r="BG129" s="22">
        <f t="shared" si="61"/>
        <v>2.6852334783173491E-12</v>
      </c>
      <c r="BH129" s="62">
        <f t="shared" si="62"/>
        <v>293.33333333333599</v>
      </c>
      <c r="BI129" s="62">
        <f ca="1">AVERAGE(OFFSET($BH$3,0,0,'Données projet'!$E$11+1,1))-AVERAGE(OFFSET($H$3,0,0,'Données projet'!$E$11+1,1))</f>
        <v>348.82438445524105</v>
      </c>
      <c r="BJ129" s="62">
        <f t="shared" si="92"/>
        <v>218.26721063098552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0.17547123474380621</v>
      </c>
      <c r="BR129" s="23">
        <f>EXP(-LN(2)/2)*BR128+(1-EXP(-LN(2)/2))/(LN(2)/2)*BL129*BO129*VLOOKUP('Données projet'!$B$11,Paramètres!$A$1:$I$89,3,0)*0.475*44/12</f>
        <v>4.1509757306437989E-14</v>
      </c>
      <c r="BS129" s="24">
        <f t="shared" si="63"/>
        <v>0.17547123474384774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-6.7984728957526396E-14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348.62416478262719</v>
      </c>
      <c r="T130" s="62">
        <f t="shared" si="88"/>
        <v>371.70674704563288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0.82036475465045733</v>
      </c>
      <c r="AA130" s="23">
        <f>EXP(-LN(2)/25)*AA129+(1-EXP(-LN(2)/25))/(LN(2)/25)*Calculateur!V130*Calculateur!X130*VLOOKUP('Données projet'!$B$9,Paramètres!$A$1:$I$89,3,0)*0.475*44/12</f>
        <v>0.82441147505379075</v>
      </c>
      <c r="AB130" s="23">
        <f>EXP(-LN(2)/2)*AB129+(1-EXP(-LN(2)/2))/(LN(2)/2)*V130*Y130*VLOOKUP('Données projet'!$B$9,Paramètres!$A$1:$I$89,3,0)*0.475*44/12</f>
        <v>4.2689941346729899E-14</v>
      </c>
      <c r="AC130" s="24">
        <f t="shared" si="57"/>
        <v>1.6447762297042907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1.0286385077051818E-13</v>
      </c>
      <c r="AK130" s="14">
        <f t="shared" si="89"/>
        <v>1.5402366592183556E-12</v>
      </c>
      <c r="AL130" s="22">
        <f t="shared" si="58"/>
        <v>2.8617333882306215E-12</v>
      </c>
      <c r="AM130" s="62">
        <f t="shared" si="59"/>
        <v>293.33333333333616</v>
      </c>
      <c r="AN130" s="62">
        <f ca="1">AVERAGE(OFFSET($AM$3,0,0,'Données projet'!$E$10+1,1))-AVERAGE(OFFSET($H$3,0,0,'Données projet'!$E$10+1,1))</f>
        <v>371.7282125501186</v>
      </c>
      <c r="AO130" s="62">
        <f t="shared" si="90"/>
        <v>231.36959598460686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0.18331540642448399</v>
      </c>
      <c r="AW130" s="23">
        <f>EXP(-LN(2)/2)*AW129+(1-EXP(-LN(2)/2))/(LN(2)/2)*AQ130*AT130*VLOOKUP('Données projet'!$B$10,Paramètres!$A$1:$I$89,3,0)*0.475*44/12</f>
        <v>3.1526040571367175E-14</v>
      </c>
      <c r="AX130" s="23">
        <f t="shared" si="60"/>
        <v>0.18331540642451552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9.5769792096689348E-14</v>
      </c>
      <c r="BF130" s="14">
        <f t="shared" si="91"/>
        <v>1.4459910566979609E-12</v>
      </c>
      <c r="BG130" s="22">
        <f t="shared" si="61"/>
        <v>2.6852334783173491E-12</v>
      </c>
      <c r="BH130" s="62">
        <f t="shared" si="62"/>
        <v>293.33333333333599</v>
      </c>
      <c r="BI130" s="62">
        <f ca="1">AVERAGE(OFFSET($BH$3,0,0,'Données projet'!$E$11+1,1))-AVERAGE(OFFSET($H$3,0,0,'Données projet'!$E$11+1,1))</f>
        <v>348.82438445524105</v>
      </c>
      <c r="BJ130" s="62">
        <f t="shared" si="92"/>
        <v>218.26721063098552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0.17067296460210565</v>
      </c>
      <c r="BR130" s="23">
        <f>EXP(-LN(2)/2)*BR129+(1-EXP(-LN(2)/2))/(LN(2)/2)*BL130*BO130*VLOOKUP('Données projet'!$B$11,Paramètres!$A$1:$I$89,3,0)*0.475*44/12</f>
        <v>2.9351830876790139E-14</v>
      </c>
      <c r="BS130" s="24">
        <f t="shared" si="63"/>
        <v>0.17067296460213502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-6.7984728957526396E-14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348.62416478262719</v>
      </c>
      <c r="T131" s="62">
        <f t="shared" si="88"/>
        <v>371.70674704563288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0.80427790218485451</v>
      </c>
      <c r="AA131" s="23">
        <f>EXP(-LN(2)/25)*AA130+(1-EXP(-LN(2)/25))/(LN(2)/25)*Calculateur!V131*Calculateur!X131*VLOOKUP('Données projet'!$B$9,Paramètres!$A$1:$I$89,3,0)*0.475*44/12</f>
        <v>0.80186789991452956</v>
      </c>
      <c r="AB131" s="23">
        <f>EXP(-LN(2)/2)*AB130+(1-EXP(-LN(2)/2))/(LN(2)/2)*V131*Y131*VLOOKUP('Données projet'!$B$9,Paramètres!$A$1:$I$89,3,0)*0.475*44/12</f>
        <v>3.0186347014728686E-14</v>
      </c>
      <c r="AC131" s="24">
        <f t="shared" si="57"/>
        <v>1.6061458020994142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1.0286385077051818E-13</v>
      </c>
      <c r="AK131" s="14">
        <f t="shared" si="89"/>
        <v>1.5402366592183556E-12</v>
      </c>
      <c r="AL131" s="22">
        <f t="shared" si="58"/>
        <v>2.8617333882306215E-12</v>
      </c>
      <c r="AM131" s="62">
        <f t="shared" si="59"/>
        <v>293.33333333333616</v>
      </c>
      <c r="AN131" s="62">
        <f ca="1">AVERAGE(OFFSET($AM$3,0,0,'Données projet'!$E$10+1,1))-AVERAGE(OFFSET($H$3,0,0,'Données projet'!$E$10+1,1))</f>
        <v>371.7282125501186</v>
      </c>
      <c r="AO131" s="62">
        <f t="shared" si="90"/>
        <v>231.36959598460686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0.17830263699566823</v>
      </c>
      <c r="AW131" s="23">
        <f>EXP(-LN(2)/2)*AW130+(1-EXP(-LN(2)/2))/(LN(2)/2)*AQ131*AT131*VLOOKUP('Données projet'!$B$10,Paramètres!$A$1:$I$89,3,0)*0.475*44/12</f>
        <v>2.2292277071975949E-14</v>
      </c>
      <c r="AX131" s="23">
        <f t="shared" si="60"/>
        <v>0.17830263699569052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9.5769792096689348E-14</v>
      </c>
      <c r="BF131" s="14">
        <f t="shared" si="91"/>
        <v>1.4459910566979609E-12</v>
      </c>
      <c r="BG131" s="22">
        <f t="shared" si="61"/>
        <v>2.6852334783173491E-12</v>
      </c>
      <c r="BH131" s="62">
        <f t="shared" si="62"/>
        <v>293.33333333333599</v>
      </c>
      <c r="BI131" s="62">
        <f ca="1">AVERAGE(OFFSET($BH$3,0,0,'Données projet'!$E$11+1,1))-AVERAGE(OFFSET($H$3,0,0,'Données projet'!$E$11+1,1))</f>
        <v>348.82438445524105</v>
      </c>
      <c r="BJ131" s="62">
        <f t="shared" si="92"/>
        <v>218.26721063098552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0.16600590340975993</v>
      </c>
      <c r="BR131" s="23">
        <f>EXP(-LN(2)/2)*BR130+(1-EXP(-LN(2)/2))/(LN(2)/2)*BL131*BO131*VLOOKUP('Données projet'!$B$11,Paramètres!$A$1:$I$89,3,0)*0.475*44/12</f>
        <v>2.0754878653218995E-14</v>
      </c>
      <c r="BS131" s="24">
        <f t="shared" si="63"/>
        <v>0.16600590340978069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-6.7984728957526396E-14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348.62416478262719</v>
      </c>
      <c r="T132" s="62">
        <f t="shared" si="88"/>
        <v>371.70674704563288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0.78850650308409098</v>
      </c>
      <c r="AA132" s="23">
        <f>EXP(-LN(2)/25)*AA131+(1-EXP(-LN(2)/25))/(LN(2)/25)*Calculateur!V132*Calculateur!X132*VLOOKUP('Données projet'!$B$9,Paramètres!$A$1:$I$89,3,0)*0.475*44/12</f>
        <v>0.77994078002296663</v>
      </c>
      <c r="AB132" s="23">
        <f>EXP(-LN(2)/2)*AB131+(1-EXP(-LN(2)/2))/(LN(2)/2)*V132*Y132*VLOOKUP('Données projet'!$B$9,Paramètres!$A$1:$I$89,3,0)*0.475*44/12</f>
        <v>2.1344970673364949E-14</v>
      </c>
      <c r="AC132" s="24">
        <f t="shared" ref="AC132:AC153" si="111">SUM(Z132:AB132)</f>
        <v>1.568447283107079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1.0286385077051818E-13</v>
      </c>
      <c r="AK132" s="14">
        <f t="shared" si="89"/>
        <v>1.5402366592183556E-12</v>
      </c>
      <c r="AL132" s="22">
        <f t="shared" ref="AL132:AL153" si="112">(AJ132+AK132)*0.475*44/12</f>
        <v>2.8617333882306215E-12</v>
      </c>
      <c r="AM132" s="62">
        <f t="shared" ref="AM132:AM195" si="113">AL132+(AD132+AE132)*44/12</f>
        <v>293.33333333333616</v>
      </c>
      <c r="AN132" s="62">
        <f ca="1">AVERAGE(OFFSET($AM$3,0,0,'Données projet'!$E$10+1,1))-AVERAGE(OFFSET($H$3,0,0,'Données projet'!$E$10+1,1))</f>
        <v>371.7282125501186</v>
      </c>
      <c r="AO132" s="62">
        <f t="shared" si="90"/>
        <v>231.36959598460686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0.17342694201049352</v>
      </c>
      <c r="AW132" s="23">
        <f>EXP(-LN(2)/2)*AW131+(1-EXP(-LN(2)/2))/(LN(2)/2)*AQ132*AT132*VLOOKUP('Données projet'!$B$10,Paramètres!$A$1:$I$89,3,0)*0.475*44/12</f>
        <v>1.5763020285683588E-14</v>
      </c>
      <c r="AX132" s="23">
        <f t="shared" ref="AX132:AX153" si="114">SUM(AU132:AW132)</f>
        <v>0.17342694201050929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9.5769792096689348E-14</v>
      </c>
      <c r="BF132" s="14">
        <f t="shared" si="91"/>
        <v>1.4459910566979609E-12</v>
      </c>
      <c r="BG132" s="22">
        <f t="shared" ref="BG132:BG153" si="115">(BE132+BF132)*0.475*44/12</f>
        <v>2.6852334783173491E-12</v>
      </c>
      <c r="BH132" s="62">
        <f t="shared" ref="BH132:BH195" si="116">BG132+(AY132+AZ132)*44/12</f>
        <v>293.33333333333599</v>
      </c>
      <c r="BI132" s="62">
        <f ca="1">AVERAGE(OFFSET($BH$3,0,0,'Données projet'!$E$11+1,1))-AVERAGE(OFFSET($H$3,0,0,'Données projet'!$E$11+1,1))</f>
        <v>348.82438445524105</v>
      </c>
      <c r="BJ132" s="62">
        <f t="shared" si="92"/>
        <v>218.26721063098552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0.161466463251149</v>
      </c>
      <c r="BR132" s="23">
        <f>EXP(-LN(2)/2)*BR131+(1-EXP(-LN(2)/2))/(LN(2)/2)*BL132*BO132*VLOOKUP('Données projet'!$B$11,Paramètres!$A$1:$I$89,3,0)*0.475*44/12</f>
        <v>1.4675915438395069E-14</v>
      </c>
      <c r="BS132" s="24">
        <f t="shared" ref="BS132:BS153" si="117">SUM(BP132:BR132)</f>
        <v>0.16146646325116368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-6.7984728957526396E-14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348.62416478262719</v>
      </c>
      <c r="T133" s="62">
        <f t="shared" ref="T133:T196" si="142">$T$3</f>
        <v>371.70674704563288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0.77304437150008987</v>
      </c>
      <c r="AA133" s="23">
        <f>EXP(-LN(2)/25)*AA132+(1-EXP(-LN(2)/25))/(LN(2)/25)*Calculateur!V133*Calculateur!X133*VLOOKUP('Données projet'!$B$9,Paramètres!$A$1:$I$89,3,0)*0.475*44/12</f>
        <v>0.75861325837793558</v>
      </c>
      <c r="AB133" s="23">
        <f>EXP(-LN(2)/2)*AB132+(1-EXP(-LN(2)/2))/(LN(2)/2)*V133*Y133*VLOOKUP('Données projet'!$B$9,Paramètres!$A$1:$I$89,3,0)*0.475*44/12</f>
        <v>1.5093173507364343E-14</v>
      </c>
      <c r="AC133" s="24">
        <f t="shared" si="111"/>
        <v>1.5316576298780404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1.0286385077051818E-13</v>
      </c>
      <c r="AK133" s="14">
        <f t="shared" ref="AK133:AK153" si="143">EXP(-1.0587+0.8836*LN(AJ133)+0.284)</f>
        <v>1.5402366592183556E-12</v>
      </c>
      <c r="AL133" s="22">
        <f t="shared" si="112"/>
        <v>2.8617333882306215E-12</v>
      </c>
      <c r="AM133" s="62">
        <f t="shared" si="113"/>
        <v>293.33333333333616</v>
      </c>
      <c r="AN133" s="62">
        <f ca="1">AVERAGE(OFFSET($AM$3,0,0,'Données projet'!$E$10+1,1))-AVERAGE(OFFSET($H$3,0,0,'Données projet'!$E$10+1,1))</f>
        <v>371.7282125501186</v>
      </c>
      <c r="AO133" s="62">
        <f t="shared" ref="AO133:AO196" si="144">$AO$3</f>
        <v>231.36959598460686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0.16868457316109006</v>
      </c>
      <c r="AW133" s="23">
        <f>EXP(-LN(2)/2)*AW132+(1-EXP(-LN(2)/2))/(LN(2)/2)*AQ133*AT133*VLOOKUP('Données projet'!$B$10,Paramètres!$A$1:$I$89,3,0)*0.475*44/12</f>
        <v>1.1146138535987975E-14</v>
      </c>
      <c r="AX133" s="23">
        <f t="shared" si="114"/>
        <v>0.16868457316110122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9.5769792096689348E-14</v>
      </c>
      <c r="BF133" s="14">
        <f t="shared" ref="BF133:BF153" si="145">EXP(-1.0587+0.8836*LN(BE133)+0.284)</f>
        <v>1.4459910566979609E-12</v>
      </c>
      <c r="BG133" s="22">
        <f t="shared" si="115"/>
        <v>2.6852334783173491E-12</v>
      </c>
      <c r="BH133" s="62">
        <f t="shared" si="116"/>
        <v>293.33333333333599</v>
      </c>
      <c r="BI133" s="62">
        <f ca="1">AVERAGE(OFFSET($BH$3,0,0,'Données projet'!$E$11+1,1))-AVERAGE(OFFSET($H$3,0,0,'Données projet'!$E$11+1,1))</f>
        <v>348.82438445524105</v>
      </c>
      <c r="BJ133" s="62">
        <f t="shared" ref="BJ133:BJ196" si="146">$BJ$3</f>
        <v>218.26721063098552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0.15705115432239405</v>
      </c>
      <c r="BR133" s="23">
        <f>EXP(-LN(2)/2)*BR132+(1-EXP(-LN(2)/2))/(LN(2)/2)*BL133*BO133*VLOOKUP('Données projet'!$B$11,Paramètres!$A$1:$I$89,3,0)*0.475*44/12</f>
        <v>1.0377439326609497E-14</v>
      </c>
      <c r="BS133" s="24">
        <f t="shared" si="117"/>
        <v>0.15705115432240443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-6.7984728957526396E-14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348.62416478262719</v>
      </c>
      <c r="T134" s="62">
        <f t="shared" si="142"/>
        <v>371.70674704563288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0.75788544288548187</v>
      </c>
      <c r="AA134" s="23">
        <f>EXP(-LN(2)/25)*AA133+(1-EXP(-LN(2)/25))/(LN(2)/25)*Calculateur!V134*Calculateur!X134*VLOOKUP('Données projet'!$B$9,Paramètres!$A$1:$I$89,3,0)*0.475*44/12</f>
        <v>0.73786893893385352</v>
      </c>
      <c r="AB134" s="23">
        <f>EXP(-LN(2)/2)*AB133+(1-EXP(-LN(2)/2))/(LN(2)/2)*V134*Y134*VLOOKUP('Données projet'!$B$9,Paramètres!$A$1:$I$89,3,0)*0.475*44/12</f>
        <v>1.0672485336682475E-14</v>
      </c>
      <c r="AC134" s="24">
        <f t="shared" si="111"/>
        <v>1.4957543818193462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1.0286385077051818E-13</v>
      </c>
      <c r="AK134" s="14">
        <f t="shared" si="143"/>
        <v>1.5402366592183556E-12</v>
      </c>
      <c r="AL134" s="22">
        <f t="shared" si="112"/>
        <v>2.8617333882306215E-12</v>
      </c>
      <c r="AM134" s="62">
        <f t="shared" si="113"/>
        <v>293.33333333333616</v>
      </c>
      <c r="AN134" s="62">
        <f ca="1">AVERAGE(OFFSET($AM$3,0,0,'Données projet'!$E$10+1,1))-AVERAGE(OFFSET($H$3,0,0,'Données projet'!$E$10+1,1))</f>
        <v>371.7282125501186</v>
      </c>
      <c r="AO134" s="62">
        <f t="shared" si="144"/>
        <v>231.36959598460686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0.16407188463726388</v>
      </c>
      <c r="AW134" s="23">
        <f>EXP(-LN(2)/2)*AW133+(1-EXP(-LN(2)/2))/(LN(2)/2)*AQ134*AT134*VLOOKUP('Données projet'!$B$10,Paramètres!$A$1:$I$89,3,0)*0.475*44/12</f>
        <v>7.8815101428417938E-15</v>
      </c>
      <c r="AX134" s="23">
        <f t="shared" si="114"/>
        <v>0.16407188463727176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9.5769792096689348E-14</v>
      </c>
      <c r="BF134" s="14">
        <f t="shared" si="145"/>
        <v>1.4459910566979609E-12</v>
      </c>
      <c r="BG134" s="22">
        <f t="shared" si="115"/>
        <v>2.6852334783173491E-12</v>
      </c>
      <c r="BH134" s="62">
        <f t="shared" si="116"/>
        <v>293.33333333333599</v>
      </c>
      <c r="BI134" s="62">
        <f ca="1">AVERAGE(OFFSET($BH$3,0,0,'Données projet'!$E$11+1,1))-AVERAGE(OFFSET($H$3,0,0,'Données projet'!$E$11+1,1))</f>
        <v>348.82438445524105</v>
      </c>
      <c r="BJ134" s="62">
        <f t="shared" si="146"/>
        <v>218.26721063098552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0.15275658224848693</v>
      </c>
      <c r="BR134" s="23">
        <f>EXP(-LN(2)/2)*BR133+(1-EXP(-LN(2)/2))/(LN(2)/2)*BL134*BO134*VLOOKUP('Données projet'!$B$11,Paramètres!$A$1:$I$89,3,0)*0.475*44/12</f>
        <v>7.3379577191975346E-15</v>
      </c>
      <c r="BS134" s="24">
        <f t="shared" si="117"/>
        <v>0.15275658224849425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-6.7984728957526396E-14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348.62416478262719</v>
      </c>
      <c r="T135" s="62">
        <f t="shared" si="142"/>
        <v>371.70674704563288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0.74302377161497291</v>
      </c>
      <c r="AA135" s="23">
        <f>EXP(-LN(2)/25)*AA134+(1-EXP(-LN(2)/25))/(LN(2)/25)*Calculateur!V135*Calculateur!X135*VLOOKUP('Données projet'!$B$9,Paramètres!$A$1:$I$89,3,0)*0.475*44/12</f>
        <v>0.7176918739958662</v>
      </c>
      <c r="AB135" s="23">
        <f>EXP(-LN(2)/2)*AB134+(1-EXP(-LN(2)/2))/(LN(2)/2)*V135*Y135*VLOOKUP('Données projet'!$B$9,Paramètres!$A$1:$I$89,3,0)*0.475*44/12</f>
        <v>7.5465867536821716E-15</v>
      </c>
      <c r="AC135" s="24">
        <f t="shared" si="111"/>
        <v>1.4607156456108465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1.0286385077051818E-13</v>
      </c>
      <c r="AK135" s="14">
        <f t="shared" si="143"/>
        <v>1.5402366592183556E-12</v>
      </c>
      <c r="AL135" s="22">
        <f t="shared" si="112"/>
        <v>2.8617333882306215E-12</v>
      </c>
      <c r="AM135" s="62">
        <f t="shared" si="113"/>
        <v>293.33333333333616</v>
      </c>
      <c r="AN135" s="62">
        <f ca="1">AVERAGE(OFFSET($AM$3,0,0,'Données projet'!$E$10+1,1))-AVERAGE(OFFSET($H$3,0,0,'Données projet'!$E$10+1,1))</f>
        <v>371.7282125501186</v>
      </c>
      <c r="AO135" s="62">
        <f t="shared" si="144"/>
        <v>231.36959598460686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0.15958533032369249</v>
      </c>
      <c r="AW135" s="23">
        <f>EXP(-LN(2)/2)*AW134+(1-EXP(-LN(2)/2))/(LN(2)/2)*AQ135*AT135*VLOOKUP('Données projet'!$B$10,Paramètres!$A$1:$I$89,3,0)*0.475*44/12</f>
        <v>5.5730692679939873E-15</v>
      </c>
      <c r="AX135" s="23">
        <f t="shared" si="114"/>
        <v>0.15958533032369807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9.5769792096689348E-14</v>
      </c>
      <c r="BF135" s="14">
        <f t="shared" si="145"/>
        <v>1.4459910566979609E-12</v>
      </c>
      <c r="BG135" s="22">
        <f t="shared" si="115"/>
        <v>2.6852334783173491E-12</v>
      </c>
      <c r="BH135" s="62">
        <f t="shared" si="116"/>
        <v>293.33333333333599</v>
      </c>
      <c r="BI135" s="62">
        <f ca="1">AVERAGE(OFFSET($BH$3,0,0,'Données projet'!$E$11+1,1))-AVERAGE(OFFSET($H$3,0,0,'Données projet'!$E$11+1,1))</f>
        <v>348.82438445524105</v>
      </c>
      <c r="BJ135" s="62">
        <f t="shared" si="146"/>
        <v>218.26721063098552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0.14857944547378252</v>
      </c>
      <c r="BR135" s="23">
        <f>EXP(-LN(2)/2)*BR134+(1-EXP(-LN(2)/2))/(LN(2)/2)*BL135*BO135*VLOOKUP('Données projet'!$B$11,Paramètres!$A$1:$I$89,3,0)*0.475*44/12</f>
        <v>5.1887196633047487E-15</v>
      </c>
      <c r="BS135" s="24">
        <f t="shared" si="117"/>
        <v>0.14857944547378771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-6.7984728957526396E-14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348.62416478262719</v>
      </c>
      <c r="T136" s="62">
        <f t="shared" si="142"/>
        <v>371.70674704563288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0.72845352865335422</v>
      </c>
      <c r="AA136" s="23">
        <f>EXP(-LN(2)/25)*AA135+(1-EXP(-LN(2)/25))/(LN(2)/25)*Calculateur!V136*Calculateur!X136*VLOOKUP('Données projet'!$B$9,Paramètres!$A$1:$I$89,3,0)*0.475*44/12</f>
        <v>0.69806655195967393</v>
      </c>
      <c r="AB136" s="23">
        <f>EXP(-LN(2)/2)*AB135+(1-EXP(-LN(2)/2))/(LN(2)/2)*V136*Y136*VLOOKUP('Données projet'!$B$9,Paramètres!$A$1:$I$89,3,0)*0.475*44/12</f>
        <v>5.3362426683412373E-15</v>
      </c>
      <c r="AC136" s="24">
        <f t="shared" si="111"/>
        <v>1.4265200806130336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1.0286385077051818E-13</v>
      </c>
      <c r="AK136" s="14">
        <f t="shared" si="143"/>
        <v>1.5402366592183556E-12</v>
      </c>
      <c r="AL136" s="22">
        <f t="shared" si="112"/>
        <v>2.8617333882306215E-12</v>
      </c>
      <c r="AM136" s="62">
        <f t="shared" si="113"/>
        <v>293.33333333333616</v>
      </c>
      <c r="AN136" s="62">
        <f ca="1">AVERAGE(OFFSET($AM$3,0,0,'Données projet'!$E$10+1,1))-AVERAGE(OFFSET($H$3,0,0,'Données projet'!$E$10+1,1))</f>
        <v>371.7282125501186</v>
      </c>
      <c r="AO136" s="62">
        <f t="shared" si="144"/>
        <v>231.36959598460686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0.15522146107376333</v>
      </c>
      <c r="AW136" s="23">
        <f>EXP(-LN(2)/2)*AW135+(1-EXP(-LN(2)/2))/(LN(2)/2)*AQ136*AT136*VLOOKUP('Données projet'!$B$10,Paramètres!$A$1:$I$89,3,0)*0.475*44/12</f>
        <v>3.9407550714208969E-15</v>
      </c>
      <c r="AX136" s="23">
        <f t="shared" si="114"/>
        <v>0.15522146107376728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9.5769792096689348E-14</v>
      </c>
      <c r="BF136" s="14">
        <f t="shared" si="145"/>
        <v>1.4459910566979609E-12</v>
      </c>
      <c r="BG136" s="22">
        <f t="shared" si="115"/>
        <v>2.6852334783173491E-12</v>
      </c>
      <c r="BH136" s="62">
        <f t="shared" si="116"/>
        <v>293.33333333333599</v>
      </c>
      <c r="BI136" s="62">
        <f ca="1">AVERAGE(OFFSET($BH$3,0,0,'Données projet'!$E$11+1,1))-AVERAGE(OFFSET($H$3,0,0,'Données projet'!$E$11+1,1))</f>
        <v>348.82438445524105</v>
      </c>
      <c r="BJ136" s="62">
        <f t="shared" si="146"/>
        <v>218.26721063098552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0.14451653272384848</v>
      </c>
      <c r="BR136" s="23">
        <f>EXP(-LN(2)/2)*BR135+(1-EXP(-LN(2)/2))/(LN(2)/2)*BL136*BO136*VLOOKUP('Données projet'!$B$11,Paramètres!$A$1:$I$89,3,0)*0.475*44/12</f>
        <v>3.6689788595987673E-15</v>
      </c>
      <c r="BS136" s="24">
        <f t="shared" si="117"/>
        <v>0.14451653272385215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-6.7984728957526396E-14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348.62416478262719</v>
      </c>
      <c r="T137" s="62">
        <f t="shared" si="142"/>
        <v>371.70674704563288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0.71416899926924216</v>
      </c>
      <c r="AA137" s="23">
        <f>EXP(-LN(2)/25)*AA136+(1-EXP(-LN(2)/25))/(LN(2)/25)*Calculateur!V137*Calculateur!X137*VLOOKUP('Données projet'!$B$9,Paramètres!$A$1:$I$89,3,0)*0.475*44/12</f>
        <v>0.67897788538661208</v>
      </c>
      <c r="AB137" s="23">
        <f>EXP(-LN(2)/2)*AB136+(1-EXP(-LN(2)/2))/(LN(2)/2)*V137*Y137*VLOOKUP('Données projet'!$B$9,Paramètres!$A$1:$I$89,3,0)*0.475*44/12</f>
        <v>3.7732933768410858E-15</v>
      </c>
      <c r="AC137" s="24">
        <f t="shared" si="111"/>
        <v>1.3931468846558579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1.0286385077051818E-13</v>
      </c>
      <c r="AK137" s="14">
        <f t="shared" si="143"/>
        <v>1.5402366592183556E-12</v>
      </c>
      <c r="AL137" s="22">
        <f t="shared" si="112"/>
        <v>2.8617333882306215E-12</v>
      </c>
      <c r="AM137" s="62">
        <f t="shared" si="113"/>
        <v>293.33333333333616</v>
      </c>
      <c r="AN137" s="62">
        <f ca="1">AVERAGE(OFFSET($AM$3,0,0,'Données projet'!$E$10+1,1))-AVERAGE(OFFSET($H$3,0,0,'Données projet'!$E$10+1,1))</f>
        <v>371.7282125501186</v>
      </c>
      <c r="AO137" s="62">
        <f t="shared" si="144"/>
        <v>231.36959598460686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0.1509769220579594</v>
      </c>
      <c r="AW137" s="23">
        <f>EXP(-LN(2)/2)*AW136+(1-EXP(-LN(2)/2))/(LN(2)/2)*AQ137*AT137*VLOOKUP('Données projet'!$B$10,Paramètres!$A$1:$I$89,3,0)*0.475*44/12</f>
        <v>2.7865346339969936E-15</v>
      </c>
      <c r="AX137" s="23">
        <f t="shared" si="114"/>
        <v>0.15097692205796218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9.5769792096689348E-14</v>
      </c>
      <c r="BF137" s="14">
        <f t="shared" si="145"/>
        <v>1.4459910566979609E-12</v>
      </c>
      <c r="BG137" s="22">
        <f t="shared" si="115"/>
        <v>2.6852334783173491E-12</v>
      </c>
      <c r="BH137" s="62">
        <f t="shared" si="116"/>
        <v>293.33333333333599</v>
      </c>
      <c r="BI137" s="62">
        <f ca="1">AVERAGE(OFFSET($BH$3,0,0,'Données projet'!$E$11+1,1))-AVERAGE(OFFSET($H$3,0,0,'Données projet'!$E$11+1,1))</f>
        <v>348.82438445524105</v>
      </c>
      <c r="BJ137" s="62">
        <f t="shared" si="146"/>
        <v>218.26721063098552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0.1405647205367207</v>
      </c>
      <c r="BR137" s="23">
        <f>EXP(-LN(2)/2)*BR136+(1-EXP(-LN(2)/2))/(LN(2)/2)*BL137*BO137*VLOOKUP('Données projet'!$B$11,Paramètres!$A$1:$I$89,3,0)*0.475*44/12</f>
        <v>2.5943598316523743E-15</v>
      </c>
      <c r="BS137" s="24">
        <f t="shared" si="117"/>
        <v>0.14056472053672328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-6.7984728957526396E-14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348.62416478262719</v>
      </c>
      <c r="T138" s="62">
        <f t="shared" si="142"/>
        <v>371.70674704563288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0.70016458079364996</v>
      </c>
      <c r="AA138" s="23">
        <f>EXP(-LN(2)/25)*AA137+(1-EXP(-LN(2)/25))/(LN(2)/25)*Calculateur!V138*Calculateur!X138*VLOOKUP('Données projet'!$B$9,Paramètres!$A$1:$I$89,3,0)*0.475*44/12</f>
        <v>0.66041119940481996</v>
      </c>
      <c r="AB138" s="23">
        <f>EXP(-LN(2)/2)*AB137+(1-EXP(-LN(2)/2))/(LN(2)/2)*V138*Y138*VLOOKUP('Données projet'!$B$9,Paramètres!$A$1:$I$89,3,0)*0.475*44/12</f>
        <v>2.6681213341706187E-15</v>
      </c>
      <c r="AC138" s="24">
        <f t="shared" si="111"/>
        <v>1.3605757801984726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1.0286385077051818E-13</v>
      </c>
      <c r="AK138" s="14">
        <f t="shared" si="143"/>
        <v>1.5402366592183556E-12</v>
      </c>
      <c r="AL138" s="22">
        <f t="shared" si="112"/>
        <v>2.8617333882306215E-12</v>
      </c>
      <c r="AM138" s="62">
        <f t="shared" si="113"/>
        <v>293.33333333333616</v>
      </c>
      <c r="AN138" s="62">
        <f ca="1">AVERAGE(OFFSET($AM$3,0,0,'Données projet'!$E$10+1,1))-AVERAGE(OFFSET($H$3,0,0,'Données projet'!$E$10+1,1))</f>
        <v>371.7282125501186</v>
      </c>
      <c r="AO138" s="62">
        <f t="shared" si="144"/>
        <v>231.36959598460686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0.14684845018475323</v>
      </c>
      <c r="AW138" s="23">
        <f>EXP(-LN(2)/2)*AW137+(1-EXP(-LN(2)/2))/(LN(2)/2)*AQ138*AT138*VLOOKUP('Données projet'!$B$10,Paramètres!$A$1:$I$89,3,0)*0.475*44/12</f>
        <v>1.9703775357104485E-15</v>
      </c>
      <c r="AX138" s="23">
        <f t="shared" si="114"/>
        <v>0.1468484501847552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9.5769792096689348E-14</v>
      </c>
      <c r="BF138" s="14">
        <f t="shared" si="145"/>
        <v>1.4459910566979609E-12</v>
      </c>
      <c r="BG138" s="22">
        <f t="shared" si="115"/>
        <v>2.6852334783173491E-12</v>
      </c>
      <c r="BH138" s="62">
        <f t="shared" si="116"/>
        <v>293.33333333333599</v>
      </c>
      <c r="BI138" s="62">
        <f ca="1">AVERAGE(OFFSET($BH$3,0,0,'Données projet'!$E$11+1,1))-AVERAGE(OFFSET($H$3,0,0,'Données projet'!$E$11+1,1))</f>
        <v>348.82438445524105</v>
      </c>
      <c r="BJ138" s="62">
        <f t="shared" si="146"/>
        <v>218.26721063098552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0.13672097086166668</v>
      </c>
      <c r="BR138" s="23">
        <f>EXP(-LN(2)/2)*BR137+(1-EXP(-LN(2)/2))/(LN(2)/2)*BL138*BO138*VLOOKUP('Données projet'!$B$11,Paramètres!$A$1:$I$89,3,0)*0.475*44/12</f>
        <v>1.8344894297993837E-15</v>
      </c>
      <c r="BS138" s="24">
        <f t="shared" si="117"/>
        <v>0.13672097086166851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-6.7984728957526396E-14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348.62416478262719</v>
      </c>
      <c r="T139" s="62">
        <f t="shared" si="142"/>
        <v>371.70674704563288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0.68643478042251227</v>
      </c>
      <c r="AA139" s="23">
        <f>EXP(-LN(2)/25)*AA138+(1-EXP(-LN(2)/25))/(LN(2)/25)*Calculateur!V139*Calculateur!X139*VLOOKUP('Données projet'!$B$9,Paramètres!$A$1:$I$89,3,0)*0.475*44/12</f>
        <v>0.64235222042757956</v>
      </c>
      <c r="AB139" s="23">
        <f>EXP(-LN(2)/2)*AB138+(1-EXP(-LN(2)/2))/(LN(2)/2)*V139*Y139*VLOOKUP('Données projet'!$B$9,Paramètres!$A$1:$I$89,3,0)*0.475*44/12</f>
        <v>1.8866466884205429E-15</v>
      </c>
      <c r="AC139" s="24">
        <f t="shared" si="111"/>
        <v>1.3287870008500935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1.0286385077051818E-13</v>
      </c>
      <c r="AK139" s="14">
        <f t="shared" si="143"/>
        <v>1.5402366592183556E-12</v>
      </c>
      <c r="AL139" s="22">
        <f t="shared" si="112"/>
        <v>2.8617333882306215E-12</v>
      </c>
      <c r="AM139" s="62">
        <f t="shared" si="113"/>
        <v>293.33333333333616</v>
      </c>
      <c r="AN139" s="62">
        <f ca="1">AVERAGE(OFFSET($AM$3,0,0,'Données projet'!$E$10+1,1))-AVERAGE(OFFSET($H$3,0,0,'Données projet'!$E$10+1,1))</f>
        <v>371.7282125501186</v>
      </c>
      <c r="AO139" s="62">
        <f t="shared" si="144"/>
        <v>231.36959598460686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0.14283287159202679</v>
      </c>
      <c r="AW139" s="23">
        <f>EXP(-LN(2)/2)*AW138+(1-EXP(-LN(2)/2))/(LN(2)/2)*AQ139*AT139*VLOOKUP('Données projet'!$B$10,Paramètres!$A$1:$I$89,3,0)*0.475*44/12</f>
        <v>1.3932673169984968E-15</v>
      </c>
      <c r="AX139" s="23">
        <f t="shared" si="114"/>
        <v>0.14283287159202818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9.5769792096689348E-14</v>
      </c>
      <c r="BF139" s="14">
        <f t="shared" si="145"/>
        <v>1.4459910566979609E-12</v>
      </c>
      <c r="BG139" s="22">
        <f t="shared" si="115"/>
        <v>2.6852334783173491E-12</v>
      </c>
      <c r="BH139" s="62">
        <f t="shared" si="116"/>
        <v>293.33333333333599</v>
      </c>
      <c r="BI139" s="62">
        <f ca="1">AVERAGE(OFFSET($BH$3,0,0,'Données projet'!$E$11+1,1))-AVERAGE(OFFSET($H$3,0,0,'Données projet'!$E$11+1,1))</f>
        <v>348.82438445524105</v>
      </c>
      <c r="BJ139" s="62">
        <f t="shared" si="146"/>
        <v>218.26721063098552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0.13298232872361102</v>
      </c>
      <c r="BR139" s="23">
        <f>EXP(-LN(2)/2)*BR138+(1-EXP(-LN(2)/2))/(LN(2)/2)*BL139*BO139*VLOOKUP('Données projet'!$B$11,Paramètres!$A$1:$I$89,3,0)*0.475*44/12</f>
        <v>1.2971799158261872E-15</v>
      </c>
      <c r="BS139" s="24">
        <f t="shared" si="117"/>
        <v>0.13298232872361232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-6.7984728957526396E-14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348.62416478262719</v>
      </c>
      <c r="T140" s="62">
        <f t="shared" si="142"/>
        <v>371.70674704563288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0.67297421306230121</v>
      </c>
      <c r="AA140" s="23">
        <f>EXP(-LN(2)/25)*AA139+(1-EXP(-LN(2)/25))/(LN(2)/25)*Calculateur!V140*Calculateur!X140*VLOOKUP('Données projet'!$B$9,Paramètres!$A$1:$I$89,3,0)*0.475*44/12</f>
        <v>0.62478706518015226</v>
      </c>
      <c r="AB140" s="23">
        <f>EXP(-LN(2)/2)*AB139+(1-EXP(-LN(2)/2))/(LN(2)/2)*V140*Y140*VLOOKUP('Données projet'!$B$9,Paramètres!$A$1:$I$89,3,0)*0.475*44/12</f>
        <v>1.3340606670853093E-15</v>
      </c>
      <c r="AC140" s="24">
        <f t="shared" si="111"/>
        <v>1.2977612782424548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1.0286385077051818E-13</v>
      </c>
      <c r="AK140" s="14">
        <f t="shared" si="143"/>
        <v>1.5402366592183556E-12</v>
      </c>
      <c r="AL140" s="22">
        <f t="shared" si="112"/>
        <v>2.8617333882306215E-12</v>
      </c>
      <c r="AM140" s="62">
        <f t="shared" si="113"/>
        <v>293.33333333333616</v>
      </c>
      <c r="AN140" s="62">
        <f ca="1">AVERAGE(OFFSET($AM$3,0,0,'Données projet'!$E$10+1,1))-AVERAGE(OFFSET($H$3,0,0,'Données projet'!$E$10+1,1))</f>
        <v>371.7282125501186</v>
      </c>
      <c r="AO140" s="62">
        <f t="shared" si="144"/>
        <v>231.36959598460686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0.13892709920708854</v>
      </c>
      <c r="AW140" s="23">
        <f>EXP(-LN(2)/2)*AW139+(1-EXP(-LN(2)/2))/(LN(2)/2)*AQ140*AT140*VLOOKUP('Données projet'!$B$10,Paramètres!$A$1:$I$89,3,0)*0.475*44/12</f>
        <v>9.8518876785522423E-16</v>
      </c>
      <c r="AX140" s="23">
        <f t="shared" si="114"/>
        <v>0.13892709920708951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9.5769792096689348E-14</v>
      </c>
      <c r="BF140" s="14">
        <f t="shared" si="145"/>
        <v>1.4459910566979609E-12</v>
      </c>
      <c r="BG140" s="22">
        <f t="shared" si="115"/>
        <v>2.6852334783173491E-12</v>
      </c>
      <c r="BH140" s="62">
        <f t="shared" si="116"/>
        <v>293.33333333333599</v>
      </c>
      <c r="BI140" s="62">
        <f ca="1">AVERAGE(OFFSET($BH$3,0,0,'Données projet'!$E$11+1,1))-AVERAGE(OFFSET($H$3,0,0,'Données projet'!$E$11+1,1))</f>
        <v>348.82438445524105</v>
      </c>
      <c r="BJ140" s="62">
        <f t="shared" si="146"/>
        <v>218.26721063098552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0.12934591995142714</v>
      </c>
      <c r="BR140" s="23">
        <f>EXP(-LN(2)/2)*BR139+(1-EXP(-LN(2)/2))/(LN(2)/2)*BL140*BO140*VLOOKUP('Données projet'!$B$11,Paramètres!$A$1:$I$89,3,0)*0.475*44/12</f>
        <v>9.1724471489969183E-16</v>
      </c>
      <c r="BS140" s="24">
        <f t="shared" si="117"/>
        <v>0.12934591995142805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-6.7984728957526396E-14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348.62416478262719</v>
      </c>
      <c r="T141" s="62">
        <f t="shared" si="142"/>
        <v>371.70674704563288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0.65977759921788859</v>
      </c>
      <c r="AA141" s="23">
        <f>EXP(-LN(2)/25)*AA140+(1-EXP(-LN(2)/25))/(LN(2)/25)*Calculateur!V141*Calculateur!X141*VLOOKUP('Données projet'!$B$9,Paramètres!$A$1:$I$89,3,0)*0.475*44/12</f>
        <v>0.60770223002667723</v>
      </c>
      <c r="AB141" s="23">
        <f>EXP(-LN(2)/2)*AB140+(1-EXP(-LN(2)/2))/(LN(2)/2)*V141*Y141*VLOOKUP('Données projet'!$B$9,Paramètres!$A$1:$I$89,3,0)*0.475*44/12</f>
        <v>9.4332334421027145E-16</v>
      </c>
      <c r="AC141" s="24">
        <f t="shared" si="111"/>
        <v>1.2674798292445666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1.0286385077051818E-13</v>
      </c>
      <c r="AK141" s="14">
        <f t="shared" si="143"/>
        <v>1.5402366592183556E-12</v>
      </c>
      <c r="AL141" s="22">
        <f t="shared" si="112"/>
        <v>2.8617333882306215E-12</v>
      </c>
      <c r="AM141" s="62">
        <f t="shared" si="113"/>
        <v>293.33333333333616</v>
      </c>
      <c r="AN141" s="62">
        <f ca="1">AVERAGE(OFFSET($AM$3,0,0,'Données projet'!$E$10+1,1))-AVERAGE(OFFSET($H$3,0,0,'Données projet'!$E$10+1,1))</f>
        <v>371.7282125501186</v>
      </c>
      <c r="AO141" s="62">
        <f t="shared" si="144"/>
        <v>231.36959598460686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0.13512813037341206</v>
      </c>
      <c r="AW141" s="23">
        <f>EXP(-LN(2)/2)*AW140+(1-EXP(-LN(2)/2))/(LN(2)/2)*AQ141*AT141*VLOOKUP('Données projet'!$B$10,Paramètres!$A$1:$I$89,3,0)*0.475*44/12</f>
        <v>6.9663365849924841E-16</v>
      </c>
      <c r="AX141" s="23">
        <f t="shared" si="114"/>
        <v>0.13512813037341276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9.5769792096689348E-14</v>
      </c>
      <c r="BF141" s="14">
        <f t="shared" si="145"/>
        <v>1.4459910566979609E-12</v>
      </c>
      <c r="BG141" s="22">
        <f t="shared" si="115"/>
        <v>2.6852334783173491E-12</v>
      </c>
      <c r="BH141" s="62">
        <f t="shared" si="116"/>
        <v>293.33333333333599</v>
      </c>
      <c r="BI141" s="62">
        <f ca="1">AVERAGE(OFFSET($BH$3,0,0,'Données projet'!$E$11+1,1))-AVERAGE(OFFSET($H$3,0,0,'Données projet'!$E$11+1,1))</f>
        <v>348.82438445524105</v>
      </c>
      <c r="BJ141" s="62">
        <f t="shared" si="146"/>
        <v>218.26721063098552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0.12580894896834904</v>
      </c>
      <c r="BR141" s="23">
        <f>EXP(-LN(2)/2)*BR140+(1-EXP(-LN(2)/2))/(LN(2)/2)*BL141*BO141*VLOOKUP('Données projet'!$B$11,Paramètres!$A$1:$I$89,3,0)*0.475*44/12</f>
        <v>6.4858995791309358E-16</v>
      </c>
      <c r="BS141" s="24">
        <f t="shared" si="117"/>
        <v>0.12580894896834968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-6.7984728957526396E-14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348.62416478262719</v>
      </c>
      <c r="T142" s="62">
        <f t="shared" si="142"/>
        <v>371.70674704563288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0.64683976292182521</v>
      </c>
      <c r="AA142" s="23">
        <f>EXP(-LN(2)/25)*AA141+(1-EXP(-LN(2)/25))/(LN(2)/25)*Calculateur!V142*Calculateur!X142*VLOOKUP('Données projet'!$B$9,Paramètres!$A$1:$I$89,3,0)*0.475*44/12</f>
        <v>0.59108458058892643</v>
      </c>
      <c r="AB142" s="23">
        <f>EXP(-LN(2)/2)*AB141+(1-EXP(-LN(2)/2))/(LN(2)/2)*V142*Y142*VLOOKUP('Données projet'!$B$9,Paramètres!$A$1:$I$89,3,0)*0.475*44/12</f>
        <v>6.6703033354265467E-16</v>
      </c>
      <c r="AC142" s="24">
        <f t="shared" si="111"/>
        <v>1.2379243435107523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1.0286385077051818E-13</v>
      </c>
      <c r="AK142" s="14">
        <f t="shared" si="143"/>
        <v>1.5402366592183556E-12</v>
      </c>
      <c r="AL142" s="22">
        <f t="shared" si="112"/>
        <v>2.8617333882306215E-12</v>
      </c>
      <c r="AM142" s="62">
        <f t="shared" si="113"/>
        <v>293.33333333333616</v>
      </c>
      <c r="AN142" s="62">
        <f ca="1">AVERAGE(OFFSET($AM$3,0,0,'Données projet'!$E$10+1,1))-AVERAGE(OFFSET($H$3,0,0,'Données projet'!$E$10+1,1))</f>
        <v>371.7282125501186</v>
      </c>
      <c r="AO142" s="62">
        <f t="shared" si="144"/>
        <v>231.36959598460686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0.13143304454227159</v>
      </c>
      <c r="AW142" s="23">
        <f>EXP(-LN(2)/2)*AW141+(1-EXP(-LN(2)/2))/(LN(2)/2)*AQ142*AT142*VLOOKUP('Données projet'!$B$10,Paramètres!$A$1:$I$89,3,0)*0.475*44/12</f>
        <v>4.9259438392761211E-16</v>
      </c>
      <c r="AX142" s="23">
        <f t="shared" si="114"/>
        <v>0.13143304454227209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9.5769792096689348E-14</v>
      </c>
      <c r="BF142" s="14">
        <f t="shared" si="145"/>
        <v>1.4459910566979609E-12</v>
      </c>
      <c r="BG142" s="22">
        <f t="shared" si="115"/>
        <v>2.6852334783173491E-12</v>
      </c>
      <c r="BH142" s="62">
        <f t="shared" si="116"/>
        <v>293.33333333333599</v>
      </c>
      <c r="BI142" s="62">
        <f ca="1">AVERAGE(OFFSET($BH$3,0,0,'Données projet'!$E$11+1,1))-AVERAGE(OFFSET($H$3,0,0,'Données projet'!$E$11+1,1))</f>
        <v>348.82438445524105</v>
      </c>
      <c r="BJ142" s="62">
        <f t="shared" si="146"/>
        <v>218.26721063098552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0.12236869664280445</v>
      </c>
      <c r="BR142" s="23">
        <f>EXP(-LN(2)/2)*BR141+(1-EXP(-LN(2)/2))/(LN(2)/2)*BL142*BO142*VLOOKUP('Données projet'!$B$11,Paramètres!$A$1:$I$89,3,0)*0.475*44/12</f>
        <v>4.5862235744984591E-16</v>
      </c>
      <c r="BS142" s="24">
        <f t="shared" si="117"/>
        <v>0.12236869664280491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-6.7984728957526396E-14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348.62416478262719</v>
      </c>
      <c r="T143" s="62">
        <f t="shared" si="142"/>
        <v>371.70674704563288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0.63415562970422668</v>
      </c>
      <c r="AA143" s="23">
        <f>EXP(-LN(2)/25)*AA142+(1-EXP(-LN(2)/25))/(LN(2)/25)*Calculateur!V143*Calculateur!X143*VLOOKUP('Données projet'!$B$9,Paramètres!$A$1:$I$89,3,0)*0.475*44/12</f>
        <v>0.57492134164893505</v>
      </c>
      <c r="AB143" s="23">
        <f>EXP(-LN(2)/2)*AB142+(1-EXP(-LN(2)/2))/(LN(2)/2)*V143*Y143*VLOOKUP('Données projet'!$B$9,Paramètres!$A$1:$I$89,3,0)*0.475*44/12</f>
        <v>4.7166167210513572E-16</v>
      </c>
      <c r="AC143" s="24">
        <f t="shared" si="111"/>
        <v>1.2090769713531622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1.0286385077051818E-13</v>
      </c>
      <c r="AK143" s="14">
        <f t="shared" si="143"/>
        <v>1.5402366592183556E-12</v>
      </c>
      <c r="AL143" s="22">
        <f t="shared" si="112"/>
        <v>2.8617333882306215E-12</v>
      </c>
      <c r="AM143" s="62">
        <f t="shared" si="113"/>
        <v>293.33333333333616</v>
      </c>
      <c r="AN143" s="62">
        <f ca="1">AVERAGE(OFFSET($AM$3,0,0,'Données projet'!$E$10+1,1))-AVERAGE(OFFSET($H$3,0,0,'Données projet'!$E$10+1,1))</f>
        <v>371.7282125501186</v>
      </c>
      <c r="AO143" s="62">
        <f t="shared" si="144"/>
        <v>231.36959598460686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0.12783900102749976</v>
      </c>
      <c r="AW143" s="23">
        <f>EXP(-LN(2)/2)*AW142+(1-EXP(-LN(2)/2))/(LN(2)/2)*AQ143*AT143*VLOOKUP('Données projet'!$B$10,Paramètres!$A$1:$I$89,3,0)*0.475*44/12</f>
        <v>3.483168292496242E-16</v>
      </c>
      <c r="AX143" s="23">
        <f t="shared" si="114"/>
        <v>0.12783900102750012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9.5769792096689348E-14</v>
      </c>
      <c r="BF143" s="14">
        <f t="shared" si="145"/>
        <v>1.4459910566979609E-12</v>
      </c>
      <c r="BG143" s="22">
        <f t="shared" si="115"/>
        <v>2.6852334783173491E-12</v>
      </c>
      <c r="BH143" s="62">
        <f t="shared" si="116"/>
        <v>293.33333333333599</v>
      </c>
      <c r="BI143" s="62">
        <f ca="1">AVERAGE(OFFSET($BH$3,0,0,'Données projet'!$E$11+1,1))-AVERAGE(OFFSET($H$3,0,0,'Données projet'!$E$11+1,1))</f>
        <v>348.82438445524105</v>
      </c>
      <c r="BJ143" s="62">
        <f t="shared" si="146"/>
        <v>218.26721063098552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0.11902251819801687</v>
      </c>
      <c r="BR143" s="23">
        <f>EXP(-LN(2)/2)*BR142+(1-EXP(-LN(2)/2))/(LN(2)/2)*BL143*BO143*VLOOKUP('Données projet'!$B$11,Paramètres!$A$1:$I$89,3,0)*0.475*44/12</f>
        <v>3.2429497895654679E-16</v>
      </c>
      <c r="BS143" s="24">
        <f t="shared" si="117"/>
        <v>0.11902251819801719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-6.7984728957526396E-14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348.62416478262719</v>
      </c>
      <c r="T144" s="62">
        <f t="shared" si="142"/>
        <v>371.70674704563288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0.6217202246024679</v>
      </c>
      <c r="AA144" s="23">
        <f>EXP(-LN(2)/25)*AA143+(1-EXP(-LN(2)/25))/(LN(2)/25)*Calculateur!V144*Calculateur!X144*VLOOKUP('Données projet'!$B$9,Paramètres!$A$1:$I$89,3,0)*0.475*44/12</f>
        <v>0.55920008732774551</v>
      </c>
      <c r="AB144" s="23">
        <f>EXP(-LN(2)/2)*AB143+(1-EXP(-LN(2)/2))/(LN(2)/2)*V144*Y144*VLOOKUP('Données projet'!$B$9,Paramètres!$A$1:$I$89,3,0)*0.475*44/12</f>
        <v>3.3351516677132733E-16</v>
      </c>
      <c r="AC144" s="24">
        <f t="shared" si="111"/>
        <v>1.1809203119302139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1.0286385077051818E-13</v>
      </c>
      <c r="AK144" s="14">
        <f t="shared" si="143"/>
        <v>1.5402366592183556E-12</v>
      </c>
      <c r="AL144" s="22">
        <f t="shared" si="112"/>
        <v>2.8617333882306215E-12</v>
      </c>
      <c r="AM144" s="62">
        <f t="shared" si="113"/>
        <v>293.33333333333616</v>
      </c>
      <c r="AN144" s="62">
        <f ca="1">AVERAGE(OFFSET($AM$3,0,0,'Données projet'!$E$10+1,1))-AVERAGE(OFFSET($H$3,0,0,'Données projet'!$E$10+1,1))</f>
        <v>371.7282125501186</v>
      </c>
      <c r="AO144" s="62">
        <f t="shared" si="144"/>
        <v>231.36959598460686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0.12434323682164189</v>
      </c>
      <c r="AW144" s="23">
        <f>EXP(-LN(2)/2)*AW143+(1-EXP(-LN(2)/2))/(LN(2)/2)*AQ144*AT144*VLOOKUP('Données projet'!$B$10,Paramètres!$A$1:$I$89,3,0)*0.475*44/12</f>
        <v>2.4629719196380606E-16</v>
      </c>
      <c r="AX144" s="23">
        <f t="shared" si="114"/>
        <v>0.12434323682164214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9.5769792096689348E-14</v>
      </c>
      <c r="BF144" s="14">
        <f t="shared" si="145"/>
        <v>1.4459910566979609E-12</v>
      </c>
      <c r="BG144" s="22">
        <f t="shared" si="115"/>
        <v>2.6852334783173491E-12</v>
      </c>
      <c r="BH144" s="62">
        <f t="shared" si="116"/>
        <v>293.33333333333599</v>
      </c>
      <c r="BI144" s="62">
        <f ca="1">AVERAGE(OFFSET($BH$3,0,0,'Données projet'!$E$11+1,1))-AVERAGE(OFFSET($H$3,0,0,'Données projet'!$E$11+1,1))</f>
        <v>348.82438445524105</v>
      </c>
      <c r="BJ144" s="62">
        <f t="shared" si="146"/>
        <v>218.26721063098552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0.1157678411787699</v>
      </c>
      <c r="BR144" s="23">
        <f>EXP(-LN(2)/2)*BR143+(1-EXP(-LN(2)/2))/(LN(2)/2)*BL144*BO144*VLOOKUP('Données projet'!$B$11,Paramètres!$A$1:$I$89,3,0)*0.475*44/12</f>
        <v>2.2931117872492296E-16</v>
      </c>
      <c r="BS144" s="24">
        <f t="shared" si="117"/>
        <v>0.11576784117877013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-6.7984728957526396E-14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348.62416478262719</v>
      </c>
      <c r="T145" s="62">
        <f t="shared" si="142"/>
        <v>371.70674704563288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0.60952867020990642</v>
      </c>
      <c r="AA145" s="23">
        <f>EXP(-LN(2)/25)*AA144+(1-EXP(-LN(2)/25))/(LN(2)/25)*Calculateur!V145*Calculateur!X145*VLOOKUP('Données projet'!$B$9,Paramètres!$A$1:$I$89,3,0)*0.475*44/12</f>
        <v>0.5439087315327138</v>
      </c>
      <c r="AB145" s="23">
        <f>EXP(-LN(2)/2)*AB144+(1-EXP(-LN(2)/2))/(LN(2)/2)*V145*Y145*VLOOKUP('Données projet'!$B$9,Paramètres!$A$1:$I$89,3,0)*0.475*44/12</f>
        <v>2.3583083605256786E-16</v>
      </c>
      <c r="AC145" s="24">
        <f t="shared" si="111"/>
        <v>1.1534374017426205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1.0286385077051818E-13</v>
      </c>
      <c r="AK145" s="14">
        <f t="shared" si="143"/>
        <v>1.5402366592183556E-12</v>
      </c>
      <c r="AL145" s="22">
        <f t="shared" si="112"/>
        <v>2.8617333882306215E-12</v>
      </c>
      <c r="AM145" s="62">
        <f t="shared" si="113"/>
        <v>293.33333333333616</v>
      </c>
      <c r="AN145" s="62">
        <f ca="1">AVERAGE(OFFSET($AM$3,0,0,'Données projet'!$E$10+1,1))-AVERAGE(OFFSET($H$3,0,0,'Données projet'!$E$10+1,1))</f>
        <v>371.7282125501186</v>
      </c>
      <c r="AO145" s="62">
        <f t="shared" si="144"/>
        <v>231.36959598460686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0.12094306447182746</v>
      </c>
      <c r="AW145" s="23">
        <f>EXP(-LN(2)/2)*AW144+(1-EXP(-LN(2)/2))/(LN(2)/2)*AQ145*AT145*VLOOKUP('Données projet'!$B$10,Paramètres!$A$1:$I$89,3,0)*0.475*44/12</f>
        <v>1.741584146248121E-16</v>
      </c>
      <c r="AX145" s="23">
        <f t="shared" si="114"/>
        <v>0.12094306447182764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9.5769792096689348E-14</v>
      </c>
      <c r="BF145" s="14">
        <f t="shared" si="145"/>
        <v>1.4459910566979609E-12</v>
      </c>
      <c r="BG145" s="22">
        <f t="shared" si="115"/>
        <v>2.6852334783173491E-12</v>
      </c>
      <c r="BH145" s="62">
        <f t="shared" si="116"/>
        <v>293.33333333333599</v>
      </c>
      <c r="BI145" s="62">
        <f ca="1">AVERAGE(OFFSET($BH$3,0,0,'Données projet'!$E$11+1,1))-AVERAGE(OFFSET($H$3,0,0,'Données projet'!$E$11+1,1))</f>
        <v>348.82438445524105</v>
      </c>
      <c r="BJ145" s="62">
        <f t="shared" si="146"/>
        <v>218.26721063098552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0.11260216347377026</v>
      </c>
      <c r="BR145" s="23">
        <f>EXP(-LN(2)/2)*BR144+(1-EXP(-LN(2)/2))/(LN(2)/2)*BL145*BO145*VLOOKUP('Données projet'!$B$11,Paramètres!$A$1:$I$89,3,0)*0.475*44/12</f>
        <v>1.621474894782734E-16</v>
      </c>
      <c r="BS145" s="24">
        <f t="shared" si="117"/>
        <v>0.11260216347377043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-6.7984728957526396E-14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348.62416478262719</v>
      </c>
      <c r="T146" s="62">
        <f t="shared" si="142"/>
        <v>371.70674704563288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0.59757618476286922</v>
      </c>
      <c r="AA146" s="23">
        <f>EXP(-LN(2)/25)*AA145+(1-EXP(-LN(2)/25))/(LN(2)/25)*Calculateur!V146*Calculateur!X146*VLOOKUP('Données projet'!$B$9,Paramètres!$A$1:$I$89,3,0)*0.475*44/12</f>
        <v>0.52903551866603471</v>
      </c>
      <c r="AB146" s="23">
        <f>EXP(-LN(2)/2)*AB145+(1-EXP(-LN(2)/2))/(LN(2)/2)*V146*Y146*VLOOKUP('Données projet'!$B$9,Paramètres!$A$1:$I$89,3,0)*0.475*44/12</f>
        <v>1.6675758338566367E-16</v>
      </c>
      <c r="AC146" s="24">
        <f t="shared" si="111"/>
        <v>1.1266117034289043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1.0286385077051818E-13</v>
      </c>
      <c r="AK146" s="14">
        <f t="shared" si="143"/>
        <v>1.5402366592183556E-12</v>
      </c>
      <c r="AL146" s="22">
        <f t="shared" si="112"/>
        <v>2.8617333882306215E-12</v>
      </c>
      <c r="AM146" s="62">
        <f t="shared" si="113"/>
        <v>293.33333333333616</v>
      </c>
      <c r="AN146" s="62">
        <f ca="1">AVERAGE(OFFSET($AM$3,0,0,'Données projet'!$E$10+1,1))-AVERAGE(OFFSET($H$3,0,0,'Données projet'!$E$10+1,1))</f>
        <v>371.7282125501186</v>
      </c>
      <c r="AO146" s="62">
        <f t="shared" si="144"/>
        <v>231.36959598460686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0.117635870013726</v>
      </c>
      <c r="AW146" s="23">
        <f>EXP(-LN(2)/2)*AW145+(1-EXP(-LN(2)/2))/(LN(2)/2)*AQ146*AT146*VLOOKUP('Données projet'!$B$10,Paramètres!$A$1:$I$89,3,0)*0.475*44/12</f>
        <v>1.2314859598190303E-16</v>
      </c>
      <c r="AX146" s="23">
        <f t="shared" si="114"/>
        <v>0.11763587001372612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9.5769792096689348E-14</v>
      </c>
      <c r="BF146" s="14">
        <f t="shared" si="145"/>
        <v>1.4459910566979609E-12</v>
      </c>
      <c r="BG146" s="22">
        <f t="shared" si="115"/>
        <v>2.6852334783173491E-12</v>
      </c>
      <c r="BH146" s="62">
        <f t="shared" si="116"/>
        <v>293.33333333333599</v>
      </c>
      <c r="BI146" s="62">
        <f ca="1">AVERAGE(OFFSET($BH$3,0,0,'Données projet'!$E$11+1,1))-AVERAGE(OFFSET($H$3,0,0,'Données projet'!$E$11+1,1))</f>
        <v>348.82438445524105</v>
      </c>
      <c r="BJ146" s="62">
        <f t="shared" si="146"/>
        <v>218.26721063098552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0.10952305139208959</v>
      </c>
      <c r="BR146" s="23">
        <f>EXP(-LN(2)/2)*BR145+(1-EXP(-LN(2)/2))/(LN(2)/2)*BL146*BO146*VLOOKUP('Données projet'!$B$11,Paramètres!$A$1:$I$89,3,0)*0.475*44/12</f>
        <v>1.1465558936246148E-16</v>
      </c>
      <c r="BS146" s="24">
        <f t="shared" si="117"/>
        <v>0.1095230513920897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-6.7984728957526396E-14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348.62416478262719</v>
      </c>
      <c r="T147" s="62">
        <f t="shared" si="142"/>
        <v>371.70674704563288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0.58585808026515207</v>
      </c>
      <c r="AA147" s="23">
        <f>EXP(-LN(2)/25)*AA146+(1-EXP(-LN(2)/25))/(LN(2)/25)*Calculateur!V147*Calculateur!X147*VLOOKUP('Données projet'!$B$9,Paramètres!$A$1:$I$89,3,0)*0.475*44/12</f>
        <v>0.51456901458734317</v>
      </c>
      <c r="AB147" s="23">
        <f>EXP(-LN(2)/2)*AB146+(1-EXP(-LN(2)/2))/(LN(2)/2)*V147*Y147*VLOOKUP('Données projet'!$B$9,Paramètres!$A$1:$I$89,3,0)*0.475*44/12</f>
        <v>1.1791541802628393E-16</v>
      </c>
      <c r="AC147" s="24">
        <f t="shared" si="111"/>
        <v>1.1004270948524955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1.0286385077051818E-13</v>
      </c>
      <c r="AK147" s="14">
        <f t="shared" si="143"/>
        <v>1.5402366592183556E-12</v>
      </c>
      <c r="AL147" s="22">
        <f t="shared" si="112"/>
        <v>2.8617333882306215E-12</v>
      </c>
      <c r="AM147" s="62">
        <f t="shared" si="113"/>
        <v>293.33333333333616</v>
      </c>
      <c r="AN147" s="62">
        <f ca="1">AVERAGE(OFFSET($AM$3,0,0,'Données projet'!$E$10+1,1))-AVERAGE(OFFSET($H$3,0,0,'Données projet'!$E$10+1,1))</f>
        <v>371.7282125501186</v>
      </c>
      <c r="AO147" s="62">
        <f t="shared" si="144"/>
        <v>231.36959598460686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0.11441911096199911</v>
      </c>
      <c r="AW147" s="23">
        <f>EXP(-LN(2)/2)*AW146+(1-EXP(-LN(2)/2))/(LN(2)/2)*AQ147*AT147*VLOOKUP('Données projet'!$B$10,Paramètres!$A$1:$I$89,3,0)*0.475*44/12</f>
        <v>8.7079207312406051E-17</v>
      </c>
      <c r="AX147" s="23">
        <f t="shared" si="114"/>
        <v>0.11441911096199919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9.5769792096689348E-14</v>
      </c>
      <c r="BF147" s="14">
        <f t="shared" si="145"/>
        <v>1.4459910566979609E-12</v>
      </c>
      <c r="BG147" s="22">
        <f t="shared" si="115"/>
        <v>2.6852334783173491E-12</v>
      </c>
      <c r="BH147" s="62">
        <f t="shared" si="116"/>
        <v>293.33333333333599</v>
      </c>
      <c r="BI147" s="62">
        <f ca="1">AVERAGE(OFFSET($BH$3,0,0,'Données projet'!$E$11+1,1))-AVERAGE(OFFSET($H$3,0,0,'Données projet'!$E$11+1,1))</f>
        <v>348.82438445524105</v>
      </c>
      <c r="BJ147" s="62">
        <f t="shared" si="146"/>
        <v>218.26721063098552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0.10652813779220595</v>
      </c>
      <c r="BR147" s="23">
        <f>EXP(-LN(2)/2)*BR146+(1-EXP(-LN(2)/2))/(LN(2)/2)*BL147*BO147*VLOOKUP('Données projet'!$B$11,Paramètres!$A$1:$I$89,3,0)*0.475*44/12</f>
        <v>8.1073744739136698E-17</v>
      </c>
      <c r="BS147" s="24">
        <f t="shared" si="117"/>
        <v>0.10652813779220603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-6.7984728957526396E-14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348.62416478262719</v>
      </c>
      <c r="T148" s="62">
        <f t="shared" si="142"/>
        <v>371.70674704563288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0.57436976064929723</v>
      </c>
      <c r="AA148" s="23">
        <f>EXP(-LN(2)/25)*AA147+(1-EXP(-LN(2)/25))/(LN(2)/25)*Calculateur!V148*Calculateur!X148*VLOOKUP('Données projet'!$B$9,Paramètres!$A$1:$I$89,3,0)*0.475*44/12</f>
        <v>0.5004980978234439</v>
      </c>
      <c r="AB148" s="23">
        <f>EXP(-LN(2)/2)*AB147+(1-EXP(-LN(2)/2))/(LN(2)/2)*V148*Y148*VLOOKUP('Données projet'!$B$9,Paramètres!$A$1:$I$89,3,0)*0.475*44/12</f>
        <v>8.3378791692831834E-17</v>
      </c>
      <c r="AC148" s="24">
        <f t="shared" si="111"/>
        <v>1.0748678584727411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1.0286385077051818E-13</v>
      </c>
      <c r="AK148" s="14">
        <f t="shared" si="143"/>
        <v>1.5402366592183556E-12</v>
      </c>
      <c r="AL148" s="22">
        <f t="shared" si="112"/>
        <v>2.8617333882306215E-12</v>
      </c>
      <c r="AM148" s="62">
        <f t="shared" si="113"/>
        <v>293.33333333333616</v>
      </c>
      <c r="AN148" s="62">
        <f ca="1">AVERAGE(OFFSET($AM$3,0,0,'Données projet'!$E$10+1,1))-AVERAGE(OFFSET($H$3,0,0,'Données projet'!$E$10+1,1))</f>
        <v>371.7282125501186</v>
      </c>
      <c r="AO148" s="62">
        <f t="shared" si="144"/>
        <v>231.36959598460686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0.1112903143557037</v>
      </c>
      <c r="AW148" s="23">
        <f>EXP(-LN(2)/2)*AW147+(1-EXP(-LN(2)/2))/(LN(2)/2)*AQ148*AT148*VLOOKUP('Données projet'!$B$10,Paramètres!$A$1:$I$89,3,0)*0.475*44/12</f>
        <v>6.1574297990951514E-17</v>
      </c>
      <c r="AX148" s="23">
        <f t="shared" si="114"/>
        <v>0.11129031435570376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9.5769792096689348E-14</v>
      </c>
      <c r="BF148" s="14">
        <f t="shared" si="145"/>
        <v>1.4459910566979609E-12</v>
      </c>
      <c r="BG148" s="22">
        <f t="shared" si="115"/>
        <v>2.6852334783173491E-12</v>
      </c>
      <c r="BH148" s="62">
        <f t="shared" si="116"/>
        <v>293.33333333333599</v>
      </c>
      <c r="BI148" s="62">
        <f ca="1">AVERAGE(OFFSET($BH$3,0,0,'Données projet'!$E$11+1,1))-AVERAGE(OFFSET($H$3,0,0,'Données projet'!$E$11+1,1))</f>
        <v>348.82438445524105</v>
      </c>
      <c r="BJ148" s="62">
        <f t="shared" si="146"/>
        <v>218.26721063098552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0.10361512026220679</v>
      </c>
      <c r="BR148" s="23">
        <f>EXP(-LN(2)/2)*BR147+(1-EXP(-LN(2)/2))/(LN(2)/2)*BL148*BO148*VLOOKUP('Données projet'!$B$11,Paramètres!$A$1:$I$89,3,0)*0.475*44/12</f>
        <v>5.7327794681230739E-17</v>
      </c>
      <c r="BS148" s="24">
        <f t="shared" si="117"/>
        <v>0.10361512026220684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-6.7984728957526396E-14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348.62416478262719</v>
      </c>
      <c r="T149" s="62">
        <f t="shared" si="142"/>
        <v>371.70674704563288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0.56310671997392625</v>
      </c>
      <c r="AA149" s="23">
        <f>EXP(-LN(2)/25)*AA148+(1-EXP(-LN(2)/25))/(LN(2)/25)*Calculateur!V149*Calculateur!X149*VLOOKUP('Données projet'!$B$9,Paramètres!$A$1:$I$89,3,0)*0.475*44/12</f>
        <v>0.48681195101841074</v>
      </c>
      <c r="AB149" s="23">
        <f>EXP(-LN(2)/2)*AB148+(1-EXP(-LN(2)/2))/(LN(2)/2)*V149*Y149*VLOOKUP('Données projet'!$B$9,Paramètres!$A$1:$I$89,3,0)*0.475*44/12</f>
        <v>5.8957709013141966E-17</v>
      </c>
      <c r="AC149" s="24">
        <f t="shared" si="111"/>
        <v>1.0499186709923369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1.0286385077051818E-13</v>
      </c>
      <c r="AK149" s="14">
        <f t="shared" si="143"/>
        <v>1.5402366592183556E-12</v>
      </c>
      <c r="AL149" s="22">
        <f t="shared" si="112"/>
        <v>2.8617333882306215E-12</v>
      </c>
      <c r="AM149" s="62">
        <f t="shared" si="113"/>
        <v>293.33333333333616</v>
      </c>
      <c r="AN149" s="62">
        <f ca="1">AVERAGE(OFFSET($AM$3,0,0,'Données projet'!$E$10+1,1))-AVERAGE(OFFSET($H$3,0,0,'Données projet'!$E$10+1,1))</f>
        <v>371.7282125501186</v>
      </c>
      <c r="AO149" s="62">
        <f t="shared" si="144"/>
        <v>231.36959598460686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0.10824707485714372</v>
      </c>
      <c r="AW149" s="23">
        <f>EXP(-LN(2)/2)*AW148+(1-EXP(-LN(2)/2))/(LN(2)/2)*AQ149*AT149*VLOOKUP('Données projet'!$B$10,Paramètres!$A$1:$I$89,3,0)*0.475*44/12</f>
        <v>4.3539603656203025E-17</v>
      </c>
      <c r="AX149" s="23">
        <f t="shared" si="114"/>
        <v>0.10824707485714376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9.5769792096689348E-14</v>
      </c>
      <c r="BF149" s="14">
        <f t="shared" si="145"/>
        <v>1.4459910566979609E-12</v>
      </c>
      <c r="BG149" s="22">
        <f t="shared" si="115"/>
        <v>2.6852334783173491E-12</v>
      </c>
      <c r="BH149" s="62">
        <f t="shared" si="116"/>
        <v>293.33333333333599</v>
      </c>
      <c r="BI149" s="62">
        <f ca="1">AVERAGE(OFFSET($BH$3,0,0,'Données projet'!$E$11+1,1))-AVERAGE(OFFSET($H$3,0,0,'Données projet'!$E$11+1,1))</f>
        <v>348.82438445524105</v>
      </c>
      <c r="BJ149" s="62">
        <f t="shared" si="146"/>
        <v>218.26721063098552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0.10078175934975439</v>
      </c>
      <c r="BR149" s="23">
        <f>EXP(-LN(2)/2)*BR148+(1-EXP(-LN(2)/2))/(LN(2)/2)*BL149*BO149*VLOOKUP('Données projet'!$B$11,Paramètres!$A$1:$I$89,3,0)*0.475*44/12</f>
        <v>4.0536872369568349E-17</v>
      </c>
      <c r="BS149" s="24">
        <f t="shared" si="117"/>
        <v>0.10078175934975443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-6.7984728957526396E-14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348.62416478262719</v>
      </c>
      <c r="T150" s="62">
        <f t="shared" si="142"/>
        <v>371.70674704563288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0.55206454065642274</v>
      </c>
      <c r="AA150" s="23">
        <f>EXP(-LN(2)/25)*AA149+(1-EXP(-LN(2)/25))/(LN(2)/25)*Calculateur!V150*Calculateur!X150*VLOOKUP('Données projet'!$B$9,Paramètres!$A$1:$I$89,3,0)*0.475*44/12</f>
        <v>0.4735000526174844</v>
      </c>
      <c r="AB150" s="23">
        <f>EXP(-LN(2)/2)*AB149+(1-EXP(-LN(2)/2))/(LN(2)/2)*V150*Y150*VLOOKUP('Données projet'!$B$9,Paramètres!$A$1:$I$89,3,0)*0.475*44/12</f>
        <v>4.1689395846415917E-17</v>
      </c>
      <c r="AC150" s="24">
        <f t="shared" si="111"/>
        <v>1.025564593273907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1.0286385077051818E-13</v>
      </c>
      <c r="AK150" s="14">
        <f t="shared" si="143"/>
        <v>1.5402366592183556E-12</v>
      </c>
      <c r="AL150" s="22">
        <f t="shared" si="112"/>
        <v>2.8617333882306215E-12</v>
      </c>
      <c r="AM150" s="62">
        <f t="shared" si="113"/>
        <v>293.33333333333616</v>
      </c>
      <c r="AN150" s="62">
        <f ca="1">AVERAGE(OFFSET($AM$3,0,0,'Données projet'!$E$10+1,1))-AVERAGE(OFFSET($H$3,0,0,'Données projet'!$E$10+1,1))</f>
        <v>371.7282125501186</v>
      </c>
      <c r="AO150" s="62">
        <f t="shared" si="144"/>
        <v>231.36959598460686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0.10528705290270886</v>
      </c>
      <c r="AW150" s="23">
        <f>EXP(-LN(2)/2)*AW149+(1-EXP(-LN(2)/2))/(LN(2)/2)*AQ150*AT150*VLOOKUP('Données projet'!$B$10,Paramètres!$A$1:$I$89,3,0)*0.475*44/12</f>
        <v>3.0787148995475757E-17</v>
      </c>
      <c r="AX150" s="23">
        <f t="shared" si="114"/>
        <v>0.10528705290270889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9.5769792096689348E-14</v>
      </c>
      <c r="BF150" s="14">
        <f t="shared" si="145"/>
        <v>1.4459910566979609E-12</v>
      </c>
      <c r="BG150" s="22">
        <f t="shared" si="115"/>
        <v>2.6852334783173491E-12</v>
      </c>
      <c r="BH150" s="62">
        <f t="shared" si="116"/>
        <v>293.33333333333599</v>
      </c>
      <c r="BI150" s="62">
        <f ca="1">AVERAGE(OFFSET($BH$3,0,0,'Données projet'!$E$11+1,1))-AVERAGE(OFFSET($H$3,0,0,'Données projet'!$E$11+1,1))</f>
        <v>348.82438445524105</v>
      </c>
      <c r="BJ150" s="62">
        <f t="shared" si="146"/>
        <v>218.26721063098552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9.8025876840452969E-2</v>
      </c>
      <c r="BR150" s="23">
        <f>EXP(-LN(2)/2)*BR149+(1-EXP(-LN(2)/2))/(LN(2)/2)*BL150*BO150*VLOOKUP('Données projet'!$B$11,Paramètres!$A$1:$I$89,3,0)*0.475*44/12</f>
        <v>2.866389734061537E-17</v>
      </c>
      <c r="BS150" s="24">
        <f t="shared" si="117"/>
        <v>9.8025876840452997E-2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-6.7984728957526396E-14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348.62416478262719</v>
      </c>
      <c r="T151" s="62">
        <f t="shared" si="142"/>
        <v>371.70674704563288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0.54123889174027118</v>
      </c>
      <c r="AA151" s="23">
        <f>EXP(-LN(2)/25)*AA150+(1-EXP(-LN(2)/25))/(LN(2)/25)*Calculateur!V151*Calculateur!X151*VLOOKUP('Données projet'!$B$9,Paramètres!$A$1:$I$89,3,0)*0.475*44/12</f>
        <v>0.46055216877837374</v>
      </c>
      <c r="AB151" s="23">
        <f>EXP(-LN(2)/2)*AB150+(1-EXP(-LN(2)/2))/(LN(2)/2)*V151*Y151*VLOOKUP('Données projet'!$B$9,Paramètres!$A$1:$I$89,3,0)*0.475*44/12</f>
        <v>2.9478854506570983E-17</v>
      </c>
      <c r="AC151" s="24">
        <f t="shared" si="111"/>
        <v>1.0017910605186449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1.0286385077051818E-13</v>
      </c>
      <c r="AK151" s="14">
        <f t="shared" si="143"/>
        <v>1.5402366592183556E-12</v>
      </c>
      <c r="AL151" s="22">
        <f t="shared" si="112"/>
        <v>2.8617333882306215E-12</v>
      </c>
      <c r="AM151" s="62">
        <f t="shared" si="113"/>
        <v>293.33333333333616</v>
      </c>
      <c r="AN151" s="62">
        <f ca="1">AVERAGE(OFFSET($AM$3,0,0,'Données projet'!$E$10+1,1))-AVERAGE(OFFSET($H$3,0,0,'Données projet'!$E$10+1,1))</f>
        <v>371.7282125501186</v>
      </c>
      <c r="AO151" s="62">
        <f t="shared" si="144"/>
        <v>231.36959598460686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0.1024079729042788</v>
      </c>
      <c r="AW151" s="23">
        <f>EXP(-LN(2)/2)*AW150+(1-EXP(-LN(2)/2))/(LN(2)/2)*AQ151*AT151*VLOOKUP('Données projet'!$B$10,Paramètres!$A$1:$I$89,3,0)*0.475*44/12</f>
        <v>2.1769801828101513E-17</v>
      </c>
      <c r="AX151" s="23">
        <f t="shared" si="114"/>
        <v>0.10240797290427883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9.5769792096689348E-14</v>
      </c>
      <c r="BF151" s="14">
        <f t="shared" si="145"/>
        <v>1.4459910566979609E-12</v>
      </c>
      <c r="BG151" s="22">
        <f t="shared" si="115"/>
        <v>2.6852334783173491E-12</v>
      </c>
      <c r="BH151" s="62">
        <f t="shared" si="116"/>
        <v>293.33333333333599</v>
      </c>
      <c r="BI151" s="62">
        <f ca="1">AVERAGE(OFFSET($BH$3,0,0,'Données projet'!$E$11+1,1))-AVERAGE(OFFSET($H$3,0,0,'Données projet'!$E$11+1,1))</f>
        <v>348.82438445524105</v>
      </c>
      <c r="BJ151" s="62">
        <f t="shared" si="146"/>
        <v>218.26721063098552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9.5345354083293962E-2</v>
      </c>
      <c r="BR151" s="23">
        <f>EXP(-LN(2)/2)*BR150+(1-EXP(-LN(2)/2))/(LN(2)/2)*BL151*BO151*VLOOKUP('Données projet'!$B$11,Paramètres!$A$1:$I$89,3,0)*0.475*44/12</f>
        <v>2.0268436184784174E-17</v>
      </c>
      <c r="BS151" s="24">
        <f t="shared" si="117"/>
        <v>9.5345354083293976E-2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-6.7984728957526396E-14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348.62416478262719</v>
      </c>
      <c r="T152" s="62">
        <f t="shared" si="142"/>
        <v>371.70674704563288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0.53062552719637146</v>
      </c>
      <c r="AA152" s="23">
        <f>EXP(-LN(2)/25)*AA151+(1-EXP(-LN(2)/25))/(LN(2)/25)*Calculateur!V152*Calculateur!X152*VLOOKUP('Données projet'!$B$9,Paramètres!$A$1:$I$89,3,0)*0.475*44/12</f>
        <v>0.44795834550374314</v>
      </c>
      <c r="AB152" s="23">
        <f>EXP(-LN(2)/2)*AB151+(1-EXP(-LN(2)/2))/(LN(2)/2)*V152*Y152*VLOOKUP('Données projet'!$B$9,Paramètres!$A$1:$I$89,3,0)*0.475*44/12</f>
        <v>2.0844697923207958E-17</v>
      </c>
      <c r="AC152" s="24">
        <f t="shared" si="111"/>
        <v>0.9785838727001146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1.0286385077051818E-13</v>
      </c>
      <c r="AK152" s="14">
        <f t="shared" si="143"/>
        <v>1.5402366592183556E-12</v>
      </c>
      <c r="AL152" s="22">
        <f t="shared" si="112"/>
        <v>2.8617333882306215E-12</v>
      </c>
      <c r="AM152" s="62">
        <f t="shared" si="113"/>
        <v>293.33333333333616</v>
      </c>
      <c r="AN152" s="62">
        <f ca="1">AVERAGE(OFFSET($AM$3,0,0,'Données projet'!$E$10+1,1))-AVERAGE(OFFSET($H$3,0,0,'Données projet'!$E$10+1,1))</f>
        <v>371.7282125501186</v>
      </c>
      <c r="AO152" s="62">
        <f t="shared" si="144"/>
        <v>231.36959598460686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9.9607621499810062E-2</v>
      </c>
      <c r="AW152" s="23">
        <f>EXP(-LN(2)/2)*AW151+(1-EXP(-LN(2)/2))/(LN(2)/2)*AQ152*AT152*VLOOKUP('Données projet'!$B$10,Paramètres!$A$1:$I$89,3,0)*0.475*44/12</f>
        <v>1.5393574497737879E-17</v>
      </c>
      <c r="AX152" s="23">
        <f t="shared" si="114"/>
        <v>9.9607621499810076E-2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9.5769792096689348E-14</v>
      </c>
      <c r="BF152" s="14">
        <f t="shared" si="145"/>
        <v>1.4459910566979609E-12</v>
      </c>
      <c r="BG152" s="22">
        <f t="shared" si="115"/>
        <v>2.6852334783173491E-12</v>
      </c>
      <c r="BH152" s="62">
        <f t="shared" si="116"/>
        <v>293.33333333333599</v>
      </c>
      <c r="BI152" s="62">
        <f ca="1">AVERAGE(OFFSET($BH$3,0,0,'Données projet'!$E$11+1,1))-AVERAGE(OFFSET($H$3,0,0,'Données projet'!$E$11+1,1))</f>
        <v>348.82438445524105</v>
      </c>
      <c r="BJ152" s="62">
        <f t="shared" si="146"/>
        <v>218.26721063098552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9.2738130361892032E-2</v>
      </c>
      <c r="BR152" s="23">
        <f>EXP(-LN(2)/2)*BR151+(1-EXP(-LN(2)/2))/(LN(2)/2)*BL152*BO152*VLOOKUP('Données projet'!$B$11,Paramètres!$A$1:$I$89,3,0)*0.475*44/12</f>
        <v>1.4331948670307685E-17</v>
      </c>
      <c r="BS152" s="24">
        <f t="shared" si="117"/>
        <v>9.2738130361892046E-2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-6.7984728957526396E-14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348.62416478262719</v>
      </c>
      <c r="T153" s="62">
        <f t="shared" si="142"/>
        <v>371.70674704563288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0.52022028425766442</v>
      </c>
      <c r="AA153" s="23">
        <f>EXP(-LN(2)/25)*AA152+(1-EXP(-LN(2)/25))/(LN(2)/25)*Calculateur!V153*Calculateur!X153*VLOOKUP('Données projet'!$B$9,Paramètres!$A$1:$I$89,3,0)*0.475*44/12</f>
        <v>0.43570890098883769</v>
      </c>
      <c r="AB153" s="23">
        <f>EXP(-LN(2)/2)*AB152+(1-EXP(-LN(2)/2))/(LN(2)/2)*V153*Y153*VLOOKUP('Données projet'!$B$9,Paramètres!$A$1:$I$89,3,0)*0.475*44/12</f>
        <v>1.4739427253285491E-17</v>
      </c>
      <c r="AC153" s="24">
        <f t="shared" si="111"/>
        <v>0.95592918524650217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1.0286385077051818E-13</v>
      </c>
      <c r="AK153" s="14">
        <f t="shared" si="143"/>
        <v>1.5402366592183556E-12</v>
      </c>
      <c r="AL153" s="22">
        <f t="shared" si="112"/>
        <v>2.8617333882306215E-12</v>
      </c>
      <c r="AM153" s="62">
        <f t="shared" si="113"/>
        <v>293.33333333333616</v>
      </c>
      <c r="AN153" s="62">
        <f ca="1">AVERAGE(OFFSET($AM$3,0,0,'Données projet'!$E$10+1,1))-AVERAGE(OFFSET($H$3,0,0,'Données projet'!$E$10+1,1))</f>
        <v>371.7282125501186</v>
      </c>
      <c r="AO153" s="62">
        <f t="shared" si="144"/>
        <v>231.36959598460686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9.6883845851760603E-2</v>
      </c>
      <c r="AW153" s="23">
        <f>EXP(-LN(2)/2)*AW152+(1-EXP(-LN(2)/2))/(LN(2)/2)*AQ153*AT153*VLOOKUP('Données projet'!$B$10,Paramètres!$A$1:$I$89,3,0)*0.475*44/12</f>
        <v>1.0884900914050756E-17</v>
      </c>
      <c r="AX153" s="23">
        <f t="shared" si="114"/>
        <v>9.6883845851760617E-2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9.5769792096689348E-14</v>
      </c>
      <c r="BF153" s="14">
        <f t="shared" si="145"/>
        <v>1.4459910566979609E-12</v>
      </c>
      <c r="BG153" s="22">
        <f t="shared" si="115"/>
        <v>2.6852334783173491E-12</v>
      </c>
      <c r="BH153" s="62">
        <f t="shared" si="116"/>
        <v>293.33333333333599</v>
      </c>
      <c r="BI153" s="62">
        <f ca="1">AVERAGE(OFFSET($BH$3,0,0,'Données projet'!$E$11+1,1))-AVERAGE(OFFSET($H$3,0,0,'Données projet'!$E$11+1,1))</f>
        <v>348.82438445524105</v>
      </c>
      <c r="BJ153" s="62">
        <f t="shared" si="146"/>
        <v>218.26721063098552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9.0202201310259772E-2</v>
      </c>
      <c r="BR153" s="23">
        <f>EXP(-LN(2)/2)*BR152+(1-EXP(-LN(2)/2))/(LN(2)/2)*BL153*BO153*VLOOKUP('Données projet'!$B$11,Paramètres!$A$1:$I$89,3,0)*0.475*44/12</f>
        <v>1.0134218092392087E-17</v>
      </c>
      <c r="BS153" s="24">
        <f t="shared" si="117"/>
        <v>9.0202201310259786E-2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-6.7984728957526396E-14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348.62416478262719</v>
      </c>
      <c r="T154" s="62">
        <f t="shared" si="142"/>
        <v>371.70674704563288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0.51001908178641397</v>
      </c>
      <c r="AA154" s="23">
        <f>EXP(-LN(2)/25)*AA153+(1-EXP(-LN(2)/25))/(LN(2)/25)*Calculateur!V154*Calculateur!X154*VLOOKUP('Données projet'!$B$9,Paramètres!$A$1:$I$89,3,0)*0.475*44/12</f>
        <v>0.42379441817836266</v>
      </c>
      <c r="AB154" s="23">
        <f>EXP(-LN(2)/2)*AB153+(1-EXP(-LN(2)/2))/(LN(2)/2)*V154*Y154*VLOOKUP('Données projet'!$B$9,Paramètres!$A$1:$I$89,3,0)*0.475*44/12</f>
        <v>1.0422348961603979E-17</v>
      </c>
      <c r="AC154" s="24">
        <f t="shared" ref="AC154:AC203" si="163">SUM(Z154:AB154)</f>
        <v>0.93381349996477669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1.0286385077051818E-13</v>
      </c>
      <c r="AK154" s="14">
        <f t="shared" ref="AK154:AK203" si="164">EXP(-1.0587+0.8836*LN(AJ154)+0.284)</f>
        <v>1.5402366592183556E-12</v>
      </c>
      <c r="AL154" s="22">
        <f t="shared" ref="AL154:AL203" si="165">(AJ154+AK154)*0.475*44/12</f>
        <v>2.8617333882306215E-12</v>
      </c>
      <c r="AM154" s="62">
        <f t="shared" si="113"/>
        <v>293.33333333333616</v>
      </c>
      <c r="AN154" s="62">
        <f ca="1">AVERAGE(OFFSET($AM$3,0,0,'Données projet'!$E$10+1,1))-AVERAGE(OFFSET($H$3,0,0,'Données projet'!$E$10+1,1))</f>
        <v>371.7282125501186</v>
      </c>
      <c r="AO154" s="62">
        <f t="shared" si="144"/>
        <v>231.36959598460686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9.4234551992044183E-2</v>
      </c>
      <c r="AW154" s="23">
        <f>EXP(-LN(2)/2)*AW153+(1-EXP(-LN(2)/2))/(LN(2)/2)*AQ154*AT154*VLOOKUP('Données projet'!$B$10,Paramètres!$A$1:$I$89,3,0)*0.475*44/12</f>
        <v>7.6967872488689393E-18</v>
      </c>
      <c r="AX154" s="23">
        <f t="shared" ref="AX154:AX203" si="166">SUM(AU154:AW154)</f>
        <v>9.4234551992044197E-2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9.5769792096689348E-14</v>
      </c>
      <c r="BF154" s="14">
        <f t="shared" ref="BF154:BF203" si="167">EXP(-1.0587+0.8836*LN(BE154)+0.284)</f>
        <v>1.4459910566979609E-12</v>
      </c>
      <c r="BG154" s="22">
        <f t="shared" ref="BG154:BG203" si="168">(BE154+BF154)*0.475*44/12</f>
        <v>2.6852334783173491E-12</v>
      </c>
      <c r="BH154" s="62">
        <f t="shared" si="116"/>
        <v>293.33333333333599</v>
      </c>
      <c r="BI154" s="62">
        <f ca="1">AVERAGE(OFFSET($BH$3,0,0,'Données projet'!$E$11+1,1))-AVERAGE(OFFSET($H$3,0,0,'Données projet'!$E$11+1,1))</f>
        <v>348.82438445524105</v>
      </c>
      <c r="BJ154" s="62">
        <f t="shared" si="146"/>
        <v>218.26721063098552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8.7735617371903107E-2</v>
      </c>
      <c r="BR154" s="23">
        <f>EXP(-LN(2)/2)*BR153+(1-EXP(-LN(2)/2))/(LN(2)/2)*BL154*BO154*VLOOKUP('Données projet'!$B$11,Paramètres!$A$1:$I$89,3,0)*0.475*44/12</f>
        <v>7.1659743351538424E-18</v>
      </c>
      <c r="BS154" s="24">
        <f t="shared" ref="BS154:BS203" si="169">SUM(BP154:BR154)</f>
        <v>8.7735617371903121E-2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-6.7984728957526396E-14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348.62416478262719</v>
      </c>
      <c r="T155" s="62">
        <f t="shared" si="142"/>
        <v>371.70674704563288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0.50001791867350565</v>
      </c>
      <c r="AA155" s="23">
        <f>EXP(-LN(2)/25)*AA154+(1-EXP(-LN(2)/25))/(LN(2)/25)*Calculateur!V155*Calculateur!X155*VLOOKUP('Données projet'!$B$9,Paramètres!$A$1:$I$89,3,0)*0.475*44/12</f>
        <v>0.41220573752689549</v>
      </c>
      <c r="AB155" s="23">
        <f>EXP(-LN(2)/2)*AB154+(1-EXP(-LN(2)/2))/(LN(2)/2)*V155*Y155*VLOOKUP('Données projet'!$B$9,Paramètres!$A$1:$I$89,3,0)*0.475*44/12</f>
        <v>7.3697136266427457E-18</v>
      </c>
      <c r="AC155" s="24">
        <f t="shared" si="163"/>
        <v>0.91222365620040113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1.0286385077051818E-13</v>
      </c>
      <c r="AK155" s="14">
        <f t="shared" si="164"/>
        <v>1.5402366592183556E-12</v>
      </c>
      <c r="AL155" s="22">
        <f t="shared" si="165"/>
        <v>2.8617333882306215E-12</v>
      </c>
      <c r="AM155" s="62">
        <f t="shared" si="113"/>
        <v>293.33333333333616</v>
      </c>
      <c r="AN155" s="62">
        <f ca="1">AVERAGE(OFFSET($AM$3,0,0,'Données projet'!$E$10+1,1))-AVERAGE(OFFSET($H$3,0,0,'Données projet'!$E$10+1,1))</f>
        <v>371.7282125501186</v>
      </c>
      <c r="AO155" s="62">
        <f t="shared" si="144"/>
        <v>231.36959598460686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9.1657703212242023E-2</v>
      </c>
      <c r="AW155" s="23">
        <f>EXP(-LN(2)/2)*AW154+(1-EXP(-LN(2)/2))/(LN(2)/2)*AQ155*AT155*VLOOKUP('Données projet'!$B$10,Paramètres!$A$1:$I$89,3,0)*0.475*44/12</f>
        <v>5.4424504570253782E-18</v>
      </c>
      <c r="AX155" s="23">
        <f t="shared" si="166"/>
        <v>9.1657703212242023E-2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9.5769792096689348E-14</v>
      </c>
      <c r="BF155" s="14">
        <f t="shared" si="167"/>
        <v>1.4459910566979609E-12</v>
      </c>
      <c r="BG155" s="22">
        <f t="shared" si="168"/>
        <v>2.6852334783173491E-12</v>
      </c>
      <c r="BH155" s="62">
        <f t="shared" si="116"/>
        <v>293.33333333333599</v>
      </c>
      <c r="BI155" s="62">
        <f ca="1">AVERAGE(OFFSET($BH$3,0,0,'Données projet'!$E$11+1,1))-AVERAGE(OFFSET($H$3,0,0,'Données projet'!$E$11+1,1))</f>
        <v>348.82438445524105</v>
      </c>
      <c r="BJ155" s="62">
        <f t="shared" si="146"/>
        <v>218.26721063098552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8.5336482301052827E-2</v>
      </c>
      <c r="BR155" s="23">
        <f>EXP(-LN(2)/2)*BR154+(1-EXP(-LN(2)/2))/(LN(2)/2)*BL155*BO155*VLOOKUP('Données projet'!$B$11,Paramètres!$A$1:$I$89,3,0)*0.475*44/12</f>
        <v>5.0671090461960436E-18</v>
      </c>
      <c r="BS155" s="24">
        <f t="shared" si="169"/>
        <v>8.5336482301052827E-2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-6.7984728957526396E-14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348.62416478262719</v>
      </c>
      <c r="T156" s="62">
        <f t="shared" si="142"/>
        <v>371.70674704563288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0.49021287226913424</v>
      </c>
      <c r="AA156" s="23">
        <f>EXP(-LN(2)/25)*AA155+(1-EXP(-LN(2)/25))/(LN(2)/25)*Calculateur!V156*Calculateur!X156*VLOOKUP('Données projet'!$B$9,Paramètres!$A$1:$I$89,3,0)*0.475*44/12</f>
        <v>0.40093394995726489</v>
      </c>
      <c r="AB156" s="23">
        <f>EXP(-LN(2)/2)*AB155+(1-EXP(-LN(2)/2))/(LN(2)/2)*V156*Y156*VLOOKUP('Données projet'!$B$9,Paramètres!$A$1:$I$89,3,0)*0.475*44/12</f>
        <v>5.2111744808019896E-18</v>
      </c>
      <c r="AC156" s="24">
        <f t="shared" si="163"/>
        <v>0.89114682222639918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1.0286385077051818E-13</v>
      </c>
      <c r="AK156" s="14">
        <f t="shared" si="164"/>
        <v>1.5402366592183556E-12</v>
      </c>
      <c r="AL156" s="22">
        <f t="shared" si="165"/>
        <v>2.8617333882306215E-12</v>
      </c>
      <c r="AM156" s="62">
        <f t="shared" si="113"/>
        <v>293.33333333333616</v>
      </c>
      <c r="AN156" s="62">
        <f ca="1">AVERAGE(OFFSET($AM$3,0,0,'Données projet'!$E$10+1,1))-AVERAGE(OFFSET($H$3,0,0,'Données projet'!$E$10+1,1))</f>
        <v>371.7282125501186</v>
      </c>
      <c r="AO156" s="62">
        <f t="shared" si="144"/>
        <v>231.36959598460686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8.9151318497834142E-2</v>
      </c>
      <c r="AW156" s="23">
        <f>EXP(-LN(2)/2)*AW155+(1-EXP(-LN(2)/2))/(LN(2)/2)*AQ156*AT156*VLOOKUP('Données projet'!$B$10,Paramètres!$A$1:$I$89,3,0)*0.475*44/12</f>
        <v>3.8483936244344696E-18</v>
      </c>
      <c r="AX156" s="23">
        <f t="shared" si="166"/>
        <v>8.9151318497834142E-2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9.5769792096689348E-14</v>
      </c>
      <c r="BF156" s="14">
        <f t="shared" si="167"/>
        <v>1.4459910566979609E-12</v>
      </c>
      <c r="BG156" s="22">
        <f t="shared" si="168"/>
        <v>2.6852334783173491E-12</v>
      </c>
      <c r="BH156" s="62">
        <f t="shared" si="116"/>
        <v>293.33333333333599</v>
      </c>
      <c r="BI156" s="62">
        <f ca="1">AVERAGE(OFFSET($BH$3,0,0,'Données projet'!$E$11+1,1))-AVERAGE(OFFSET($H$3,0,0,'Données projet'!$E$11+1,1))</f>
        <v>348.82438445524105</v>
      </c>
      <c r="BJ156" s="62">
        <f t="shared" si="146"/>
        <v>218.26721063098552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8.3002951704879965E-2</v>
      </c>
      <c r="BR156" s="23">
        <f>EXP(-LN(2)/2)*BR155+(1-EXP(-LN(2)/2))/(LN(2)/2)*BL156*BO156*VLOOKUP('Données projet'!$B$11,Paramètres!$A$1:$I$89,3,0)*0.475*44/12</f>
        <v>3.5829871675769212E-18</v>
      </c>
      <c r="BS156" s="24">
        <f t="shared" si="169"/>
        <v>8.3002951704879965E-2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-6.7984728957526396E-14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348.62416478262719</v>
      </c>
      <c r="T157" s="62">
        <f t="shared" si="142"/>
        <v>371.70674704563288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0.48060009684426475</v>
      </c>
      <c r="AA157" s="23">
        <f>EXP(-LN(2)/25)*AA156+(1-EXP(-LN(2)/25))/(LN(2)/25)*Calculateur!V157*Calculateur!X157*VLOOKUP('Données projet'!$B$9,Paramètres!$A$1:$I$89,3,0)*0.475*44/12</f>
        <v>0.38997039001148343</v>
      </c>
      <c r="AB157" s="23">
        <f>EXP(-LN(2)/2)*AB156+(1-EXP(-LN(2)/2))/(LN(2)/2)*V157*Y157*VLOOKUP('Données projet'!$B$9,Paramètres!$A$1:$I$89,3,0)*0.475*44/12</f>
        <v>3.6848568133213728E-18</v>
      </c>
      <c r="AC157" s="24">
        <f t="shared" si="163"/>
        <v>0.87057048685574823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1.0286385077051818E-13</v>
      </c>
      <c r="AK157" s="14">
        <f t="shared" si="164"/>
        <v>1.5402366592183556E-12</v>
      </c>
      <c r="AL157" s="22">
        <f t="shared" si="165"/>
        <v>2.8617333882306215E-12</v>
      </c>
      <c r="AM157" s="62">
        <f t="shared" si="113"/>
        <v>293.33333333333616</v>
      </c>
      <c r="AN157" s="62">
        <f ca="1">AVERAGE(OFFSET($AM$3,0,0,'Données projet'!$E$10+1,1))-AVERAGE(OFFSET($H$3,0,0,'Données projet'!$E$10+1,1))</f>
        <v>371.7282125501186</v>
      </c>
      <c r="AO157" s="62">
        <f t="shared" si="144"/>
        <v>231.36959598460686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8.6713471005246789E-2</v>
      </c>
      <c r="AW157" s="23">
        <f>EXP(-LN(2)/2)*AW156+(1-EXP(-LN(2)/2))/(LN(2)/2)*AQ157*AT157*VLOOKUP('Données projet'!$B$10,Paramètres!$A$1:$I$89,3,0)*0.475*44/12</f>
        <v>2.7212252285126891E-18</v>
      </c>
      <c r="AX157" s="23">
        <f t="shared" si="166"/>
        <v>8.6713471005246789E-2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9.5769792096689348E-14</v>
      </c>
      <c r="BF157" s="14">
        <f t="shared" si="167"/>
        <v>1.4459910566979609E-12</v>
      </c>
      <c r="BG157" s="22">
        <f t="shared" si="168"/>
        <v>2.6852334783173491E-12</v>
      </c>
      <c r="BH157" s="62">
        <f t="shared" si="116"/>
        <v>293.33333333333599</v>
      </c>
      <c r="BI157" s="62">
        <f ca="1">AVERAGE(OFFSET($BH$3,0,0,'Données projet'!$E$11+1,1))-AVERAGE(OFFSET($H$3,0,0,'Données projet'!$E$11+1,1))</f>
        <v>348.82438445524105</v>
      </c>
      <c r="BJ157" s="62">
        <f t="shared" si="146"/>
        <v>218.26721063098552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8.0733231625574498E-2</v>
      </c>
      <c r="BR157" s="23">
        <f>EXP(-LN(2)/2)*BR156+(1-EXP(-LN(2)/2))/(LN(2)/2)*BL157*BO157*VLOOKUP('Données projet'!$B$11,Paramètres!$A$1:$I$89,3,0)*0.475*44/12</f>
        <v>2.5335545230980218E-18</v>
      </c>
      <c r="BS157" s="24">
        <f t="shared" si="169"/>
        <v>8.0733231625574498E-2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-6.7984728957526396E-14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348.62416478262719</v>
      </c>
      <c r="T158" s="62">
        <f t="shared" si="142"/>
        <v>371.70674704563288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0.47117582208226289</v>
      </c>
      <c r="AA158" s="23">
        <f>EXP(-LN(2)/25)*AA157+(1-EXP(-LN(2)/25))/(LN(2)/25)*Calculateur!V158*Calculateur!X158*VLOOKUP('Données projet'!$B$9,Paramètres!$A$1:$I$89,3,0)*0.475*44/12</f>
        <v>0.3793066291889679</v>
      </c>
      <c r="AB158" s="23">
        <f>EXP(-LN(2)/2)*AB157+(1-EXP(-LN(2)/2))/(LN(2)/2)*V158*Y158*VLOOKUP('Données projet'!$B$9,Paramètres!$A$1:$I$89,3,0)*0.475*44/12</f>
        <v>2.6055872404009948E-18</v>
      </c>
      <c r="AC158" s="24">
        <f t="shared" si="163"/>
        <v>0.85048245127123079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1.0286385077051818E-13</v>
      </c>
      <c r="AK158" s="14">
        <f t="shared" si="164"/>
        <v>1.5402366592183556E-12</v>
      </c>
      <c r="AL158" s="22">
        <f t="shared" si="165"/>
        <v>2.8617333882306215E-12</v>
      </c>
      <c r="AM158" s="62">
        <f t="shared" si="113"/>
        <v>293.33333333333616</v>
      </c>
      <c r="AN158" s="62">
        <f ca="1">AVERAGE(OFFSET($AM$3,0,0,'Données projet'!$E$10+1,1))-AVERAGE(OFFSET($H$3,0,0,'Données projet'!$E$10+1,1))</f>
        <v>371.7282125501186</v>
      </c>
      <c r="AO158" s="62">
        <f t="shared" si="144"/>
        <v>231.36959598460686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8.4342286580545059E-2</v>
      </c>
      <c r="AW158" s="23">
        <f>EXP(-LN(2)/2)*AW157+(1-EXP(-LN(2)/2))/(LN(2)/2)*AQ158*AT158*VLOOKUP('Données projet'!$B$10,Paramètres!$A$1:$I$89,3,0)*0.475*44/12</f>
        <v>1.9241968122172348E-18</v>
      </c>
      <c r="AX158" s="23">
        <f t="shared" si="166"/>
        <v>8.4342286580545059E-2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9.5769792096689348E-14</v>
      </c>
      <c r="BF158" s="14">
        <f t="shared" si="167"/>
        <v>1.4459910566979609E-12</v>
      </c>
      <c r="BG158" s="22">
        <f t="shared" si="168"/>
        <v>2.6852334783173491E-12</v>
      </c>
      <c r="BH158" s="62">
        <f t="shared" si="116"/>
        <v>293.33333333333599</v>
      </c>
      <c r="BI158" s="62">
        <f ca="1">AVERAGE(OFFSET($BH$3,0,0,'Données projet'!$E$11+1,1))-AVERAGE(OFFSET($H$3,0,0,'Données projet'!$E$11+1,1))</f>
        <v>348.82438445524105</v>
      </c>
      <c r="BJ158" s="62">
        <f t="shared" si="146"/>
        <v>218.26721063098552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7.8525577161197027E-2</v>
      </c>
      <c r="BR158" s="23">
        <f>EXP(-LN(2)/2)*BR157+(1-EXP(-LN(2)/2))/(LN(2)/2)*BL158*BO158*VLOOKUP('Données projet'!$B$11,Paramètres!$A$1:$I$89,3,0)*0.475*44/12</f>
        <v>1.7914935837884606E-18</v>
      </c>
      <c r="BS158" s="24">
        <f t="shared" si="169"/>
        <v>7.8525577161197027E-2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-6.7984728957526396E-14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348.62416478262719</v>
      </c>
      <c r="T159" s="62">
        <f t="shared" si="142"/>
        <v>371.70674704563288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0.46193635160010388</v>
      </c>
      <c r="AA159" s="23">
        <f>EXP(-LN(2)/25)*AA158+(1-EXP(-LN(2)/25))/(LN(2)/25)*Calculateur!V159*Calculateur!X159*VLOOKUP('Données projet'!$B$9,Paramètres!$A$1:$I$89,3,0)*0.475*44/12</f>
        <v>0.36893446946692687</v>
      </c>
      <c r="AB159" s="23">
        <f>EXP(-LN(2)/2)*AB158+(1-EXP(-LN(2)/2))/(LN(2)/2)*V159*Y159*VLOOKUP('Données projet'!$B$9,Paramètres!$A$1:$I$89,3,0)*0.475*44/12</f>
        <v>1.8424284066606864E-18</v>
      </c>
      <c r="AC159" s="24">
        <f t="shared" si="163"/>
        <v>0.83087082106703081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1.0286385077051818E-13</v>
      </c>
      <c r="AK159" s="14">
        <f t="shared" si="164"/>
        <v>1.5402366592183556E-12</v>
      </c>
      <c r="AL159" s="22">
        <f t="shared" si="165"/>
        <v>2.8617333882306215E-12</v>
      </c>
      <c r="AM159" s="62">
        <f t="shared" si="113"/>
        <v>293.33333333333616</v>
      </c>
      <c r="AN159" s="62">
        <f ca="1">AVERAGE(OFFSET($AM$3,0,0,'Données projet'!$E$10+1,1))-AVERAGE(OFFSET($H$3,0,0,'Données projet'!$E$10+1,1))</f>
        <v>371.7282125501186</v>
      </c>
      <c r="AO159" s="62">
        <f t="shared" si="144"/>
        <v>231.36959598460686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8.2035942318631969E-2</v>
      </c>
      <c r="AW159" s="23">
        <f>EXP(-LN(2)/2)*AW158+(1-EXP(-LN(2)/2))/(LN(2)/2)*AQ159*AT159*VLOOKUP('Données projet'!$B$10,Paramètres!$A$1:$I$89,3,0)*0.475*44/12</f>
        <v>1.3606126142563445E-18</v>
      </c>
      <c r="AX159" s="23">
        <f t="shared" si="166"/>
        <v>8.2035942318631969E-2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9.5769792096689348E-14</v>
      </c>
      <c r="BF159" s="14">
        <f t="shared" si="167"/>
        <v>1.4459910566979609E-12</v>
      </c>
      <c r="BG159" s="22">
        <f t="shared" si="168"/>
        <v>2.6852334783173491E-12</v>
      </c>
      <c r="BH159" s="62">
        <f t="shared" si="116"/>
        <v>293.33333333333599</v>
      </c>
      <c r="BI159" s="62">
        <f ca="1">AVERAGE(OFFSET($BH$3,0,0,'Données projet'!$E$11+1,1))-AVERAGE(OFFSET($H$3,0,0,'Données projet'!$E$11+1,1))</f>
        <v>348.82438445524105</v>
      </c>
      <c r="BJ159" s="62">
        <f t="shared" si="146"/>
        <v>218.26721063098552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7.6378291124243464E-2</v>
      </c>
      <c r="BR159" s="23">
        <f>EXP(-LN(2)/2)*BR158+(1-EXP(-LN(2)/2))/(LN(2)/2)*BL159*BO159*VLOOKUP('Données projet'!$B$11,Paramètres!$A$1:$I$89,3,0)*0.475*44/12</f>
        <v>1.2667772615490109E-18</v>
      </c>
      <c r="BS159" s="24">
        <f t="shared" si="169"/>
        <v>7.6378291124243464E-2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-6.7984728957526396E-14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348.62416478262719</v>
      </c>
      <c r="T160" s="62">
        <f t="shared" si="142"/>
        <v>371.70674704563288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0.45287806149857951</v>
      </c>
      <c r="AA160" s="23">
        <f>EXP(-LN(2)/25)*AA159+(1-EXP(-LN(2)/25))/(LN(2)/25)*Calculateur!V160*Calculateur!X160*VLOOKUP('Données projet'!$B$9,Paramètres!$A$1:$I$89,3,0)*0.475*44/12</f>
        <v>0.35884593699793321</v>
      </c>
      <c r="AB160" s="23">
        <f>EXP(-LN(2)/2)*AB159+(1-EXP(-LN(2)/2))/(LN(2)/2)*V160*Y160*VLOOKUP('Données projet'!$B$9,Paramètres!$A$1:$I$89,3,0)*0.475*44/12</f>
        <v>1.3027936202004974E-18</v>
      </c>
      <c r="AC160" s="24">
        <f t="shared" si="163"/>
        <v>0.81172399849651278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1.0286385077051818E-13</v>
      </c>
      <c r="AK160" s="14">
        <f t="shared" si="164"/>
        <v>1.5402366592183556E-12</v>
      </c>
      <c r="AL160" s="22">
        <f t="shared" si="165"/>
        <v>2.8617333882306215E-12</v>
      </c>
      <c r="AM160" s="62">
        <f t="shared" si="113"/>
        <v>293.33333333333616</v>
      </c>
      <c r="AN160" s="62">
        <f ca="1">AVERAGE(OFFSET($AM$3,0,0,'Données projet'!$E$10+1,1))-AVERAGE(OFFSET($H$3,0,0,'Données projet'!$E$10+1,1))</f>
        <v>371.7282125501186</v>
      </c>
      <c r="AO160" s="62">
        <f t="shared" si="144"/>
        <v>231.36959598460686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7.9792665161846271E-2</v>
      </c>
      <c r="AW160" s="23">
        <f>EXP(-LN(2)/2)*AW159+(1-EXP(-LN(2)/2))/(LN(2)/2)*AQ160*AT160*VLOOKUP('Données projet'!$B$10,Paramètres!$A$1:$I$89,3,0)*0.475*44/12</f>
        <v>9.6209840610861741E-19</v>
      </c>
      <c r="AX160" s="23">
        <f t="shared" si="166"/>
        <v>7.9792665161846271E-2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9.5769792096689348E-14</v>
      </c>
      <c r="BF160" s="14">
        <f t="shared" si="167"/>
        <v>1.4459910566979609E-12</v>
      </c>
      <c r="BG160" s="22">
        <f t="shared" si="168"/>
        <v>2.6852334783173491E-12</v>
      </c>
      <c r="BH160" s="62">
        <f t="shared" si="116"/>
        <v>293.33333333333599</v>
      </c>
      <c r="BI160" s="62">
        <f ca="1">AVERAGE(OFFSET($BH$3,0,0,'Données projet'!$E$11+1,1))-AVERAGE(OFFSET($H$3,0,0,'Données projet'!$E$11+1,1))</f>
        <v>348.82438445524105</v>
      </c>
      <c r="BJ160" s="62">
        <f t="shared" si="146"/>
        <v>218.26721063098552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7.4289722736891259E-2</v>
      </c>
      <c r="BR160" s="23">
        <f>EXP(-LN(2)/2)*BR159+(1-EXP(-LN(2)/2))/(LN(2)/2)*BL160*BO160*VLOOKUP('Données projet'!$B$11,Paramètres!$A$1:$I$89,3,0)*0.475*44/12</f>
        <v>8.957467918942303E-19</v>
      </c>
      <c r="BS160" s="24">
        <f t="shared" si="169"/>
        <v>7.4289722736891259E-2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-6.7984728957526396E-14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348.62416478262719</v>
      </c>
      <c r="T161" s="62">
        <f t="shared" si="142"/>
        <v>371.70674704563288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0.4439973989409346</v>
      </c>
      <c r="AA161" s="23">
        <f>EXP(-LN(2)/25)*AA160+(1-EXP(-LN(2)/25))/(LN(2)/25)*Calculateur!V161*Calculateur!X161*VLOOKUP('Données projet'!$B$9,Paramètres!$A$1:$I$89,3,0)*0.475*44/12</f>
        <v>0.34903327597983708</v>
      </c>
      <c r="AB161" s="23">
        <f>EXP(-LN(2)/2)*AB160+(1-EXP(-LN(2)/2))/(LN(2)/2)*V161*Y161*VLOOKUP('Données projet'!$B$9,Paramètres!$A$1:$I$89,3,0)*0.475*44/12</f>
        <v>9.2121420333034321E-19</v>
      </c>
      <c r="AC161" s="24">
        <f t="shared" si="163"/>
        <v>0.79303067492077162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1.0286385077051818E-13</v>
      </c>
      <c r="AK161" s="14">
        <f t="shared" si="164"/>
        <v>1.5402366592183556E-12</v>
      </c>
      <c r="AL161" s="22">
        <f t="shared" si="165"/>
        <v>2.8617333882306215E-12</v>
      </c>
      <c r="AM161" s="62">
        <f t="shared" si="113"/>
        <v>293.33333333333616</v>
      </c>
      <c r="AN161" s="62">
        <f ca="1">AVERAGE(OFFSET($AM$3,0,0,'Données projet'!$E$10+1,1))-AVERAGE(OFFSET($H$3,0,0,'Données projet'!$E$10+1,1))</f>
        <v>371.7282125501186</v>
      </c>
      <c r="AO161" s="62">
        <f t="shared" si="144"/>
        <v>231.36959598460686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7.7610730536881695E-2</v>
      </c>
      <c r="AW161" s="23">
        <f>EXP(-LN(2)/2)*AW160+(1-EXP(-LN(2)/2))/(LN(2)/2)*AQ161*AT161*VLOOKUP('Données projet'!$B$10,Paramètres!$A$1:$I$89,3,0)*0.475*44/12</f>
        <v>6.8030630712817227E-19</v>
      </c>
      <c r="AX161" s="23">
        <f t="shared" si="166"/>
        <v>7.7610730536881695E-2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9.5769792096689348E-14</v>
      </c>
      <c r="BF161" s="14">
        <f t="shared" si="167"/>
        <v>1.4459910566979609E-12</v>
      </c>
      <c r="BG161" s="22">
        <f t="shared" si="168"/>
        <v>2.6852334783173491E-12</v>
      </c>
      <c r="BH161" s="62">
        <f t="shared" si="116"/>
        <v>293.33333333333599</v>
      </c>
      <c r="BI161" s="62">
        <f ca="1">AVERAGE(OFFSET($BH$3,0,0,'Données projet'!$E$11+1,1))-AVERAGE(OFFSET($H$3,0,0,'Données projet'!$E$11+1,1))</f>
        <v>348.82438445524105</v>
      </c>
      <c r="BJ161" s="62">
        <f t="shared" si="146"/>
        <v>218.26721063098552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7.2258266361924242E-2</v>
      </c>
      <c r="BR161" s="23">
        <f>EXP(-LN(2)/2)*BR160+(1-EXP(-LN(2)/2))/(LN(2)/2)*BL161*BO161*VLOOKUP('Données projet'!$B$11,Paramètres!$A$1:$I$89,3,0)*0.475*44/12</f>
        <v>6.3338863077450545E-19</v>
      </c>
      <c r="BS161" s="24">
        <f t="shared" si="169"/>
        <v>7.2258266361924242E-2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-6.7984728957526396E-14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348.62416478262719</v>
      </c>
      <c r="T162" s="62">
        <f t="shared" si="142"/>
        <v>371.70674704563288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0.43529088075937578</v>
      </c>
      <c r="AA162" s="23">
        <f>EXP(-LN(2)/25)*AA161+(1-EXP(-LN(2)/25))/(LN(2)/25)*Calculateur!V162*Calculateur!X162*VLOOKUP('Données projet'!$B$9,Paramètres!$A$1:$I$89,3,0)*0.475*44/12</f>
        <v>0.33948894269330615</v>
      </c>
      <c r="AB162" s="23">
        <f>EXP(-LN(2)/2)*AB161+(1-EXP(-LN(2)/2))/(LN(2)/2)*V162*Y162*VLOOKUP('Données projet'!$B$9,Paramètres!$A$1:$I$89,3,0)*0.475*44/12</f>
        <v>6.513968101002487E-19</v>
      </c>
      <c r="AC162" s="24">
        <f t="shared" si="163"/>
        <v>0.77477982345268193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1.0286385077051818E-13</v>
      </c>
      <c r="AK162" s="14">
        <f t="shared" si="164"/>
        <v>1.5402366592183556E-12</v>
      </c>
      <c r="AL162" s="22">
        <f t="shared" si="165"/>
        <v>2.8617333882306215E-12</v>
      </c>
      <c r="AM162" s="62">
        <f t="shared" si="113"/>
        <v>293.33333333333616</v>
      </c>
      <c r="AN162" s="62">
        <f ca="1">AVERAGE(OFFSET($AM$3,0,0,'Données projet'!$E$10+1,1))-AVERAGE(OFFSET($H$3,0,0,'Données projet'!$E$10+1,1))</f>
        <v>371.7282125501186</v>
      </c>
      <c r="AO162" s="62">
        <f t="shared" si="144"/>
        <v>231.36959598460686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7.5488461028979728E-2</v>
      </c>
      <c r="AW162" s="23">
        <f>EXP(-LN(2)/2)*AW161+(1-EXP(-LN(2)/2))/(LN(2)/2)*AQ162*AT162*VLOOKUP('Données projet'!$B$10,Paramètres!$A$1:$I$89,3,0)*0.475*44/12</f>
        <v>4.8104920305430871E-19</v>
      </c>
      <c r="AX162" s="23">
        <f t="shared" si="166"/>
        <v>7.5488461028979728E-2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9.5769792096689348E-14</v>
      </c>
      <c r="BF162" s="14">
        <f t="shared" si="167"/>
        <v>1.4459910566979609E-12</v>
      </c>
      <c r="BG162" s="22">
        <f t="shared" si="168"/>
        <v>2.6852334783173491E-12</v>
      </c>
      <c r="BH162" s="62">
        <f t="shared" si="116"/>
        <v>293.33333333333599</v>
      </c>
      <c r="BI162" s="62">
        <f ca="1">AVERAGE(OFFSET($BH$3,0,0,'Données projet'!$E$11+1,1))-AVERAGE(OFFSET($H$3,0,0,'Données projet'!$E$11+1,1))</f>
        <v>348.82438445524105</v>
      </c>
      <c r="BJ162" s="62">
        <f t="shared" si="146"/>
        <v>218.26721063098552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7.028236026836035E-2</v>
      </c>
      <c r="BR162" s="23">
        <f>EXP(-LN(2)/2)*BR161+(1-EXP(-LN(2)/2))/(LN(2)/2)*BL162*BO162*VLOOKUP('Données projet'!$B$11,Paramètres!$A$1:$I$89,3,0)*0.475*44/12</f>
        <v>4.4787339594711515E-19</v>
      </c>
      <c r="BS162" s="24">
        <f t="shared" si="169"/>
        <v>7.028236026836035E-2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-6.7984728957526396E-14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348.62416478262719</v>
      </c>
      <c r="T163" s="62">
        <f t="shared" si="142"/>
        <v>371.70674704563288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0.42675509208890561</v>
      </c>
      <c r="AA163" s="23">
        <f>EXP(-LN(2)/25)*AA162+(1-EXP(-LN(2)/25))/(LN(2)/25)*Calculateur!V163*Calculateur!X163*VLOOKUP('Données projet'!$B$9,Paramètres!$A$1:$I$89,3,0)*0.475*44/12</f>
        <v>0.33020559970241009</v>
      </c>
      <c r="AB163" s="23">
        <f>EXP(-LN(2)/2)*AB162+(1-EXP(-LN(2)/2))/(LN(2)/2)*V163*Y163*VLOOKUP('Données projet'!$B$9,Paramètres!$A$1:$I$89,3,0)*0.475*44/12</f>
        <v>4.6060710166517161E-19</v>
      </c>
      <c r="AC163" s="24">
        <f t="shared" si="163"/>
        <v>0.75696069179131564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1.0286385077051818E-13</v>
      </c>
      <c r="AK163" s="14">
        <f t="shared" si="164"/>
        <v>1.5402366592183556E-12</v>
      </c>
      <c r="AL163" s="22">
        <f t="shared" si="165"/>
        <v>2.8617333882306215E-12</v>
      </c>
      <c r="AM163" s="62">
        <f t="shared" si="113"/>
        <v>293.33333333333616</v>
      </c>
      <c r="AN163" s="62">
        <f ca="1">AVERAGE(OFFSET($AM$3,0,0,'Données projet'!$E$10+1,1))-AVERAGE(OFFSET($H$3,0,0,'Données projet'!$E$10+1,1))</f>
        <v>371.7282125501186</v>
      </c>
      <c r="AO163" s="62">
        <f t="shared" si="144"/>
        <v>231.36959598460686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7.3424225092376644E-2</v>
      </c>
      <c r="AW163" s="23">
        <f>EXP(-LN(2)/2)*AW162+(1-EXP(-LN(2)/2))/(LN(2)/2)*AQ163*AT163*VLOOKUP('Données projet'!$B$10,Paramètres!$A$1:$I$89,3,0)*0.475*44/12</f>
        <v>3.4015315356408614E-19</v>
      </c>
      <c r="AX163" s="23">
        <f t="shared" si="166"/>
        <v>7.3424225092376644E-2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9.5769792096689348E-14</v>
      </c>
      <c r="BF163" s="14">
        <f t="shared" si="167"/>
        <v>1.4459910566979609E-12</v>
      </c>
      <c r="BG163" s="22">
        <f t="shared" si="168"/>
        <v>2.6852334783173491E-12</v>
      </c>
      <c r="BH163" s="62">
        <f t="shared" si="116"/>
        <v>293.33333333333599</v>
      </c>
      <c r="BI163" s="62">
        <f ca="1">AVERAGE(OFFSET($BH$3,0,0,'Données projet'!$E$11+1,1))-AVERAGE(OFFSET($H$3,0,0,'Données projet'!$E$11+1,1))</f>
        <v>348.82438445524105</v>
      </c>
      <c r="BJ163" s="62">
        <f t="shared" si="146"/>
        <v>218.26721063098552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6.836048543083334E-2</v>
      </c>
      <c r="BR163" s="23">
        <f>EXP(-LN(2)/2)*BR162+(1-EXP(-LN(2)/2))/(LN(2)/2)*BL163*BO163*VLOOKUP('Données projet'!$B$11,Paramètres!$A$1:$I$89,3,0)*0.475*44/12</f>
        <v>3.1669431538725273E-19</v>
      </c>
      <c r="BS163" s="24">
        <f t="shared" si="169"/>
        <v>6.836048543083334E-2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-6.7984728957526396E-14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348.62416478262719</v>
      </c>
      <c r="T164" s="62">
        <f t="shared" si="142"/>
        <v>371.70674704563288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0.41838668502794635</v>
      </c>
      <c r="AA164" s="23">
        <f>EXP(-LN(2)/25)*AA163+(1-EXP(-LN(2)/25))/(LN(2)/25)*Calculateur!V164*Calculateur!X164*VLOOKUP('Données projet'!$B$9,Paramètres!$A$1:$I$89,3,0)*0.475*44/12</f>
        <v>0.32117611021378989</v>
      </c>
      <c r="AB164" s="23">
        <f>EXP(-LN(2)/2)*AB163+(1-EXP(-LN(2)/2))/(LN(2)/2)*V164*Y164*VLOOKUP('Données projet'!$B$9,Paramètres!$A$1:$I$89,3,0)*0.475*44/12</f>
        <v>3.2569840505012435E-19</v>
      </c>
      <c r="AC164" s="24">
        <f t="shared" si="163"/>
        <v>0.73956279524173629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1.0286385077051818E-13</v>
      </c>
      <c r="AK164" s="14">
        <f t="shared" si="164"/>
        <v>1.5402366592183556E-12</v>
      </c>
      <c r="AL164" s="22">
        <f t="shared" si="165"/>
        <v>2.8617333882306215E-12</v>
      </c>
      <c r="AM164" s="62">
        <f t="shared" si="113"/>
        <v>293.33333333333616</v>
      </c>
      <c r="AN164" s="62">
        <f ca="1">AVERAGE(OFFSET($AM$3,0,0,'Données projet'!$E$10+1,1))-AVERAGE(OFFSET($H$3,0,0,'Données projet'!$E$10+1,1))</f>
        <v>371.7282125501186</v>
      </c>
      <c r="AO164" s="62">
        <f t="shared" si="144"/>
        <v>231.36959598460686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7.1416435796013422E-2</v>
      </c>
      <c r="AW164" s="23">
        <f>EXP(-LN(2)/2)*AW163+(1-EXP(-LN(2)/2))/(LN(2)/2)*AQ164*AT164*VLOOKUP('Données projet'!$B$10,Paramètres!$A$1:$I$89,3,0)*0.475*44/12</f>
        <v>2.4052460152715435E-19</v>
      </c>
      <c r="AX164" s="23">
        <f t="shared" si="166"/>
        <v>7.1416435796013422E-2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9.5769792096689348E-14</v>
      </c>
      <c r="BF164" s="14">
        <f t="shared" si="167"/>
        <v>1.4459910566979609E-12</v>
      </c>
      <c r="BG164" s="22">
        <f t="shared" si="168"/>
        <v>2.6852334783173491E-12</v>
      </c>
      <c r="BH164" s="62">
        <f t="shared" si="116"/>
        <v>293.33333333333599</v>
      </c>
      <c r="BI164" s="62">
        <f ca="1">AVERAGE(OFFSET($BH$3,0,0,'Données projet'!$E$11+1,1))-AVERAGE(OFFSET($H$3,0,0,'Données projet'!$E$11+1,1))</f>
        <v>348.82438445524105</v>
      </c>
      <c r="BJ164" s="62">
        <f t="shared" si="146"/>
        <v>218.26721063098552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6.6491164361805508E-2</v>
      </c>
      <c r="BR164" s="23">
        <f>EXP(-LN(2)/2)*BR163+(1-EXP(-LN(2)/2))/(LN(2)/2)*BL164*BO164*VLOOKUP('Données projet'!$B$11,Paramètres!$A$1:$I$89,3,0)*0.475*44/12</f>
        <v>2.2393669797355758E-19</v>
      </c>
      <c r="BS164" s="24">
        <f t="shared" si="169"/>
        <v>6.6491164361805508E-2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-6.7984728957526396E-14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348.62416478262719</v>
      </c>
      <c r="T165" s="62">
        <f t="shared" si="142"/>
        <v>371.70674704563288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0.41018237732522822</v>
      </c>
      <c r="AA165" s="23">
        <f>EXP(-LN(2)/25)*AA164+(1-EXP(-LN(2)/25))/(LN(2)/25)*Calculateur!V165*Calculateur!X165*VLOOKUP('Données projet'!$B$9,Paramètres!$A$1:$I$89,3,0)*0.475*44/12</f>
        <v>0.31239353259007624</v>
      </c>
      <c r="AB165" s="23">
        <f>EXP(-LN(2)/2)*AB164+(1-EXP(-LN(2)/2))/(LN(2)/2)*V165*Y165*VLOOKUP('Données projet'!$B$9,Paramètres!$A$1:$I$89,3,0)*0.475*44/12</f>
        <v>2.303035508325858E-19</v>
      </c>
      <c r="AC165" s="24">
        <f t="shared" si="163"/>
        <v>0.7225759099153044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1.0286385077051818E-13</v>
      </c>
      <c r="AK165" s="14">
        <f t="shared" si="164"/>
        <v>1.5402366592183556E-12</v>
      </c>
      <c r="AL165" s="22">
        <f t="shared" si="165"/>
        <v>2.8617333882306215E-12</v>
      </c>
      <c r="AM165" s="62">
        <f t="shared" si="113"/>
        <v>293.33333333333616</v>
      </c>
      <c r="AN165" s="62">
        <f ca="1">AVERAGE(OFFSET($AM$3,0,0,'Données projet'!$E$10+1,1))-AVERAGE(OFFSET($H$3,0,0,'Données projet'!$E$10+1,1))</f>
        <v>371.7282125501186</v>
      </c>
      <c r="AO165" s="62">
        <f t="shared" si="144"/>
        <v>231.36959598460686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6.9463549603544297E-2</v>
      </c>
      <c r="AW165" s="23">
        <f>EXP(-LN(2)/2)*AW164+(1-EXP(-LN(2)/2))/(LN(2)/2)*AQ165*AT165*VLOOKUP('Données projet'!$B$10,Paramètres!$A$1:$I$89,3,0)*0.475*44/12</f>
        <v>1.7007657678204307E-19</v>
      </c>
      <c r="AX165" s="23">
        <f t="shared" si="166"/>
        <v>6.9463549603544297E-2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9.5769792096689348E-14</v>
      </c>
      <c r="BF165" s="14">
        <f t="shared" si="167"/>
        <v>1.4459910566979609E-12</v>
      </c>
      <c r="BG165" s="22">
        <f t="shared" si="168"/>
        <v>2.6852334783173491E-12</v>
      </c>
      <c r="BH165" s="62">
        <f t="shared" si="116"/>
        <v>293.33333333333599</v>
      </c>
      <c r="BI165" s="62">
        <f ca="1">AVERAGE(OFFSET($BH$3,0,0,'Données projet'!$E$11+1,1))-AVERAGE(OFFSET($H$3,0,0,'Données projet'!$E$11+1,1))</f>
        <v>348.82438445524105</v>
      </c>
      <c r="BJ165" s="62">
        <f t="shared" si="146"/>
        <v>218.26721063098552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6.4672959975713568E-2</v>
      </c>
      <c r="BR165" s="23">
        <f>EXP(-LN(2)/2)*BR164+(1-EXP(-LN(2)/2))/(LN(2)/2)*BL165*BO165*VLOOKUP('Données projet'!$B$11,Paramètres!$A$1:$I$89,3,0)*0.475*44/12</f>
        <v>1.5834715769362636E-19</v>
      </c>
      <c r="BS165" s="24">
        <f t="shared" si="169"/>
        <v>6.4672959975713568E-2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-6.7984728957526396E-14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348.62416478262719</v>
      </c>
      <c r="T166" s="62">
        <f t="shared" si="142"/>
        <v>371.70674704563288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0.40213895109242681</v>
      </c>
      <c r="AA166" s="23">
        <f>EXP(-LN(2)/25)*AA165+(1-EXP(-LN(2)/25))/(LN(2)/25)*Calculateur!V166*Calculateur!X166*VLOOKUP('Données projet'!$B$9,Paramètres!$A$1:$I$89,3,0)*0.475*44/12</f>
        <v>0.30385111501333872</v>
      </c>
      <c r="AB166" s="23">
        <f>EXP(-LN(2)/2)*AB165+(1-EXP(-LN(2)/2))/(LN(2)/2)*V166*Y166*VLOOKUP('Données projet'!$B$9,Paramètres!$A$1:$I$89,3,0)*0.475*44/12</f>
        <v>1.6284920252506217E-19</v>
      </c>
      <c r="AC166" s="24">
        <f t="shared" si="163"/>
        <v>0.70599006610576553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1.0286385077051818E-13</v>
      </c>
      <c r="AK166" s="14">
        <f t="shared" si="164"/>
        <v>1.5402366592183556E-12</v>
      </c>
      <c r="AL166" s="22">
        <f t="shared" si="165"/>
        <v>2.8617333882306215E-12</v>
      </c>
      <c r="AM166" s="62">
        <f t="shared" si="113"/>
        <v>293.33333333333616</v>
      </c>
      <c r="AN166" s="62">
        <f ca="1">AVERAGE(OFFSET($AM$3,0,0,'Données projet'!$E$10+1,1))-AVERAGE(OFFSET($H$3,0,0,'Données projet'!$E$10+1,1))</f>
        <v>371.7282125501186</v>
      </c>
      <c r="AO166" s="62">
        <f t="shared" si="144"/>
        <v>231.36959598460686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6.756406518670606E-2</v>
      </c>
      <c r="AW166" s="23">
        <f>EXP(-LN(2)/2)*AW165+(1-EXP(-LN(2)/2))/(LN(2)/2)*AQ166*AT166*VLOOKUP('Données projet'!$B$10,Paramètres!$A$1:$I$89,3,0)*0.475*44/12</f>
        <v>1.2026230076357718E-19</v>
      </c>
      <c r="AX166" s="23">
        <f t="shared" si="166"/>
        <v>6.756406518670606E-2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9.5769792096689348E-14</v>
      </c>
      <c r="BF166" s="14">
        <f t="shared" si="167"/>
        <v>1.4459910566979609E-12</v>
      </c>
      <c r="BG166" s="22">
        <f t="shared" si="168"/>
        <v>2.6852334783173491E-12</v>
      </c>
      <c r="BH166" s="62">
        <f t="shared" si="116"/>
        <v>293.33333333333599</v>
      </c>
      <c r="BI166" s="62">
        <f ca="1">AVERAGE(OFFSET($BH$3,0,0,'Données projet'!$E$11+1,1))-AVERAGE(OFFSET($H$3,0,0,'Données projet'!$E$11+1,1))</f>
        <v>348.82438445524105</v>
      </c>
      <c r="BJ166" s="62">
        <f t="shared" si="146"/>
        <v>218.26721063098552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6.2904474484174522E-2</v>
      </c>
      <c r="BR166" s="23">
        <f>EXP(-LN(2)/2)*BR165+(1-EXP(-LN(2)/2))/(LN(2)/2)*BL166*BO166*VLOOKUP('Données projet'!$B$11,Paramètres!$A$1:$I$89,3,0)*0.475*44/12</f>
        <v>1.1196834898677879E-19</v>
      </c>
      <c r="BS166" s="24">
        <f t="shared" si="169"/>
        <v>6.2904474484174522E-2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-6.7984728957526396E-14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348.62416478262719</v>
      </c>
      <c r="T167" s="62">
        <f t="shared" si="142"/>
        <v>371.70674704563288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0.39425325154204505</v>
      </c>
      <c r="AA167" s="23">
        <f>EXP(-LN(2)/25)*AA166+(1-EXP(-LN(2)/25))/(LN(2)/25)*Calculateur!V167*Calculateur!X167*VLOOKUP('Données projet'!$B$9,Paramètres!$A$1:$I$89,3,0)*0.475*44/12</f>
        <v>0.29554229029446327</v>
      </c>
      <c r="AB167" s="23">
        <f>EXP(-LN(2)/2)*AB166+(1-EXP(-LN(2)/2))/(LN(2)/2)*V167*Y167*VLOOKUP('Données projet'!$B$9,Paramètres!$A$1:$I$89,3,0)*0.475*44/12</f>
        <v>1.151517754162929E-19</v>
      </c>
      <c r="AC167" s="24">
        <f t="shared" si="163"/>
        <v>0.68979554183650826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1.0286385077051818E-13</v>
      </c>
      <c r="AK167" s="14">
        <f t="shared" si="164"/>
        <v>1.5402366592183556E-12</v>
      </c>
      <c r="AL167" s="22">
        <f t="shared" si="165"/>
        <v>2.8617333882306215E-12</v>
      </c>
      <c r="AM167" s="62">
        <f t="shared" si="113"/>
        <v>293.33333333333616</v>
      </c>
      <c r="AN167" s="62">
        <f ca="1">AVERAGE(OFFSET($AM$3,0,0,'Données projet'!$E$10+1,1))-AVERAGE(OFFSET($H$3,0,0,'Données projet'!$E$10+1,1))</f>
        <v>371.7282125501186</v>
      </c>
      <c r="AO167" s="62">
        <f t="shared" si="144"/>
        <v>231.36959598460686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6.5716522271135808E-2</v>
      </c>
      <c r="AW167" s="23">
        <f>EXP(-LN(2)/2)*AW166+(1-EXP(-LN(2)/2))/(LN(2)/2)*AQ167*AT167*VLOOKUP('Données projet'!$B$10,Paramètres!$A$1:$I$89,3,0)*0.475*44/12</f>
        <v>8.5038288391021534E-20</v>
      </c>
      <c r="AX167" s="23">
        <f t="shared" si="166"/>
        <v>6.5716522271135808E-2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9.5769792096689348E-14</v>
      </c>
      <c r="BF167" s="14">
        <f t="shared" si="167"/>
        <v>1.4459910566979609E-12</v>
      </c>
      <c r="BG167" s="22">
        <f t="shared" si="168"/>
        <v>2.6852334783173491E-12</v>
      </c>
      <c r="BH167" s="62">
        <f t="shared" si="116"/>
        <v>293.33333333333599</v>
      </c>
      <c r="BI167" s="62">
        <f ca="1">AVERAGE(OFFSET($BH$3,0,0,'Données projet'!$E$11+1,1))-AVERAGE(OFFSET($H$3,0,0,'Données projet'!$E$11+1,1))</f>
        <v>348.82438445524105</v>
      </c>
      <c r="BJ167" s="62">
        <f t="shared" si="146"/>
        <v>218.26721063098552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6.1184348321402224E-2</v>
      </c>
      <c r="BR167" s="23">
        <f>EXP(-LN(2)/2)*BR166+(1-EXP(-LN(2)/2))/(LN(2)/2)*BL167*BO167*VLOOKUP('Données projet'!$B$11,Paramètres!$A$1:$I$89,3,0)*0.475*44/12</f>
        <v>7.9173578846813181E-20</v>
      </c>
      <c r="BS167" s="24">
        <f t="shared" si="169"/>
        <v>6.1184348321402224E-2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-6.7984728957526396E-14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348.62416478262719</v>
      </c>
      <c r="T168" s="62">
        <f t="shared" si="142"/>
        <v>371.70674704563288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0.38652218575004449</v>
      </c>
      <c r="AA168" s="23">
        <f>EXP(-LN(2)/25)*AA167+(1-EXP(-LN(2)/25))/(LN(2)/25)*Calculateur!V168*Calculateur!X168*VLOOKUP('Données projet'!$B$9,Paramètres!$A$1:$I$89,3,0)*0.475*44/12</f>
        <v>0.28746067082446758</v>
      </c>
      <c r="AB168" s="23">
        <f>EXP(-LN(2)/2)*AB167+(1-EXP(-LN(2)/2))/(LN(2)/2)*V168*Y168*VLOOKUP('Données projet'!$B$9,Paramètres!$A$1:$I$89,3,0)*0.475*44/12</f>
        <v>8.1424601262531087E-20</v>
      </c>
      <c r="AC168" s="24">
        <f t="shared" si="163"/>
        <v>0.67398285657451207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1.0286385077051818E-13</v>
      </c>
      <c r="AK168" s="14">
        <f t="shared" si="164"/>
        <v>1.5402366592183556E-12</v>
      </c>
      <c r="AL168" s="22">
        <f t="shared" si="165"/>
        <v>2.8617333882306215E-12</v>
      </c>
      <c r="AM168" s="62">
        <f t="shared" si="113"/>
        <v>293.33333333333616</v>
      </c>
      <c r="AN168" s="62">
        <f ca="1">AVERAGE(OFFSET($AM$3,0,0,'Données projet'!$E$10+1,1))-AVERAGE(OFFSET($H$3,0,0,'Données projet'!$E$10+1,1))</f>
        <v>371.7282125501186</v>
      </c>
      <c r="AO168" s="62">
        <f t="shared" si="144"/>
        <v>231.36959598460686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6.3919500513749894E-2</v>
      </c>
      <c r="AW168" s="23">
        <f>EXP(-LN(2)/2)*AW167+(1-EXP(-LN(2)/2))/(LN(2)/2)*AQ168*AT168*VLOOKUP('Données projet'!$B$10,Paramètres!$A$1:$I$89,3,0)*0.475*44/12</f>
        <v>6.0131150381788588E-20</v>
      </c>
      <c r="AX168" s="23">
        <f t="shared" si="166"/>
        <v>6.3919500513749894E-2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9.5769792096689348E-14</v>
      </c>
      <c r="BF168" s="14">
        <f t="shared" si="167"/>
        <v>1.4459910566979609E-12</v>
      </c>
      <c r="BG168" s="22">
        <f t="shared" si="168"/>
        <v>2.6852334783173491E-12</v>
      </c>
      <c r="BH168" s="62">
        <f t="shared" si="116"/>
        <v>293.33333333333599</v>
      </c>
      <c r="BI168" s="62">
        <f ca="1">AVERAGE(OFFSET($BH$3,0,0,'Données projet'!$E$11+1,1))-AVERAGE(OFFSET($H$3,0,0,'Données projet'!$E$11+1,1))</f>
        <v>348.82438445524105</v>
      </c>
      <c r="BJ168" s="62">
        <f t="shared" si="146"/>
        <v>218.26721063098552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5.9511259099008437E-2</v>
      </c>
      <c r="BR168" s="23">
        <f>EXP(-LN(2)/2)*BR167+(1-EXP(-LN(2)/2))/(LN(2)/2)*BL168*BO168*VLOOKUP('Données projet'!$B$11,Paramètres!$A$1:$I$89,3,0)*0.475*44/12</f>
        <v>5.5984174493389394E-20</v>
      </c>
      <c r="BS168" s="24">
        <f t="shared" si="169"/>
        <v>5.9511259099008437E-2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-6.7984728957526396E-14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348.62416478262719</v>
      </c>
      <c r="T169" s="62">
        <f t="shared" si="142"/>
        <v>371.70674704563288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0.37894272144274055</v>
      </c>
      <c r="AA169" s="23">
        <f>EXP(-LN(2)/25)*AA168+(1-EXP(-LN(2)/25))/(LN(2)/25)*Calculateur!V169*Calculateur!X169*VLOOKUP('Données projet'!$B$9,Paramètres!$A$1:$I$89,3,0)*0.475*44/12</f>
        <v>0.27960004366387281</v>
      </c>
      <c r="AB169" s="23">
        <f>EXP(-LN(2)/2)*AB168+(1-EXP(-LN(2)/2))/(LN(2)/2)*V169*Y169*VLOOKUP('Données projet'!$B$9,Paramètres!$A$1:$I$89,3,0)*0.475*44/12</f>
        <v>5.7575887708146451E-20</v>
      </c>
      <c r="AC169" s="24">
        <f t="shared" si="163"/>
        <v>0.65854276510661336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1.0286385077051818E-13</v>
      </c>
      <c r="AK169" s="14">
        <f t="shared" si="164"/>
        <v>1.5402366592183556E-12</v>
      </c>
      <c r="AL169" s="22">
        <f t="shared" si="165"/>
        <v>2.8617333882306215E-12</v>
      </c>
      <c r="AM169" s="62">
        <f t="shared" si="113"/>
        <v>293.33333333333616</v>
      </c>
      <c r="AN169" s="62">
        <f ca="1">AVERAGE(OFFSET($AM$3,0,0,'Données projet'!$E$10+1,1))-AVERAGE(OFFSET($H$3,0,0,'Données projet'!$E$10+1,1))</f>
        <v>371.7282125501186</v>
      </c>
      <c r="AO169" s="62">
        <f t="shared" si="144"/>
        <v>231.36959598460686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6.2171618410820959E-2</v>
      </c>
      <c r="AW169" s="23">
        <f>EXP(-LN(2)/2)*AW168+(1-EXP(-LN(2)/2))/(LN(2)/2)*AQ169*AT169*VLOOKUP('Données projet'!$B$10,Paramètres!$A$1:$I$89,3,0)*0.475*44/12</f>
        <v>4.2519144195510767E-20</v>
      </c>
      <c r="AX169" s="23">
        <f t="shared" si="166"/>
        <v>6.2171618410820959E-2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9.5769792096689348E-14</v>
      </c>
      <c r="BF169" s="14">
        <f t="shared" si="167"/>
        <v>1.4459910566979609E-12</v>
      </c>
      <c r="BG169" s="22">
        <f t="shared" si="168"/>
        <v>2.6852334783173491E-12</v>
      </c>
      <c r="BH169" s="62">
        <f t="shared" si="116"/>
        <v>293.33333333333599</v>
      </c>
      <c r="BI169" s="62">
        <f ca="1">AVERAGE(OFFSET($BH$3,0,0,'Données projet'!$E$11+1,1))-AVERAGE(OFFSET($H$3,0,0,'Données projet'!$E$11+1,1))</f>
        <v>348.82438445524105</v>
      </c>
      <c r="BJ169" s="62">
        <f t="shared" si="146"/>
        <v>218.26721063098552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5.7883920589384949E-2</v>
      </c>
      <c r="BR169" s="23">
        <f>EXP(-LN(2)/2)*BR168+(1-EXP(-LN(2)/2))/(LN(2)/2)*BL169*BO169*VLOOKUP('Données projet'!$B$11,Paramètres!$A$1:$I$89,3,0)*0.475*44/12</f>
        <v>3.9586789423406591E-20</v>
      </c>
      <c r="BS169" s="24">
        <f t="shared" si="169"/>
        <v>5.7883920589384949E-2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-6.7984728957526396E-14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348.62416478262719</v>
      </c>
      <c r="T170" s="62">
        <f t="shared" si="142"/>
        <v>371.70674704563288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0.37151188580748606</v>
      </c>
      <c r="AA170" s="23">
        <f>EXP(-LN(2)/25)*AA169+(1-EXP(-LN(2)/25))/(LN(2)/25)*Calculateur!V170*Calculateur!X170*VLOOKUP('Données projet'!$B$9,Paramètres!$A$1:$I$89,3,0)*0.475*44/12</f>
        <v>0.27195436576635695</v>
      </c>
      <c r="AB170" s="23">
        <f>EXP(-LN(2)/2)*AB169+(1-EXP(-LN(2)/2))/(LN(2)/2)*V170*Y170*VLOOKUP('Données projet'!$B$9,Paramètres!$A$1:$I$89,3,0)*0.475*44/12</f>
        <v>4.0712300631265544E-20</v>
      </c>
      <c r="AC170" s="24">
        <f t="shared" si="163"/>
        <v>0.64346625157384296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1.0286385077051818E-13</v>
      </c>
      <c r="AK170" s="14">
        <f t="shared" si="164"/>
        <v>1.5402366592183556E-12</v>
      </c>
      <c r="AL170" s="22">
        <f t="shared" si="165"/>
        <v>2.8617333882306215E-12</v>
      </c>
      <c r="AM170" s="62">
        <f t="shared" si="113"/>
        <v>293.33333333333616</v>
      </c>
      <c r="AN170" s="62">
        <f ca="1">AVERAGE(OFFSET($AM$3,0,0,'Données projet'!$E$10+1,1))-AVERAGE(OFFSET($H$3,0,0,'Données projet'!$E$10+1,1))</f>
        <v>371.7282125501186</v>
      </c>
      <c r="AO170" s="62">
        <f t="shared" si="144"/>
        <v>231.36959598460686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6.0471532235913741E-2</v>
      </c>
      <c r="AW170" s="23">
        <f>EXP(-LN(2)/2)*AW169+(1-EXP(-LN(2)/2))/(LN(2)/2)*AQ170*AT170*VLOOKUP('Données projet'!$B$10,Paramètres!$A$1:$I$89,3,0)*0.475*44/12</f>
        <v>3.0065575190894294E-20</v>
      </c>
      <c r="AX170" s="23">
        <f t="shared" si="166"/>
        <v>6.0471532235913741E-2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9.5769792096689348E-14</v>
      </c>
      <c r="BF170" s="14">
        <f t="shared" si="167"/>
        <v>1.4459910566979609E-12</v>
      </c>
      <c r="BG170" s="22">
        <f t="shared" si="168"/>
        <v>2.6852334783173491E-12</v>
      </c>
      <c r="BH170" s="62">
        <f t="shared" si="116"/>
        <v>293.33333333333599</v>
      </c>
      <c r="BI170" s="62">
        <f ca="1">AVERAGE(OFFSET($BH$3,0,0,'Données projet'!$E$11+1,1))-AVERAGE(OFFSET($H$3,0,0,'Données projet'!$E$11+1,1))</f>
        <v>348.82438445524105</v>
      </c>
      <c r="BJ170" s="62">
        <f t="shared" si="146"/>
        <v>218.26721063098552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5.6301081736885132E-2</v>
      </c>
      <c r="BR170" s="23">
        <f>EXP(-LN(2)/2)*BR169+(1-EXP(-LN(2)/2))/(LN(2)/2)*BL170*BO170*VLOOKUP('Données projet'!$B$11,Paramètres!$A$1:$I$89,3,0)*0.475*44/12</f>
        <v>2.7992087246694697E-20</v>
      </c>
      <c r="BS170" s="24">
        <f t="shared" si="169"/>
        <v>5.6301081736885132E-2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-6.7984728957526396E-14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348.62416478262719</v>
      </c>
      <c r="T171" s="62">
        <f t="shared" si="142"/>
        <v>371.70674704563288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0.36422676432667672</v>
      </c>
      <c r="AA171" s="23">
        <f>EXP(-LN(2)/25)*AA170+(1-EXP(-LN(2)/25))/(LN(2)/25)*Calculateur!V171*Calculateur!X171*VLOOKUP('Données projet'!$B$9,Paramètres!$A$1:$I$89,3,0)*0.475*44/12</f>
        <v>0.26451775933301741</v>
      </c>
      <c r="AB171" s="23">
        <f>EXP(-LN(2)/2)*AB170+(1-EXP(-LN(2)/2))/(LN(2)/2)*V171*Y171*VLOOKUP('Données projet'!$B$9,Paramètres!$A$1:$I$89,3,0)*0.475*44/12</f>
        <v>2.8787943854073225E-20</v>
      </c>
      <c r="AC171" s="24">
        <f t="shared" si="163"/>
        <v>0.62874452365969413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1.0286385077051818E-13</v>
      </c>
      <c r="AK171" s="14">
        <f t="shared" si="164"/>
        <v>1.5402366592183556E-12</v>
      </c>
      <c r="AL171" s="22">
        <f t="shared" si="165"/>
        <v>2.8617333882306215E-12</v>
      </c>
      <c r="AM171" s="62">
        <f t="shared" si="113"/>
        <v>293.33333333333616</v>
      </c>
      <c r="AN171" s="62">
        <f ca="1">AVERAGE(OFFSET($AM$3,0,0,'Données projet'!$E$10+1,1))-AVERAGE(OFFSET($H$3,0,0,'Données projet'!$E$10+1,1))</f>
        <v>371.7282125501186</v>
      </c>
      <c r="AO171" s="62">
        <f t="shared" si="144"/>
        <v>231.36959598460686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5.8817935006863012E-2</v>
      </c>
      <c r="AW171" s="23">
        <f>EXP(-LN(2)/2)*AW170+(1-EXP(-LN(2)/2))/(LN(2)/2)*AQ171*AT171*VLOOKUP('Données projet'!$B$10,Paramètres!$A$1:$I$89,3,0)*0.475*44/12</f>
        <v>2.1259572097755383E-20</v>
      </c>
      <c r="AX171" s="23">
        <f t="shared" si="166"/>
        <v>5.8817935006863012E-2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9.5769792096689348E-14</v>
      </c>
      <c r="BF171" s="14">
        <f t="shared" si="167"/>
        <v>1.4459910566979609E-12</v>
      </c>
      <c r="BG171" s="22">
        <f t="shared" si="168"/>
        <v>2.6852334783173491E-12</v>
      </c>
      <c r="BH171" s="62">
        <f t="shared" si="116"/>
        <v>293.33333333333599</v>
      </c>
      <c r="BI171" s="62">
        <f ca="1">AVERAGE(OFFSET($BH$3,0,0,'Données projet'!$E$11+1,1))-AVERAGE(OFFSET($H$3,0,0,'Données projet'!$E$11+1,1))</f>
        <v>348.82438445524105</v>
      </c>
      <c r="BJ171" s="62">
        <f t="shared" si="146"/>
        <v>218.26721063098552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5.4761525696044797E-2</v>
      </c>
      <c r="BR171" s="23">
        <f>EXP(-LN(2)/2)*BR170+(1-EXP(-LN(2)/2))/(LN(2)/2)*BL171*BO171*VLOOKUP('Données projet'!$B$11,Paramètres!$A$1:$I$89,3,0)*0.475*44/12</f>
        <v>1.9793394711703295E-20</v>
      </c>
      <c r="BS171" s="24">
        <f t="shared" si="169"/>
        <v>5.4761525696044797E-2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-6.7984728957526396E-14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348.62416478262719</v>
      </c>
      <c r="T172" s="62">
        <f t="shared" si="142"/>
        <v>371.70674704563288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0.35708449963462069</v>
      </c>
      <c r="AA172" s="23">
        <f>EXP(-LN(2)/25)*AA171+(1-EXP(-LN(2)/25))/(LN(2)/25)*Calculateur!V172*Calculateur!X172*VLOOKUP('Données projet'!$B$9,Paramètres!$A$1:$I$89,3,0)*0.475*44/12</f>
        <v>0.25728450729367164</v>
      </c>
      <c r="AB172" s="23">
        <f>EXP(-LN(2)/2)*AB171+(1-EXP(-LN(2)/2))/(LN(2)/2)*V172*Y172*VLOOKUP('Données projet'!$B$9,Paramètres!$A$1:$I$89,3,0)*0.475*44/12</f>
        <v>2.0356150315632772E-20</v>
      </c>
      <c r="AC172" s="24">
        <f t="shared" si="163"/>
        <v>0.61436900692829233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1.0286385077051818E-13</v>
      </c>
      <c r="AK172" s="14">
        <f t="shared" si="164"/>
        <v>1.5402366592183556E-12</v>
      </c>
      <c r="AL172" s="22">
        <f t="shared" si="165"/>
        <v>2.8617333882306215E-12</v>
      </c>
      <c r="AM172" s="62">
        <f t="shared" si="113"/>
        <v>293.33333333333616</v>
      </c>
      <c r="AN172" s="62">
        <f ca="1">AVERAGE(OFFSET($AM$3,0,0,'Données projet'!$E$10+1,1))-AVERAGE(OFFSET($H$3,0,0,'Données projet'!$E$10+1,1))</f>
        <v>371.7282125501186</v>
      </c>
      <c r="AO172" s="62">
        <f t="shared" si="144"/>
        <v>231.36959598460686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5.7209555480999569E-2</v>
      </c>
      <c r="AW172" s="23">
        <f>EXP(-LN(2)/2)*AW171+(1-EXP(-LN(2)/2))/(LN(2)/2)*AQ172*AT172*VLOOKUP('Données projet'!$B$10,Paramètres!$A$1:$I$89,3,0)*0.475*44/12</f>
        <v>1.5032787595447147E-20</v>
      </c>
      <c r="AX172" s="23">
        <f t="shared" si="166"/>
        <v>5.7209555480999569E-2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9.5769792096689348E-14</v>
      </c>
      <c r="BF172" s="14">
        <f t="shared" si="167"/>
        <v>1.4459910566979609E-12</v>
      </c>
      <c r="BG172" s="22">
        <f t="shared" si="168"/>
        <v>2.6852334783173491E-12</v>
      </c>
      <c r="BH172" s="62">
        <f t="shared" si="116"/>
        <v>293.33333333333599</v>
      </c>
      <c r="BI172" s="62">
        <f ca="1">AVERAGE(OFFSET($BH$3,0,0,'Données projet'!$E$11+1,1))-AVERAGE(OFFSET($H$3,0,0,'Données projet'!$E$11+1,1))</f>
        <v>348.82438445524105</v>
      </c>
      <c r="BJ172" s="62">
        <f t="shared" si="146"/>
        <v>218.26721063098552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5.3264068896102974E-2</v>
      </c>
      <c r="BR172" s="23">
        <f>EXP(-LN(2)/2)*BR171+(1-EXP(-LN(2)/2))/(LN(2)/2)*BL172*BO172*VLOOKUP('Données projet'!$B$11,Paramètres!$A$1:$I$89,3,0)*0.475*44/12</f>
        <v>1.3996043623347348E-20</v>
      </c>
      <c r="BS172" s="24">
        <f t="shared" si="169"/>
        <v>5.3264068896102974E-2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-6.7984728957526396E-14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348.62416478262719</v>
      </c>
      <c r="T173" s="62">
        <f t="shared" si="142"/>
        <v>371.70674704563288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0.35008229039682459</v>
      </c>
      <c r="AA173" s="23">
        <f>EXP(-LN(2)/25)*AA172+(1-EXP(-LN(2)/25))/(LN(2)/25)*Calculateur!V173*Calculateur!X173*VLOOKUP('Données projet'!$B$9,Paramètres!$A$1:$I$89,3,0)*0.475*44/12</f>
        <v>0.25024904891172201</v>
      </c>
      <c r="AB173" s="23">
        <f>EXP(-LN(2)/2)*AB172+(1-EXP(-LN(2)/2))/(LN(2)/2)*V173*Y173*VLOOKUP('Données projet'!$B$9,Paramètres!$A$1:$I$89,3,0)*0.475*44/12</f>
        <v>1.4393971927036613E-20</v>
      </c>
      <c r="AC173" s="24">
        <f t="shared" si="163"/>
        <v>0.60033133930854654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1.0286385077051818E-13</v>
      </c>
      <c r="AK173" s="14">
        <f t="shared" si="164"/>
        <v>1.5402366592183556E-12</v>
      </c>
      <c r="AL173" s="22">
        <f t="shared" si="165"/>
        <v>2.8617333882306215E-12</v>
      </c>
      <c r="AM173" s="62">
        <f t="shared" si="113"/>
        <v>293.33333333333616</v>
      </c>
      <c r="AN173" s="62">
        <f ca="1">AVERAGE(OFFSET($AM$3,0,0,'Données projet'!$E$10+1,1))-AVERAGE(OFFSET($H$3,0,0,'Données projet'!$E$10+1,1))</f>
        <v>371.7282125501186</v>
      </c>
      <c r="AO173" s="62">
        <f t="shared" si="144"/>
        <v>231.36959598460686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5.5645157177851866E-2</v>
      </c>
      <c r="AW173" s="23">
        <f>EXP(-LN(2)/2)*AW172+(1-EXP(-LN(2)/2))/(LN(2)/2)*AQ173*AT173*VLOOKUP('Données projet'!$B$10,Paramètres!$A$1:$I$89,3,0)*0.475*44/12</f>
        <v>1.0629786048877692E-20</v>
      </c>
      <c r="AX173" s="23">
        <f t="shared" si="166"/>
        <v>5.5645157177851866E-2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9.5769792096689348E-14</v>
      </c>
      <c r="BF173" s="14">
        <f t="shared" si="167"/>
        <v>1.4459910566979609E-12</v>
      </c>
      <c r="BG173" s="22">
        <f t="shared" si="168"/>
        <v>2.6852334783173491E-12</v>
      </c>
      <c r="BH173" s="62">
        <f t="shared" si="116"/>
        <v>293.33333333333599</v>
      </c>
      <c r="BI173" s="62">
        <f ca="1">AVERAGE(OFFSET($BH$3,0,0,'Données projet'!$E$11+1,1))-AVERAGE(OFFSET($H$3,0,0,'Données projet'!$E$11+1,1))</f>
        <v>348.82438445524105</v>
      </c>
      <c r="BJ173" s="62">
        <f t="shared" si="146"/>
        <v>218.26721063098552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5.1807560131103395E-2</v>
      </c>
      <c r="BR173" s="23">
        <f>EXP(-LN(2)/2)*BR172+(1-EXP(-LN(2)/2))/(LN(2)/2)*BL173*BO173*VLOOKUP('Données projet'!$B$11,Paramètres!$A$1:$I$89,3,0)*0.475*44/12</f>
        <v>9.8966973558516477E-21</v>
      </c>
      <c r="BS173" s="24">
        <f t="shared" si="169"/>
        <v>5.1807560131103395E-2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-6.7984728957526396E-14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348.62416478262719</v>
      </c>
      <c r="T174" s="62">
        <f t="shared" si="142"/>
        <v>371.70674704563288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0.34321739021125575</v>
      </c>
      <c r="AA174" s="23">
        <f>EXP(-LN(2)/25)*AA173+(1-EXP(-LN(2)/25))/(LN(2)/25)*Calculateur!V174*Calculateur!X174*VLOOKUP('Données projet'!$B$9,Paramètres!$A$1:$I$89,3,0)*0.475*44/12</f>
        <v>0.24340597550920542</v>
      </c>
      <c r="AB174" s="23">
        <f>EXP(-LN(2)/2)*AB173+(1-EXP(-LN(2)/2))/(LN(2)/2)*V174*Y174*VLOOKUP('Données projet'!$B$9,Paramètres!$A$1:$I$89,3,0)*0.475*44/12</f>
        <v>1.0178075157816386E-20</v>
      </c>
      <c r="AC174" s="24">
        <f t="shared" si="163"/>
        <v>0.58662336572046114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1.0286385077051818E-13</v>
      </c>
      <c r="AK174" s="14">
        <f t="shared" si="164"/>
        <v>1.5402366592183556E-12</v>
      </c>
      <c r="AL174" s="22">
        <f t="shared" si="165"/>
        <v>2.8617333882306215E-12</v>
      </c>
      <c r="AM174" s="62">
        <f t="shared" si="113"/>
        <v>293.33333333333616</v>
      </c>
      <c r="AN174" s="62">
        <f ca="1">AVERAGE(OFFSET($AM$3,0,0,'Données projet'!$E$10+1,1))-AVERAGE(OFFSET($H$3,0,0,'Données projet'!$E$10+1,1))</f>
        <v>371.7282125501186</v>
      </c>
      <c r="AO174" s="62">
        <f t="shared" si="144"/>
        <v>231.36959598460686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5.4123537428571872E-2</v>
      </c>
      <c r="AW174" s="23">
        <f>EXP(-LN(2)/2)*AW173+(1-EXP(-LN(2)/2))/(LN(2)/2)*AQ174*AT174*VLOOKUP('Données projet'!$B$10,Paramètres!$A$1:$I$89,3,0)*0.475*44/12</f>
        <v>7.5163937977235735E-21</v>
      </c>
      <c r="AX174" s="23">
        <f t="shared" si="166"/>
        <v>5.4123537428571872E-2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9.5769792096689348E-14</v>
      </c>
      <c r="BF174" s="14">
        <f t="shared" si="167"/>
        <v>1.4459910566979609E-12</v>
      </c>
      <c r="BG174" s="22">
        <f t="shared" si="168"/>
        <v>2.6852334783173491E-12</v>
      </c>
      <c r="BH174" s="62">
        <f t="shared" si="116"/>
        <v>293.33333333333599</v>
      </c>
      <c r="BI174" s="62">
        <f ca="1">AVERAGE(OFFSET($BH$3,0,0,'Données projet'!$E$11+1,1))-AVERAGE(OFFSET($H$3,0,0,'Données projet'!$E$11+1,1))</f>
        <v>348.82438445524105</v>
      </c>
      <c r="BJ174" s="62">
        <f t="shared" si="146"/>
        <v>218.26721063098552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5.0390879674877195E-2</v>
      </c>
      <c r="BR174" s="23">
        <f>EXP(-LN(2)/2)*BR173+(1-EXP(-LN(2)/2))/(LN(2)/2)*BL174*BO174*VLOOKUP('Données projet'!$B$11,Paramètres!$A$1:$I$89,3,0)*0.475*44/12</f>
        <v>6.9980218116736742E-21</v>
      </c>
      <c r="BS174" s="24">
        <f t="shared" si="169"/>
        <v>5.0390879674877195E-2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-6.7984728957526396E-14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348.62416478262719</v>
      </c>
      <c r="T175" s="62">
        <f t="shared" si="142"/>
        <v>371.70674704563288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0.33648710653115027</v>
      </c>
      <c r="AA175" s="23">
        <f>EXP(-LN(2)/25)*AA174+(1-EXP(-LN(2)/25))/(LN(2)/25)*Calculateur!V175*Calculateur!X175*VLOOKUP('Données projet'!$B$9,Paramètres!$A$1:$I$89,3,0)*0.475*44/12</f>
        <v>0.23675002630874226</v>
      </c>
      <c r="AB175" s="23">
        <f>EXP(-LN(2)/2)*AB174+(1-EXP(-LN(2)/2))/(LN(2)/2)*V175*Y175*VLOOKUP('Données projet'!$B$9,Paramètres!$A$1:$I$89,3,0)*0.475*44/12</f>
        <v>7.1969859635183063E-21</v>
      </c>
      <c r="AC175" s="24">
        <f t="shared" si="163"/>
        <v>0.57323713283989253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1.0286385077051818E-13</v>
      </c>
      <c r="AK175" s="14">
        <f t="shared" si="164"/>
        <v>1.5402366592183556E-12</v>
      </c>
      <c r="AL175" s="22">
        <f t="shared" si="165"/>
        <v>2.8617333882306215E-12</v>
      </c>
      <c r="AM175" s="62">
        <f t="shared" si="113"/>
        <v>293.33333333333616</v>
      </c>
      <c r="AN175" s="62">
        <f ca="1">AVERAGE(OFFSET($AM$3,0,0,'Données projet'!$E$10+1,1))-AVERAGE(OFFSET($H$3,0,0,'Données projet'!$E$10+1,1))</f>
        <v>371.7282125501186</v>
      </c>
      <c r="AO175" s="62">
        <f t="shared" si="144"/>
        <v>231.36959598460686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5.2643526451354443E-2</v>
      </c>
      <c r="AW175" s="23">
        <f>EXP(-LN(2)/2)*AW174+(1-EXP(-LN(2)/2))/(LN(2)/2)*AQ175*AT175*VLOOKUP('Données projet'!$B$10,Paramètres!$A$1:$I$89,3,0)*0.475*44/12</f>
        <v>5.3148930244388459E-21</v>
      </c>
      <c r="AX175" s="23">
        <f t="shared" si="166"/>
        <v>5.2643526451354443E-2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9.5769792096689348E-14</v>
      </c>
      <c r="BF175" s="14">
        <f t="shared" si="167"/>
        <v>1.4459910566979609E-12</v>
      </c>
      <c r="BG175" s="22">
        <f t="shared" si="168"/>
        <v>2.6852334783173491E-12</v>
      </c>
      <c r="BH175" s="62">
        <f t="shared" si="116"/>
        <v>293.33333333333599</v>
      </c>
      <c r="BI175" s="62">
        <f ca="1">AVERAGE(OFFSET($BH$3,0,0,'Données projet'!$E$11+1,1))-AVERAGE(OFFSET($H$3,0,0,'Données projet'!$E$11+1,1))</f>
        <v>348.82438445524105</v>
      </c>
      <c r="BJ175" s="62">
        <f t="shared" si="146"/>
        <v>218.26721063098552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4.9012938420226485E-2</v>
      </c>
      <c r="BR175" s="23">
        <f>EXP(-LN(2)/2)*BR174+(1-EXP(-LN(2)/2))/(LN(2)/2)*BL175*BO175*VLOOKUP('Données projet'!$B$11,Paramètres!$A$1:$I$89,3,0)*0.475*44/12</f>
        <v>4.9483486779258238E-21</v>
      </c>
      <c r="BS175" s="24">
        <f t="shared" si="169"/>
        <v>4.9012938420226485E-2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-6.7984728957526396E-14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348.62416478262719</v>
      </c>
      <c r="T176" s="62">
        <f t="shared" si="142"/>
        <v>371.70674704563288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0.32988879960894396</v>
      </c>
      <c r="AA176" s="23">
        <f>EXP(-LN(2)/25)*AA175+(1-EXP(-LN(2)/25))/(LN(2)/25)*Calculateur!V176*Calculateur!X176*VLOOKUP('Données projet'!$B$9,Paramètres!$A$1:$I$89,3,0)*0.475*44/12</f>
        <v>0.23027608438918692</v>
      </c>
      <c r="AB176" s="23">
        <f>EXP(-LN(2)/2)*AB175+(1-EXP(-LN(2)/2))/(LN(2)/2)*V176*Y176*VLOOKUP('Données projet'!$B$9,Paramètres!$A$1:$I$89,3,0)*0.475*44/12</f>
        <v>5.089037578908193E-21</v>
      </c>
      <c r="AC176" s="24">
        <f t="shared" si="163"/>
        <v>0.56016488399813091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1.0286385077051818E-13</v>
      </c>
      <c r="AK176" s="14">
        <f t="shared" si="164"/>
        <v>1.5402366592183556E-12</v>
      </c>
      <c r="AL176" s="22">
        <f t="shared" si="165"/>
        <v>2.8617333882306215E-12</v>
      </c>
      <c r="AM176" s="62">
        <f t="shared" si="113"/>
        <v>293.33333333333616</v>
      </c>
      <c r="AN176" s="62">
        <f ca="1">AVERAGE(OFFSET($AM$3,0,0,'Données projet'!$E$10+1,1))-AVERAGE(OFFSET($H$3,0,0,'Données projet'!$E$10+1,1))</f>
        <v>371.7282125501186</v>
      </c>
      <c r="AO176" s="62">
        <f t="shared" si="144"/>
        <v>231.36959598460686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5.1203986452139416E-2</v>
      </c>
      <c r="AW176" s="23">
        <f>EXP(-LN(2)/2)*AW175+(1-EXP(-LN(2)/2))/(LN(2)/2)*AQ176*AT176*VLOOKUP('Données projet'!$B$10,Paramètres!$A$1:$I$89,3,0)*0.475*44/12</f>
        <v>3.7581968988617868E-21</v>
      </c>
      <c r="AX176" s="23">
        <f t="shared" si="166"/>
        <v>5.1203986452139416E-2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9.5769792096689348E-14</v>
      </c>
      <c r="BF176" s="14">
        <f t="shared" si="167"/>
        <v>1.4459910566979609E-12</v>
      </c>
      <c r="BG176" s="22">
        <f t="shared" si="168"/>
        <v>2.6852334783173491E-12</v>
      </c>
      <c r="BH176" s="62">
        <f t="shared" si="116"/>
        <v>293.33333333333599</v>
      </c>
      <c r="BI176" s="62">
        <f ca="1">AVERAGE(OFFSET($BH$3,0,0,'Données projet'!$E$11+1,1))-AVERAGE(OFFSET($H$3,0,0,'Données projet'!$E$11+1,1))</f>
        <v>348.82438445524105</v>
      </c>
      <c r="BJ176" s="62">
        <f t="shared" si="146"/>
        <v>218.26721063098552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4.7672677041646981E-2</v>
      </c>
      <c r="BR176" s="23">
        <f>EXP(-LN(2)/2)*BR175+(1-EXP(-LN(2)/2))/(LN(2)/2)*BL176*BO176*VLOOKUP('Données projet'!$B$11,Paramètres!$A$1:$I$89,3,0)*0.475*44/12</f>
        <v>3.4990109058368371E-21</v>
      </c>
      <c r="BS176" s="24">
        <f t="shared" si="169"/>
        <v>4.7672677041646981E-2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-6.7984728957526396E-14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348.62416478262719</v>
      </c>
      <c r="T177" s="62">
        <f t="shared" si="142"/>
        <v>371.70674704563288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0.32341988146091227</v>
      </c>
      <c r="AA177" s="23">
        <f>EXP(-LN(2)/25)*AA176+(1-EXP(-LN(2)/25))/(LN(2)/25)*Calculateur!V177*Calculateur!X177*VLOOKUP('Données projet'!$B$9,Paramètres!$A$1:$I$89,3,0)*0.475*44/12</f>
        <v>0.22397917275187162</v>
      </c>
      <c r="AB177" s="23">
        <f>EXP(-LN(2)/2)*AB176+(1-EXP(-LN(2)/2))/(LN(2)/2)*V177*Y177*VLOOKUP('Données projet'!$B$9,Paramètres!$A$1:$I$89,3,0)*0.475*44/12</f>
        <v>3.5984929817591532E-21</v>
      </c>
      <c r="AC177" s="24">
        <f t="shared" si="163"/>
        <v>0.5473990542127839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1.0286385077051818E-13</v>
      </c>
      <c r="AK177" s="14">
        <f t="shared" si="164"/>
        <v>1.5402366592183556E-12</v>
      </c>
      <c r="AL177" s="22">
        <f t="shared" si="165"/>
        <v>2.8617333882306215E-12</v>
      </c>
      <c r="AM177" s="62">
        <f t="shared" si="113"/>
        <v>293.33333333333616</v>
      </c>
      <c r="AN177" s="62">
        <f ca="1">AVERAGE(OFFSET($AM$3,0,0,'Données projet'!$E$10+1,1))-AVERAGE(OFFSET($H$3,0,0,'Données projet'!$E$10+1,1))</f>
        <v>371.7282125501186</v>
      </c>
      <c r="AO177" s="62">
        <f t="shared" si="144"/>
        <v>231.36959598460686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4.9803810749905045E-2</v>
      </c>
      <c r="AW177" s="23">
        <f>EXP(-LN(2)/2)*AW176+(1-EXP(-LN(2)/2))/(LN(2)/2)*AQ177*AT177*VLOOKUP('Données projet'!$B$10,Paramètres!$A$1:$I$89,3,0)*0.475*44/12</f>
        <v>2.6574465122194229E-21</v>
      </c>
      <c r="AX177" s="23">
        <f t="shared" si="166"/>
        <v>4.9803810749905045E-2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9.5769792096689348E-14</v>
      </c>
      <c r="BF177" s="14">
        <f t="shared" si="167"/>
        <v>1.4459910566979609E-12</v>
      </c>
      <c r="BG177" s="22">
        <f t="shared" si="168"/>
        <v>2.6852334783173491E-12</v>
      </c>
      <c r="BH177" s="62">
        <f t="shared" si="116"/>
        <v>293.33333333333599</v>
      </c>
      <c r="BI177" s="62">
        <f ca="1">AVERAGE(OFFSET($BH$3,0,0,'Données projet'!$E$11+1,1))-AVERAGE(OFFSET($H$3,0,0,'Données projet'!$E$11+1,1))</f>
        <v>348.82438445524105</v>
      </c>
      <c r="BJ177" s="62">
        <f t="shared" si="146"/>
        <v>218.26721063098552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4.6369065180946016E-2</v>
      </c>
      <c r="BR177" s="23">
        <f>EXP(-LN(2)/2)*BR176+(1-EXP(-LN(2)/2))/(LN(2)/2)*BL177*BO177*VLOOKUP('Données projet'!$B$11,Paramètres!$A$1:$I$89,3,0)*0.475*44/12</f>
        <v>2.4741743389629119E-21</v>
      </c>
      <c r="BS177" s="24">
        <f t="shared" si="169"/>
        <v>4.6369065180946016E-2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-6.7984728957526396E-14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348.62416478262719</v>
      </c>
      <c r="T178" s="62">
        <f t="shared" si="142"/>
        <v>371.70674704563288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0.317077814852113</v>
      </c>
      <c r="AA178" s="23">
        <f>EXP(-LN(2)/25)*AA177+(1-EXP(-LN(2)/25))/(LN(2)/25)*Calculateur!V178*Calculateur!X178*VLOOKUP('Données projet'!$B$9,Paramètres!$A$1:$I$89,3,0)*0.475*44/12</f>
        <v>0.2178544504944189</v>
      </c>
      <c r="AB178" s="23">
        <f>EXP(-LN(2)/2)*AB177+(1-EXP(-LN(2)/2))/(LN(2)/2)*V178*Y178*VLOOKUP('Données projet'!$B$9,Paramètres!$A$1:$I$89,3,0)*0.475*44/12</f>
        <v>2.5445187894540965E-21</v>
      </c>
      <c r="AC178" s="24">
        <f t="shared" si="163"/>
        <v>0.53493226534653193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1.0286385077051818E-13</v>
      </c>
      <c r="AK178" s="14">
        <f t="shared" si="164"/>
        <v>1.5402366592183556E-12</v>
      </c>
      <c r="AL178" s="22">
        <f t="shared" si="165"/>
        <v>2.8617333882306215E-12</v>
      </c>
      <c r="AM178" s="62">
        <f t="shared" si="113"/>
        <v>293.33333333333616</v>
      </c>
      <c r="AN178" s="62">
        <f ca="1">AVERAGE(OFFSET($AM$3,0,0,'Données projet'!$E$10+1,1))-AVERAGE(OFFSET($H$3,0,0,'Données projet'!$E$10+1,1))</f>
        <v>371.7282125501186</v>
      </c>
      <c r="AO178" s="62">
        <f t="shared" si="144"/>
        <v>231.36959598460686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4.8441922925880315E-2</v>
      </c>
      <c r="AW178" s="23">
        <f>EXP(-LN(2)/2)*AW177+(1-EXP(-LN(2)/2))/(LN(2)/2)*AQ178*AT178*VLOOKUP('Données projet'!$B$10,Paramètres!$A$1:$I$89,3,0)*0.475*44/12</f>
        <v>1.8790984494308934E-21</v>
      </c>
      <c r="AX178" s="23">
        <f t="shared" si="166"/>
        <v>4.8441922925880315E-2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9.5769792096689348E-14</v>
      </c>
      <c r="BF178" s="14">
        <f t="shared" si="167"/>
        <v>1.4459910566979609E-12</v>
      </c>
      <c r="BG178" s="22">
        <f t="shared" si="168"/>
        <v>2.6852334783173491E-12</v>
      </c>
      <c r="BH178" s="62">
        <f t="shared" si="116"/>
        <v>293.33333333333599</v>
      </c>
      <c r="BI178" s="62">
        <f ca="1">AVERAGE(OFFSET($BH$3,0,0,'Données projet'!$E$11+1,1))-AVERAGE(OFFSET($H$3,0,0,'Données projet'!$E$11+1,1))</f>
        <v>348.82438445524105</v>
      </c>
      <c r="BJ178" s="62">
        <f t="shared" si="146"/>
        <v>218.26721063098552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4.5101100655129886E-2</v>
      </c>
      <c r="BR178" s="23">
        <f>EXP(-LN(2)/2)*BR177+(1-EXP(-LN(2)/2))/(LN(2)/2)*BL178*BO178*VLOOKUP('Données projet'!$B$11,Paramètres!$A$1:$I$89,3,0)*0.475*44/12</f>
        <v>1.7495054529184186E-21</v>
      </c>
      <c r="BS178" s="24">
        <f t="shared" si="169"/>
        <v>4.5101100655129886E-2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-6.7984728957526396E-14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348.62416478262719</v>
      </c>
      <c r="T179" s="62">
        <f t="shared" si="142"/>
        <v>371.70674704563288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0.31086011230123362</v>
      </c>
      <c r="AA179" s="23">
        <f>EXP(-LN(2)/25)*AA178+(1-EXP(-LN(2)/25))/(LN(2)/25)*Calculateur!V179*Calculateur!X179*VLOOKUP('Données projet'!$B$9,Paramètres!$A$1:$I$89,3,0)*0.475*44/12</f>
        <v>0.21189720908918139</v>
      </c>
      <c r="AB179" s="23">
        <f>EXP(-LN(2)/2)*AB178+(1-EXP(-LN(2)/2))/(LN(2)/2)*V179*Y179*VLOOKUP('Données projet'!$B$9,Paramètres!$A$1:$I$89,3,0)*0.475*44/12</f>
        <v>1.7992464908795766E-21</v>
      </c>
      <c r="AC179" s="24">
        <f t="shared" si="163"/>
        <v>0.52275732139041498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1.0286385077051818E-13</v>
      </c>
      <c r="AK179" s="14">
        <f t="shared" si="164"/>
        <v>1.5402366592183556E-12</v>
      </c>
      <c r="AL179" s="22">
        <f t="shared" si="165"/>
        <v>2.8617333882306215E-12</v>
      </c>
      <c r="AM179" s="62">
        <f t="shared" si="113"/>
        <v>293.33333333333616</v>
      </c>
      <c r="AN179" s="62">
        <f ca="1">AVERAGE(OFFSET($AM$3,0,0,'Données projet'!$E$10+1,1))-AVERAGE(OFFSET($H$3,0,0,'Données projet'!$E$10+1,1))</f>
        <v>371.7282125501186</v>
      </c>
      <c r="AO179" s="62">
        <f t="shared" si="144"/>
        <v>231.36959598460686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4.7117275996022105E-2</v>
      </c>
      <c r="AW179" s="23">
        <f>EXP(-LN(2)/2)*AW178+(1-EXP(-LN(2)/2))/(LN(2)/2)*AQ179*AT179*VLOOKUP('Données projet'!$B$10,Paramètres!$A$1:$I$89,3,0)*0.475*44/12</f>
        <v>1.3287232561097115E-21</v>
      </c>
      <c r="AX179" s="23">
        <f t="shared" si="166"/>
        <v>4.7117275996022105E-2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9.5769792096689348E-14</v>
      </c>
      <c r="BF179" s="14">
        <f t="shared" si="167"/>
        <v>1.4459910566979609E-12</v>
      </c>
      <c r="BG179" s="22">
        <f t="shared" si="168"/>
        <v>2.6852334783173491E-12</v>
      </c>
      <c r="BH179" s="62">
        <f t="shared" si="116"/>
        <v>293.33333333333599</v>
      </c>
      <c r="BI179" s="62">
        <f ca="1">AVERAGE(OFFSET($BH$3,0,0,'Données projet'!$E$11+1,1))-AVERAGE(OFFSET($H$3,0,0,'Données projet'!$E$11+1,1))</f>
        <v>348.82438445524105</v>
      </c>
      <c r="BJ179" s="62">
        <f t="shared" si="146"/>
        <v>218.26721063098552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4.3867808685951554E-2</v>
      </c>
      <c r="BR179" s="23">
        <f>EXP(-LN(2)/2)*BR178+(1-EXP(-LN(2)/2))/(LN(2)/2)*BL179*BO179*VLOOKUP('Données projet'!$B$11,Paramètres!$A$1:$I$89,3,0)*0.475*44/12</f>
        <v>1.237087169481456E-21</v>
      </c>
      <c r="BS179" s="24">
        <f t="shared" si="169"/>
        <v>4.3867808685951554E-2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-6.7984728957526396E-14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348.62416478262719</v>
      </c>
      <c r="T180" s="62">
        <f t="shared" si="142"/>
        <v>371.70674704563288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0.30476433510495288</v>
      </c>
      <c r="AA180" s="23">
        <f>EXP(-LN(2)/25)*AA179+(1-EXP(-LN(2)/25))/(LN(2)/25)*Calculateur!V180*Calculateur!X180*VLOOKUP('Données projet'!$B$9,Paramètres!$A$1:$I$89,3,0)*0.475*44/12</f>
        <v>0.2061028687634478</v>
      </c>
      <c r="AB180" s="23">
        <f>EXP(-LN(2)/2)*AB179+(1-EXP(-LN(2)/2))/(LN(2)/2)*V180*Y180*VLOOKUP('Données projet'!$B$9,Paramètres!$A$1:$I$89,3,0)*0.475*44/12</f>
        <v>1.2722593947270482E-21</v>
      </c>
      <c r="AC180" s="24">
        <f t="shared" si="163"/>
        <v>0.51086720386840068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1.0286385077051818E-13</v>
      </c>
      <c r="AK180" s="14">
        <f t="shared" si="164"/>
        <v>1.5402366592183556E-12</v>
      </c>
      <c r="AL180" s="22">
        <f t="shared" si="165"/>
        <v>2.8617333882306215E-12</v>
      </c>
      <c r="AM180" s="62">
        <f t="shared" si="113"/>
        <v>293.33333333333616</v>
      </c>
      <c r="AN180" s="62">
        <f ca="1">AVERAGE(OFFSET($AM$3,0,0,'Données projet'!$E$10+1,1))-AVERAGE(OFFSET($H$3,0,0,'Données projet'!$E$10+1,1))</f>
        <v>371.7282125501186</v>
      </c>
      <c r="AO180" s="62">
        <f t="shared" si="144"/>
        <v>231.36959598460686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4.5828851606121025E-2</v>
      </c>
      <c r="AW180" s="23">
        <f>EXP(-LN(2)/2)*AW179+(1-EXP(-LN(2)/2))/(LN(2)/2)*AQ180*AT180*VLOOKUP('Données projet'!$B$10,Paramètres!$A$1:$I$89,3,0)*0.475*44/12</f>
        <v>9.3954922471544669E-22</v>
      </c>
      <c r="AX180" s="23">
        <f t="shared" si="166"/>
        <v>4.5828851606121025E-2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9.5769792096689348E-14</v>
      </c>
      <c r="BF180" s="14">
        <f t="shared" si="167"/>
        <v>1.4459910566979609E-12</v>
      </c>
      <c r="BG180" s="22">
        <f t="shared" si="168"/>
        <v>2.6852334783173491E-12</v>
      </c>
      <c r="BH180" s="62">
        <f t="shared" si="116"/>
        <v>293.33333333333599</v>
      </c>
      <c r="BI180" s="62">
        <f ca="1">AVERAGE(OFFSET($BH$3,0,0,'Données projet'!$E$11+1,1))-AVERAGE(OFFSET($H$3,0,0,'Données projet'!$E$11+1,1))</f>
        <v>348.82438445524105</v>
      </c>
      <c r="BJ180" s="62">
        <f t="shared" si="146"/>
        <v>218.26721063098552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4.2668241150526413E-2</v>
      </c>
      <c r="BR180" s="23">
        <f>EXP(-LN(2)/2)*BR179+(1-EXP(-LN(2)/2))/(LN(2)/2)*BL180*BO180*VLOOKUP('Données projet'!$B$11,Paramètres!$A$1:$I$89,3,0)*0.475*44/12</f>
        <v>8.7475272645920928E-22</v>
      </c>
      <c r="BS180" s="24">
        <f t="shared" si="169"/>
        <v>4.2668241150526413E-2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-6.7984728957526396E-14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348.62416478262719</v>
      </c>
      <c r="T181" s="62">
        <f t="shared" si="142"/>
        <v>371.70674704563288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0.29878809238143428</v>
      </c>
      <c r="AA181" s="23">
        <f>EXP(-LN(2)/25)*AA180+(1-EXP(-LN(2)/25))/(LN(2)/25)*Calculateur!V181*Calculateur!X181*VLOOKUP('Données projet'!$B$9,Paramètres!$A$1:$I$89,3,0)*0.475*44/12</f>
        <v>0.2004669749786325</v>
      </c>
      <c r="AB181" s="23">
        <f>EXP(-LN(2)/2)*AB180+(1-EXP(-LN(2)/2))/(LN(2)/2)*V181*Y181*VLOOKUP('Données projet'!$B$9,Paramètres!$A$1:$I$89,3,0)*0.475*44/12</f>
        <v>8.9962324543978829E-22</v>
      </c>
      <c r="AC181" s="24">
        <f t="shared" si="163"/>
        <v>0.49925506736006675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1.0286385077051818E-13</v>
      </c>
      <c r="AK181" s="14">
        <f t="shared" si="164"/>
        <v>1.5402366592183556E-12</v>
      </c>
      <c r="AL181" s="22">
        <f t="shared" si="165"/>
        <v>2.8617333882306215E-12</v>
      </c>
      <c r="AM181" s="62">
        <f t="shared" si="113"/>
        <v>293.33333333333616</v>
      </c>
      <c r="AN181" s="62">
        <f ca="1">AVERAGE(OFFSET($AM$3,0,0,'Données projet'!$E$10+1,1))-AVERAGE(OFFSET($H$3,0,0,'Données projet'!$E$10+1,1))</f>
        <v>371.7282125501186</v>
      </c>
      <c r="AO181" s="62">
        <f t="shared" si="144"/>
        <v>231.36959598460686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4.4575659248917085E-2</v>
      </c>
      <c r="AW181" s="23">
        <f>EXP(-LN(2)/2)*AW180+(1-EXP(-LN(2)/2))/(LN(2)/2)*AQ181*AT181*VLOOKUP('Données projet'!$B$10,Paramètres!$A$1:$I$89,3,0)*0.475*44/12</f>
        <v>6.6436162805485573E-22</v>
      </c>
      <c r="AX181" s="23">
        <f t="shared" si="166"/>
        <v>4.4575659248917085E-2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9.5769792096689348E-14</v>
      </c>
      <c r="BF181" s="14">
        <f t="shared" si="167"/>
        <v>1.4459910566979609E-12</v>
      </c>
      <c r="BG181" s="22">
        <f t="shared" si="168"/>
        <v>2.6852334783173491E-12</v>
      </c>
      <c r="BH181" s="62">
        <f t="shared" si="116"/>
        <v>293.33333333333599</v>
      </c>
      <c r="BI181" s="62">
        <f ca="1">AVERAGE(OFFSET($BH$3,0,0,'Données projet'!$E$11+1,1))-AVERAGE(OFFSET($H$3,0,0,'Données projet'!$E$11+1,1))</f>
        <v>348.82438445524105</v>
      </c>
      <c r="BJ181" s="62">
        <f t="shared" si="146"/>
        <v>218.26721063098552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4.1501475852439983E-2</v>
      </c>
      <c r="BR181" s="23">
        <f>EXP(-LN(2)/2)*BR180+(1-EXP(-LN(2)/2))/(LN(2)/2)*BL181*BO181*VLOOKUP('Données projet'!$B$11,Paramètres!$A$1:$I$89,3,0)*0.475*44/12</f>
        <v>6.1854358474072798E-22</v>
      </c>
      <c r="BS181" s="24">
        <f t="shared" si="169"/>
        <v>4.1501475852439983E-2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-6.7984728957526396E-14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348.62416478262719</v>
      </c>
      <c r="T182" s="62">
        <f t="shared" si="142"/>
        <v>371.70674704563288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0.2929290401325757</v>
      </c>
      <c r="AA182" s="23">
        <f>EXP(-LN(2)/25)*AA181+(1-EXP(-LN(2)/25))/(LN(2)/25)*Calculateur!V182*Calculateur!X182*VLOOKUP('Données projet'!$B$9,Paramètres!$A$1:$I$89,3,0)*0.475*44/12</f>
        <v>0.19498519500574174</v>
      </c>
      <c r="AB182" s="23">
        <f>EXP(-LN(2)/2)*AB181+(1-EXP(-LN(2)/2))/(LN(2)/2)*V182*Y182*VLOOKUP('Données projet'!$B$9,Paramètres!$A$1:$I$89,3,0)*0.475*44/12</f>
        <v>6.3612969736352412E-22</v>
      </c>
      <c r="AC182" s="24">
        <f t="shared" si="163"/>
        <v>0.48791423513831744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1.0286385077051818E-13</v>
      </c>
      <c r="AK182" s="14">
        <f t="shared" si="164"/>
        <v>1.5402366592183556E-12</v>
      </c>
      <c r="AL182" s="22">
        <f t="shared" si="165"/>
        <v>2.8617333882306215E-12</v>
      </c>
      <c r="AM182" s="62">
        <f t="shared" si="113"/>
        <v>293.33333333333616</v>
      </c>
      <c r="AN182" s="62">
        <f ca="1">AVERAGE(OFFSET($AM$3,0,0,'Données projet'!$E$10+1,1))-AVERAGE(OFFSET($H$3,0,0,'Données projet'!$E$10+1,1))</f>
        <v>371.7282125501186</v>
      </c>
      <c r="AO182" s="62">
        <f t="shared" si="144"/>
        <v>231.36959598460686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4.3356735502623409E-2</v>
      </c>
      <c r="AW182" s="23">
        <f>EXP(-LN(2)/2)*AW181+(1-EXP(-LN(2)/2))/(LN(2)/2)*AQ182*AT182*VLOOKUP('Données projet'!$B$10,Paramètres!$A$1:$I$89,3,0)*0.475*44/12</f>
        <v>4.6977461235772335E-22</v>
      </c>
      <c r="AX182" s="23">
        <f t="shared" si="166"/>
        <v>4.3356735502623409E-2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9.5769792096689348E-14</v>
      </c>
      <c r="BF182" s="14">
        <f t="shared" si="167"/>
        <v>1.4459910566979609E-12</v>
      </c>
      <c r="BG182" s="22">
        <f t="shared" si="168"/>
        <v>2.6852334783173491E-12</v>
      </c>
      <c r="BH182" s="62">
        <f t="shared" si="116"/>
        <v>293.33333333333599</v>
      </c>
      <c r="BI182" s="62">
        <f ca="1">AVERAGE(OFFSET($BH$3,0,0,'Données projet'!$E$11+1,1))-AVERAGE(OFFSET($H$3,0,0,'Données projet'!$E$11+1,1))</f>
        <v>348.82438445524105</v>
      </c>
      <c r="BJ182" s="62">
        <f t="shared" si="146"/>
        <v>218.26721063098552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4.0366615812787249E-2</v>
      </c>
      <c r="BR182" s="23">
        <f>EXP(-LN(2)/2)*BR181+(1-EXP(-LN(2)/2))/(LN(2)/2)*BL182*BO182*VLOOKUP('Données projet'!$B$11,Paramètres!$A$1:$I$89,3,0)*0.475*44/12</f>
        <v>4.3737636322960464E-22</v>
      </c>
      <c r="BS182" s="24">
        <f t="shared" si="169"/>
        <v>4.0366615812787249E-2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-6.7984728957526396E-14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348.62416478262719</v>
      </c>
      <c r="T183" s="62">
        <f t="shared" si="142"/>
        <v>371.70674704563288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0.28718488032464828</v>
      </c>
      <c r="AA183" s="23">
        <f>EXP(-LN(2)/25)*AA182+(1-EXP(-LN(2)/25))/(LN(2)/25)*Calculateur!V183*Calculateur!X183*VLOOKUP('Données projet'!$B$9,Paramètres!$A$1:$I$89,3,0)*0.475*44/12</f>
        <v>0.18965331459448398</v>
      </c>
      <c r="AB183" s="23">
        <f>EXP(-LN(2)/2)*AB182+(1-EXP(-LN(2)/2))/(LN(2)/2)*V183*Y183*VLOOKUP('Données projet'!$B$9,Paramètres!$A$1:$I$89,3,0)*0.475*44/12</f>
        <v>4.4981162271989415E-22</v>
      </c>
      <c r="AC183" s="24">
        <f t="shared" si="163"/>
        <v>0.47683819491913226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1.0286385077051818E-13</v>
      </c>
      <c r="AK183" s="14">
        <f t="shared" si="164"/>
        <v>1.5402366592183556E-12</v>
      </c>
      <c r="AL183" s="22">
        <f t="shared" si="165"/>
        <v>2.8617333882306215E-12</v>
      </c>
      <c r="AM183" s="62">
        <f t="shared" si="113"/>
        <v>293.33333333333616</v>
      </c>
      <c r="AN183" s="62">
        <f ca="1">AVERAGE(OFFSET($AM$3,0,0,'Données projet'!$E$10+1,1))-AVERAGE(OFFSET($H$3,0,0,'Données projet'!$E$10+1,1))</f>
        <v>371.7282125501186</v>
      </c>
      <c r="AO183" s="62">
        <f t="shared" si="144"/>
        <v>231.36959598460686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4.2171143290272543E-2</v>
      </c>
      <c r="AW183" s="23">
        <f>EXP(-LN(2)/2)*AW182+(1-EXP(-LN(2)/2))/(LN(2)/2)*AQ183*AT183*VLOOKUP('Données projet'!$B$10,Paramètres!$A$1:$I$89,3,0)*0.475*44/12</f>
        <v>3.3218081402742787E-22</v>
      </c>
      <c r="AX183" s="23">
        <f t="shared" si="166"/>
        <v>4.2171143290272543E-2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9.5769792096689348E-14</v>
      </c>
      <c r="BF183" s="14">
        <f t="shared" si="167"/>
        <v>1.4459910566979609E-12</v>
      </c>
      <c r="BG183" s="22">
        <f t="shared" si="168"/>
        <v>2.6852334783173491E-12</v>
      </c>
      <c r="BH183" s="62">
        <f t="shared" si="116"/>
        <v>293.33333333333599</v>
      </c>
      <c r="BI183" s="62">
        <f ca="1">AVERAGE(OFFSET($BH$3,0,0,'Données projet'!$E$11+1,1))-AVERAGE(OFFSET($H$3,0,0,'Données projet'!$E$11+1,1))</f>
        <v>348.82438445524105</v>
      </c>
      <c r="BJ183" s="62">
        <f t="shared" si="146"/>
        <v>218.26721063098552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3.9262788580598514E-2</v>
      </c>
      <c r="BR183" s="23">
        <f>EXP(-LN(2)/2)*BR182+(1-EXP(-LN(2)/2))/(LN(2)/2)*BL183*BO183*VLOOKUP('Données projet'!$B$11,Paramètres!$A$1:$I$89,3,0)*0.475*44/12</f>
        <v>3.0927179237036399E-22</v>
      </c>
      <c r="BS183" s="24">
        <f t="shared" si="169"/>
        <v>3.9262788580598514E-2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-6.7984728957526396E-14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348.62416478262719</v>
      </c>
      <c r="T184" s="62">
        <f t="shared" si="142"/>
        <v>371.70674704563288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0.28155335998696279</v>
      </c>
      <c r="AA184" s="23">
        <f>EXP(-LN(2)/25)*AA183+(1-EXP(-LN(2)/25))/(LN(2)/25)*Calculateur!V184*Calculateur!X184*VLOOKUP('Données projet'!$B$9,Paramètres!$A$1:$I$89,3,0)*0.475*44/12</f>
        <v>0.18446723473346346</v>
      </c>
      <c r="AB184" s="23">
        <f>EXP(-LN(2)/2)*AB183+(1-EXP(-LN(2)/2))/(LN(2)/2)*V184*Y184*VLOOKUP('Données projet'!$B$9,Paramètres!$A$1:$I$89,3,0)*0.475*44/12</f>
        <v>3.1806484868176206E-22</v>
      </c>
      <c r="AC184" s="24">
        <f t="shared" si="163"/>
        <v>0.46602059472042623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1.0286385077051818E-13</v>
      </c>
      <c r="AK184" s="14">
        <f t="shared" si="164"/>
        <v>1.5402366592183556E-12</v>
      </c>
      <c r="AL184" s="22">
        <f t="shared" si="165"/>
        <v>2.8617333882306215E-12</v>
      </c>
      <c r="AM184" s="62">
        <f t="shared" si="113"/>
        <v>293.33333333333616</v>
      </c>
      <c r="AN184" s="62">
        <f ca="1">AVERAGE(OFFSET($AM$3,0,0,'Données projet'!$E$10+1,1))-AVERAGE(OFFSET($H$3,0,0,'Données projet'!$E$10+1,1))</f>
        <v>371.7282125501186</v>
      </c>
      <c r="AO184" s="62">
        <f t="shared" si="144"/>
        <v>231.36959598460686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4.1017971159315998E-2</v>
      </c>
      <c r="AW184" s="23">
        <f>EXP(-LN(2)/2)*AW183+(1-EXP(-LN(2)/2))/(LN(2)/2)*AQ184*AT184*VLOOKUP('Données projet'!$B$10,Paramètres!$A$1:$I$89,3,0)*0.475*44/12</f>
        <v>2.3488730617886167E-22</v>
      </c>
      <c r="AX184" s="23">
        <f t="shared" si="166"/>
        <v>4.1017971159315998E-2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9.5769792096689348E-14</v>
      </c>
      <c r="BF184" s="14">
        <f t="shared" si="167"/>
        <v>1.4459910566979609E-12</v>
      </c>
      <c r="BG184" s="22">
        <f t="shared" si="168"/>
        <v>2.6852334783173491E-12</v>
      </c>
      <c r="BH184" s="62">
        <f t="shared" si="116"/>
        <v>293.33333333333599</v>
      </c>
      <c r="BI184" s="62">
        <f ca="1">AVERAGE(OFFSET($BH$3,0,0,'Données projet'!$E$11+1,1))-AVERAGE(OFFSET($H$3,0,0,'Données projet'!$E$11+1,1))</f>
        <v>348.82438445524105</v>
      </c>
      <c r="BJ184" s="62">
        <f t="shared" si="146"/>
        <v>218.26721063098552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3.8189145562121732E-2</v>
      </c>
      <c r="BR184" s="23">
        <f>EXP(-LN(2)/2)*BR183+(1-EXP(-LN(2)/2))/(LN(2)/2)*BL184*BO184*VLOOKUP('Données projet'!$B$11,Paramètres!$A$1:$I$89,3,0)*0.475*44/12</f>
        <v>2.1868818161480232E-22</v>
      </c>
      <c r="BS184" s="24">
        <f t="shared" si="169"/>
        <v>3.8189145562121732E-2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-6.7984728957526396E-14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348.62416478262719</v>
      </c>
      <c r="T185" s="62">
        <f t="shared" si="142"/>
        <v>371.70674704563288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0.27603227032821104</v>
      </c>
      <c r="AA185" s="23">
        <f>EXP(-LN(2)/25)*AA184+(1-EXP(-LN(2)/25))/(LN(2)/25)*Calculateur!V185*Calculateur!X185*VLOOKUP('Données projet'!$B$9,Paramètres!$A$1:$I$89,3,0)*0.475*44/12</f>
        <v>0.17942296849896663</v>
      </c>
      <c r="AB185" s="23">
        <f>EXP(-LN(2)/2)*AB184+(1-EXP(-LN(2)/2))/(LN(2)/2)*V185*Y185*VLOOKUP('Données projet'!$B$9,Paramètres!$A$1:$I$89,3,0)*0.475*44/12</f>
        <v>2.2490581135994707E-22</v>
      </c>
      <c r="AC185" s="24">
        <f t="shared" si="163"/>
        <v>0.45545523882717764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1.0286385077051818E-13</v>
      </c>
      <c r="AK185" s="14">
        <f t="shared" si="164"/>
        <v>1.5402366592183556E-12</v>
      </c>
      <c r="AL185" s="22">
        <f t="shared" si="165"/>
        <v>2.8617333882306215E-12</v>
      </c>
      <c r="AM185" s="62">
        <f t="shared" si="113"/>
        <v>293.33333333333616</v>
      </c>
      <c r="AN185" s="62">
        <f ca="1">AVERAGE(OFFSET($AM$3,0,0,'Données projet'!$E$10+1,1))-AVERAGE(OFFSET($H$3,0,0,'Données projet'!$E$10+1,1))</f>
        <v>371.7282125501186</v>
      </c>
      <c r="AO185" s="62">
        <f t="shared" si="144"/>
        <v>231.36959598460686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3.9896332580923149E-2</v>
      </c>
      <c r="AW185" s="23">
        <f>EXP(-LN(2)/2)*AW184+(1-EXP(-LN(2)/2))/(LN(2)/2)*AQ185*AT185*VLOOKUP('Données projet'!$B$10,Paramètres!$A$1:$I$89,3,0)*0.475*44/12</f>
        <v>1.6609040701371393E-22</v>
      </c>
      <c r="AX185" s="23">
        <f t="shared" si="166"/>
        <v>3.9896332580923149E-2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9.5769792096689348E-14</v>
      </c>
      <c r="BF185" s="14">
        <f t="shared" si="167"/>
        <v>1.4459910566979609E-12</v>
      </c>
      <c r="BG185" s="22">
        <f t="shared" si="168"/>
        <v>2.6852334783173491E-12</v>
      </c>
      <c r="BH185" s="62">
        <f t="shared" si="116"/>
        <v>293.33333333333599</v>
      </c>
      <c r="BI185" s="62">
        <f ca="1">AVERAGE(OFFSET($BH$3,0,0,'Données projet'!$E$11+1,1))-AVERAGE(OFFSET($H$3,0,0,'Données projet'!$E$11+1,1))</f>
        <v>348.82438445524105</v>
      </c>
      <c r="BJ185" s="62">
        <f t="shared" si="146"/>
        <v>218.26721063098552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3.7144861368445629E-2</v>
      </c>
      <c r="BR185" s="23">
        <f>EXP(-LN(2)/2)*BR184+(1-EXP(-LN(2)/2))/(LN(2)/2)*BL185*BO185*VLOOKUP('Données projet'!$B$11,Paramètres!$A$1:$I$89,3,0)*0.475*44/12</f>
        <v>1.5463589618518199E-22</v>
      </c>
      <c r="BS185" s="24">
        <f t="shared" si="169"/>
        <v>3.7144861368445629E-2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-6.7984728957526396E-14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348.62416478262719</v>
      </c>
      <c r="T186" s="62">
        <f t="shared" si="142"/>
        <v>371.70674704563288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0.27061944587013526</v>
      </c>
      <c r="AA186" s="23">
        <f>EXP(-LN(2)/25)*AA185+(1-EXP(-LN(2)/25))/(LN(2)/25)*Calculateur!V186*Calculateur!X186*VLOOKUP('Données projet'!$B$9,Paramètres!$A$1:$I$89,3,0)*0.475*44/12</f>
        <v>0.17451663798991857</v>
      </c>
      <c r="AB186" s="23">
        <f>EXP(-LN(2)/2)*AB185+(1-EXP(-LN(2)/2))/(LN(2)/2)*V186*Y186*VLOOKUP('Données projet'!$B$9,Paramètres!$A$1:$I$89,3,0)*0.475*44/12</f>
        <v>1.5903242434088103E-22</v>
      </c>
      <c r="AC186" s="24">
        <f t="shared" si="163"/>
        <v>0.44513608386005382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1.0286385077051818E-13</v>
      </c>
      <c r="AK186" s="14">
        <f t="shared" si="164"/>
        <v>1.5402366592183556E-12</v>
      </c>
      <c r="AL186" s="22">
        <f t="shared" si="165"/>
        <v>2.8617333882306215E-12</v>
      </c>
      <c r="AM186" s="62">
        <f t="shared" si="113"/>
        <v>293.33333333333616</v>
      </c>
      <c r="AN186" s="62">
        <f ca="1">AVERAGE(OFFSET($AM$3,0,0,'Données projet'!$E$10+1,1))-AVERAGE(OFFSET($H$3,0,0,'Données projet'!$E$10+1,1))</f>
        <v>371.7282125501186</v>
      </c>
      <c r="AO186" s="62">
        <f t="shared" si="144"/>
        <v>231.36959598460686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3.8805365268440861E-2</v>
      </c>
      <c r="AW186" s="23">
        <f>EXP(-LN(2)/2)*AW185+(1-EXP(-LN(2)/2))/(LN(2)/2)*AQ186*AT186*VLOOKUP('Données projet'!$B$10,Paramètres!$A$1:$I$89,3,0)*0.475*44/12</f>
        <v>1.1744365308943084E-22</v>
      </c>
      <c r="AX186" s="23">
        <f t="shared" si="166"/>
        <v>3.8805365268440861E-2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9.5769792096689348E-14</v>
      </c>
      <c r="BF186" s="14">
        <f t="shared" si="167"/>
        <v>1.4459910566979609E-12</v>
      </c>
      <c r="BG186" s="22">
        <f t="shared" si="168"/>
        <v>2.6852334783173491E-12</v>
      </c>
      <c r="BH186" s="62">
        <f t="shared" si="116"/>
        <v>293.33333333333599</v>
      </c>
      <c r="BI186" s="62">
        <f ca="1">AVERAGE(OFFSET($BH$3,0,0,'Données projet'!$E$11+1,1))-AVERAGE(OFFSET($H$3,0,0,'Données projet'!$E$11+1,1))</f>
        <v>348.82438445524105</v>
      </c>
      <c r="BJ186" s="62">
        <f t="shared" si="146"/>
        <v>218.26721063098552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3.6129133180962121E-2</v>
      </c>
      <c r="BR186" s="23">
        <f>EXP(-LN(2)/2)*BR185+(1-EXP(-LN(2)/2))/(LN(2)/2)*BL186*BO186*VLOOKUP('Données projet'!$B$11,Paramètres!$A$1:$I$89,3,0)*0.475*44/12</f>
        <v>1.0934409080740116E-22</v>
      </c>
      <c r="BS186" s="24">
        <f t="shared" si="169"/>
        <v>3.6129133180962121E-2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-6.7984728957526396E-14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348.62416478262719</v>
      </c>
      <c r="T187" s="62">
        <f t="shared" si="142"/>
        <v>371.70674704563288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0.2653127635981854</v>
      </c>
      <c r="AA187" s="23">
        <f>EXP(-LN(2)/25)*AA186+(1-EXP(-LN(2)/25))/(LN(2)/25)*Calculateur!V187*Calculateur!X187*VLOOKUP('Données projet'!$B$9,Paramètres!$A$1:$I$89,3,0)*0.475*44/12</f>
        <v>0.1697444713466531</v>
      </c>
      <c r="AB187" s="23">
        <f>EXP(-LN(2)/2)*AB186+(1-EXP(-LN(2)/2))/(LN(2)/2)*V187*Y187*VLOOKUP('Données projet'!$B$9,Paramètres!$A$1:$I$89,3,0)*0.475*44/12</f>
        <v>1.1245290567997354E-22</v>
      </c>
      <c r="AC187" s="24">
        <f t="shared" si="163"/>
        <v>0.4350572349448385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1.0286385077051818E-13</v>
      </c>
      <c r="AK187" s="14">
        <f t="shared" si="164"/>
        <v>1.5402366592183556E-12</v>
      </c>
      <c r="AL187" s="22">
        <f t="shared" si="165"/>
        <v>2.8617333882306215E-12</v>
      </c>
      <c r="AM187" s="62">
        <f t="shared" si="113"/>
        <v>293.33333333333616</v>
      </c>
      <c r="AN187" s="62">
        <f ca="1">AVERAGE(OFFSET($AM$3,0,0,'Données projet'!$E$10+1,1))-AVERAGE(OFFSET($H$3,0,0,'Données projet'!$E$10+1,1))</f>
        <v>371.7282125501186</v>
      </c>
      <c r="AO187" s="62">
        <f t="shared" si="144"/>
        <v>231.36959598460686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3.7744230514489878E-2</v>
      </c>
      <c r="AW187" s="23">
        <f>EXP(-LN(2)/2)*AW186+(1-EXP(-LN(2)/2))/(LN(2)/2)*AQ187*AT187*VLOOKUP('Données projet'!$B$10,Paramètres!$A$1:$I$89,3,0)*0.475*44/12</f>
        <v>8.3045203506856967E-23</v>
      </c>
      <c r="AX187" s="23">
        <f t="shared" si="166"/>
        <v>3.7744230514489878E-2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9.5769792096689348E-14</v>
      </c>
      <c r="BF187" s="14">
        <f t="shared" si="167"/>
        <v>1.4459910566979609E-12</v>
      </c>
      <c r="BG187" s="22">
        <f t="shared" si="168"/>
        <v>2.6852334783173491E-12</v>
      </c>
      <c r="BH187" s="62">
        <f t="shared" si="116"/>
        <v>293.33333333333599</v>
      </c>
      <c r="BI187" s="62">
        <f ca="1">AVERAGE(OFFSET($BH$3,0,0,'Données projet'!$E$11+1,1))-AVERAGE(OFFSET($H$3,0,0,'Données projet'!$E$11+1,1))</f>
        <v>348.82438445524105</v>
      </c>
      <c r="BJ187" s="62">
        <f t="shared" si="146"/>
        <v>218.26721063098552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3.5141180134180175E-2</v>
      </c>
      <c r="BR187" s="23">
        <f>EXP(-LN(2)/2)*BR186+(1-EXP(-LN(2)/2))/(LN(2)/2)*BL187*BO187*VLOOKUP('Données projet'!$B$11,Paramètres!$A$1:$I$89,3,0)*0.475*44/12</f>
        <v>7.7317948092590997E-23</v>
      </c>
      <c r="BS187" s="24">
        <f t="shared" si="169"/>
        <v>3.5141180134180175E-2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-6.7984728957526396E-14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348.62416478262719</v>
      </c>
      <c r="T188" s="62">
        <f t="shared" si="142"/>
        <v>371.70674704563288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0.26011014212883188</v>
      </c>
      <c r="AA188" s="23">
        <f>EXP(-LN(2)/25)*AA187+(1-EXP(-LN(2)/25))/(LN(2)/25)*Calculateur!V188*Calculateur!X188*VLOOKUP('Données projet'!$B$9,Paramètres!$A$1:$I$89,3,0)*0.475*44/12</f>
        <v>0.16510279985120507</v>
      </c>
      <c r="AB188" s="23">
        <f>EXP(-LN(2)/2)*AB187+(1-EXP(-LN(2)/2))/(LN(2)/2)*V188*Y188*VLOOKUP('Données projet'!$B$9,Paramètres!$A$1:$I$89,3,0)*0.475*44/12</f>
        <v>7.9516212170440515E-23</v>
      </c>
      <c r="AC188" s="24">
        <f t="shared" si="163"/>
        <v>0.42521294198003695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1.0286385077051818E-13</v>
      </c>
      <c r="AK188" s="14">
        <f t="shared" si="164"/>
        <v>1.5402366592183556E-12</v>
      </c>
      <c r="AL188" s="22">
        <f t="shared" si="165"/>
        <v>2.8617333882306215E-12</v>
      </c>
      <c r="AM188" s="62">
        <f t="shared" si="113"/>
        <v>293.33333333333616</v>
      </c>
      <c r="AN188" s="62">
        <f ca="1">AVERAGE(OFFSET($AM$3,0,0,'Données projet'!$E$10+1,1))-AVERAGE(OFFSET($H$3,0,0,'Données projet'!$E$10+1,1))</f>
        <v>371.7282125501186</v>
      </c>
      <c r="AO188" s="62">
        <f t="shared" si="144"/>
        <v>231.36959598460686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3.6712112546188336E-2</v>
      </c>
      <c r="AW188" s="23">
        <f>EXP(-LN(2)/2)*AW187+(1-EXP(-LN(2)/2))/(LN(2)/2)*AQ188*AT188*VLOOKUP('Données projet'!$B$10,Paramètres!$A$1:$I$89,3,0)*0.475*44/12</f>
        <v>5.8721826544715418E-23</v>
      </c>
      <c r="AX188" s="23">
        <f t="shared" si="166"/>
        <v>3.6712112546188336E-2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9.5769792096689348E-14</v>
      </c>
      <c r="BF188" s="14">
        <f t="shared" si="167"/>
        <v>1.4459910566979609E-12</v>
      </c>
      <c r="BG188" s="22">
        <f t="shared" si="168"/>
        <v>2.6852334783173491E-12</v>
      </c>
      <c r="BH188" s="62">
        <f t="shared" si="116"/>
        <v>293.33333333333599</v>
      </c>
      <c r="BI188" s="62">
        <f ca="1">AVERAGE(OFFSET($BH$3,0,0,'Données projet'!$E$11+1,1))-AVERAGE(OFFSET($H$3,0,0,'Données projet'!$E$11+1,1))</f>
        <v>348.82438445524105</v>
      </c>
      <c r="BJ188" s="62">
        <f t="shared" si="146"/>
        <v>218.26721063098552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3.418024271541667E-2</v>
      </c>
      <c r="BR188" s="23">
        <f>EXP(-LN(2)/2)*BR187+(1-EXP(-LN(2)/2))/(LN(2)/2)*BL188*BO188*VLOOKUP('Données projet'!$B$11,Paramètres!$A$1:$I$89,3,0)*0.475*44/12</f>
        <v>5.467204540370058E-23</v>
      </c>
      <c r="BS188" s="24">
        <f t="shared" si="169"/>
        <v>3.418024271541667E-2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-6.7984728957526396E-14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348.62416478262719</v>
      </c>
      <c r="T189" s="62">
        <f t="shared" si="142"/>
        <v>371.70674704563288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0.25500954089320665</v>
      </c>
      <c r="AA189" s="23">
        <f>EXP(-LN(2)/25)*AA188+(1-EXP(-LN(2)/25))/(LN(2)/25)*Calculateur!V189*Calculateur!X189*VLOOKUP('Données projet'!$B$9,Paramètres!$A$1:$I$89,3,0)*0.475*44/12</f>
        <v>0.16058805510689497</v>
      </c>
      <c r="AB189" s="23">
        <f>EXP(-LN(2)/2)*AB188+(1-EXP(-LN(2)/2))/(LN(2)/2)*V189*Y189*VLOOKUP('Données projet'!$B$9,Paramètres!$A$1:$I$89,3,0)*0.475*44/12</f>
        <v>5.6226452839986768E-23</v>
      </c>
      <c r="AC189" s="24">
        <f t="shared" si="163"/>
        <v>0.4155975960001016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1.0286385077051818E-13</v>
      </c>
      <c r="AK189" s="14">
        <f t="shared" si="164"/>
        <v>1.5402366592183556E-12</v>
      </c>
      <c r="AL189" s="22">
        <f t="shared" si="165"/>
        <v>2.8617333882306215E-12</v>
      </c>
      <c r="AM189" s="62">
        <f t="shared" si="113"/>
        <v>293.33333333333616</v>
      </c>
      <c r="AN189" s="62">
        <f ca="1">AVERAGE(OFFSET($AM$3,0,0,'Données projet'!$E$10+1,1))-AVERAGE(OFFSET($H$3,0,0,'Données projet'!$E$10+1,1))</f>
        <v>371.7282125501186</v>
      </c>
      <c r="AO189" s="62">
        <f t="shared" si="144"/>
        <v>231.36959598460686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3.5708217898006725E-2</v>
      </c>
      <c r="AW189" s="23">
        <f>EXP(-LN(2)/2)*AW188+(1-EXP(-LN(2)/2))/(LN(2)/2)*AQ189*AT189*VLOOKUP('Données projet'!$B$10,Paramètres!$A$1:$I$89,3,0)*0.475*44/12</f>
        <v>4.1522601753428483E-23</v>
      </c>
      <c r="AX189" s="23">
        <f t="shared" si="166"/>
        <v>3.5708217898006725E-2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9.5769792096689348E-14</v>
      </c>
      <c r="BF189" s="14">
        <f t="shared" si="167"/>
        <v>1.4459910566979609E-12</v>
      </c>
      <c r="BG189" s="22">
        <f t="shared" si="168"/>
        <v>2.6852334783173491E-12</v>
      </c>
      <c r="BH189" s="62">
        <f t="shared" si="116"/>
        <v>293.33333333333599</v>
      </c>
      <c r="BI189" s="62">
        <f ca="1">AVERAGE(OFFSET($BH$3,0,0,'Données projet'!$E$11+1,1))-AVERAGE(OFFSET($H$3,0,0,'Données projet'!$E$11+1,1))</f>
        <v>348.82438445524105</v>
      </c>
      <c r="BJ189" s="62">
        <f t="shared" si="146"/>
        <v>218.26721063098552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3.3245582180902754E-2</v>
      </c>
      <c r="BR189" s="23">
        <f>EXP(-LN(2)/2)*BR188+(1-EXP(-LN(2)/2))/(LN(2)/2)*BL189*BO189*VLOOKUP('Données projet'!$B$11,Paramètres!$A$1:$I$89,3,0)*0.475*44/12</f>
        <v>3.8658974046295499E-23</v>
      </c>
      <c r="BS189" s="24">
        <f t="shared" si="169"/>
        <v>3.3245582180902754E-2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-6.7984728957526396E-14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348.62416478262719</v>
      </c>
      <c r="T190" s="62">
        <f t="shared" si="142"/>
        <v>371.70674704563288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0.25000895933675249</v>
      </c>
      <c r="AA190" s="23">
        <f>EXP(-LN(2)/25)*AA189+(1-EXP(-LN(2)/25))/(LN(2)/25)*Calculateur!V190*Calculateur!X190*VLOOKUP('Données projet'!$B$9,Paramètres!$A$1:$I$89,3,0)*0.475*44/12</f>
        <v>0.15619676629503815</v>
      </c>
      <c r="AB190" s="23">
        <f>EXP(-LN(2)/2)*AB189+(1-EXP(-LN(2)/2))/(LN(2)/2)*V190*Y190*VLOOKUP('Données projet'!$B$9,Paramètres!$A$1:$I$89,3,0)*0.475*44/12</f>
        <v>3.9758106085220258E-23</v>
      </c>
      <c r="AC190" s="24">
        <f t="shared" si="163"/>
        <v>0.40620572563179064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1.0286385077051818E-13</v>
      </c>
      <c r="AK190" s="14">
        <f t="shared" si="164"/>
        <v>1.5402366592183556E-12</v>
      </c>
      <c r="AL190" s="22">
        <f t="shared" si="165"/>
        <v>2.8617333882306215E-12</v>
      </c>
      <c r="AM190" s="62">
        <f t="shared" si="113"/>
        <v>293.33333333333616</v>
      </c>
      <c r="AN190" s="62">
        <f ca="1">AVERAGE(OFFSET($AM$3,0,0,'Données projet'!$E$10+1,1))-AVERAGE(OFFSET($H$3,0,0,'Données projet'!$E$10+1,1))</f>
        <v>371.7282125501186</v>
      </c>
      <c r="AO190" s="62">
        <f t="shared" si="144"/>
        <v>231.36959598460686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3.4731774801772163E-2</v>
      </c>
      <c r="AW190" s="23">
        <f>EXP(-LN(2)/2)*AW189+(1-EXP(-LN(2)/2))/(LN(2)/2)*AQ190*AT190*VLOOKUP('Données projet'!$B$10,Paramètres!$A$1:$I$89,3,0)*0.475*44/12</f>
        <v>2.9360913272357709E-23</v>
      </c>
      <c r="AX190" s="23">
        <f t="shared" si="166"/>
        <v>3.4731774801772163E-2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9.5769792096689348E-14</v>
      </c>
      <c r="BF190" s="14">
        <f t="shared" si="167"/>
        <v>1.4459910566979609E-12</v>
      </c>
      <c r="BG190" s="22">
        <f t="shared" si="168"/>
        <v>2.6852334783173491E-12</v>
      </c>
      <c r="BH190" s="62">
        <f t="shared" si="116"/>
        <v>293.33333333333599</v>
      </c>
      <c r="BI190" s="62">
        <f ca="1">AVERAGE(OFFSET($BH$3,0,0,'Données projet'!$E$11+1,1))-AVERAGE(OFFSET($H$3,0,0,'Données projet'!$E$11+1,1))</f>
        <v>348.82438445524105</v>
      </c>
      <c r="BJ190" s="62">
        <f t="shared" si="146"/>
        <v>218.26721063098552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3.2336479987856784E-2</v>
      </c>
      <c r="BR190" s="23">
        <f>EXP(-LN(2)/2)*BR189+(1-EXP(-LN(2)/2))/(LN(2)/2)*BL190*BO190*VLOOKUP('Données projet'!$B$11,Paramètres!$A$1:$I$89,3,0)*0.475*44/12</f>
        <v>2.733602270185029E-23</v>
      </c>
      <c r="BS190" s="24">
        <f t="shared" si="169"/>
        <v>3.2336479987856784E-2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-6.7984728957526396E-14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348.62416478262719</v>
      </c>
      <c r="T191" s="62">
        <f t="shared" si="142"/>
        <v>371.70674704563288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0.24510643613456679</v>
      </c>
      <c r="AA191" s="23">
        <f>EXP(-LN(2)/25)*AA190+(1-EXP(-LN(2)/25))/(LN(2)/25)*Calculateur!V191*Calculateur!X191*VLOOKUP('Données projet'!$B$9,Paramètres!$A$1:$I$89,3,0)*0.475*44/12</f>
        <v>0.15192555750666939</v>
      </c>
      <c r="AB191" s="23">
        <f>EXP(-LN(2)/2)*AB190+(1-EXP(-LN(2)/2))/(LN(2)/2)*V191*Y191*VLOOKUP('Données projet'!$B$9,Paramètres!$A$1:$I$89,3,0)*0.475*44/12</f>
        <v>2.8113226419993384E-23</v>
      </c>
      <c r="AC191" s="24">
        <f t="shared" si="163"/>
        <v>0.3970319936412362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1.0286385077051818E-13</v>
      </c>
      <c r="AK191" s="14">
        <f t="shared" si="164"/>
        <v>1.5402366592183556E-12</v>
      </c>
      <c r="AL191" s="22">
        <f t="shared" si="165"/>
        <v>2.8617333882306215E-12</v>
      </c>
      <c r="AM191" s="62">
        <f t="shared" si="113"/>
        <v>293.33333333333616</v>
      </c>
      <c r="AN191" s="62">
        <f ca="1">AVERAGE(OFFSET($AM$3,0,0,'Données projet'!$E$10+1,1))-AVERAGE(OFFSET($H$3,0,0,'Données projet'!$E$10+1,1))</f>
        <v>371.7282125501186</v>
      </c>
      <c r="AO191" s="62">
        <f t="shared" si="144"/>
        <v>231.36959598460686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3.3782032593353044E-2</v>
      </c>
      <c r="AW191" s="23">
        <f>EXP(-LN(2)/2)*AW190+(1-EXP(-LN(2)/2))/(LN(2)/2)*AQ191*AT191*VLOOKUP('Données projet'!$B$10,Paramètres!$A$1:$I$89,3,0)*0.475*44/12</f>
        <v>2.0761300876714242E-23</v>
      </c>
      <c r="AX191" s="23">
        <f t="shared" si="166"/>
        <v>3.3782032593353044E-2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9.5769792096689348E-14</v>
      </c>
      <c r="BF191" s="14">
        <f t="shared" si="167"/>
        <v>1.4459910566979609E-12</v>
      </c>
      <c r="BG191" s="22">
        <f t="shared" si="168"/>
        <v>2.6852334783173491E-12</v>
      </c>
      <c r="BH191" s="62">
        <f t="shared" si="116"/>
        <v>293.33333333333599</v>
      </c>
      <c r="BI191" s="62">
        <f ca="1">AVERAGE(OFFSET($BH$3,0,0,'Données projet'!$E$11+1,1))-AVERAGE(OFFSET($H$3,0,0,'Données projet'!$E$11+1,1))</f>
        <v>348.82438445524105</v>
      </c>
      <c r="BJ191" s="62">
        <f t="shared" si="146"/>
        <v>218.26721063098552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3.1452237242087261E-2</v>
      </c>
      <c r="BR191" s="23">
        <f>EXP(-LN(2)/2)*BR190+(1-EXP(-LN(2)/2))/(LN(2)/2)*BL191*BO191*VLOOKUP('Données projet'!$B$11,Paramètres!$A$1:$I$89,3,0)*0.475*44/12</f>
        <v>1.9329487023147749E-23</v>
      </c>
      <c r="BS191" s="24">
        <f t="shared" si="169"/>
        <v>3.1452237242087261E-2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-6.7984728957526396E-14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348.62416478262719</v>
      </c>
      <c r="T192" s="62">
        <f t="shared" si="142"/>
        <v>371.70674704563288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0.24030004842213207</v>
      </c>
      <c r="AA192" s="23">
        <f>EXP(-LN(2)/25)*AA191+(1-EXP(-LN(2)/25))/(LN(2)/25)*Calculateur!V192*Calculateur!X192*VLOOKUP('Données projet'!$B$9,Paramètres!$A$1:$I$89,3,0)*0.475*44/12</f>
        <v>0.14777114514723166</v>
      </c>
      <c r="AB192" s="23">
        <f>EXP(-LN(2)/2)*AB191+(1-EXP(-LN(2)/2))/(LN(2)/2)*V192*Y192*VLOOKUP('Données projet'!$B$9,Paramètres!$A$1:$I$89,3,0)*0.475*44/12</f>
        <v>1.9879053042610129E-23</v>
      </c>
      <c r="AC192" s="24">
        <f t="shared" si="163"/>
        <v>0.3880711935693637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1.0286385077051818E-13</v>
      </c>
      <c r="AK192" s="14">
        <f t="shared" si="164"/>
        <v>1.5402366592183556E-12</v>
      </c>
      <c r="AL192" s="22">
        <f t="shared" si="165"/>
        <v>2.8617333882306215E-12</v>
      </c>
      <c r="AM192" s="62">
        <f t="shared" si="113"/>
        <v>293.33333333333616</v>
      </c>
      <c r="AN192" s="62">
        <f ca="1">AVERAGE(OFFSET($AM$3,0,0,'Données projet'!$E$10+1,1))-AVERAGE(OFFSET($H$3,0,0,'Données projet'!$E$10+1,1))</f>
        <v>371.7282125501186</v>
      </c>
      <c r="AO192" s="62">
        <f t="shared" si="144"/>
        <v>231.36959598460686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3.2858261135567918E-2</v>
      </c>
      <c r="AW192" s="23">
        <f>EXP(-LN(2)/2)*AW191+(1-EXP(-LN(2)/2))/(LN(2)/2)*AQ192*AT192*VLOOKUP('Données projet'!$B$10,Paramètres!$A$1:$I$89,3,0)*0.475*44/12</f>
        <v>1.4680456636178855E-23</v>
      </c>
      <c r="AX192" s="23">
        <f t="shared" si="166"/>
        <v>3.2858261135567918E-2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9.5769792096689348E-14</v>
      </c>
      <c r="BF192" s="14">
        <f t="shared" si="167"/>
        <v>1.4459910566979609E-12</v>
      </c>
      <c r="BG192" s="22">
        <f t="shared" si="168"/>
        <v>2.6852334783173491E-12</v>
      </c>
      <c r="BH192" s="62">
        <f t="shared" si="116"/>
        <v>293.33333333333599</v>
      </c>
      <c r="BI192" s="62">
        <f ca="1">AVERAGE(OFFSET($BH$3,0,0,'Données projet'!$E$11+1,1))-AVERAGE(OFFSET($H$3,0,0,'Données projet'!$E$11+1,1))</f>
        <v>348.82438445524105</v>
      </c>
      <c r="BJ192" s="62">
        <f t="shared" si="146"/>
        <v>218.26721063098552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3.0592174160701112E-2</v>
      </c>
      <c r="BR192" s="23">
        <f>EXP(-LN(2)/2)*BR191+(1-EXP(-LN(2)/2))/(LN(2)/2)*BL192*BO192*VLOOKUP('Données projet'!$B$11,Paramètres!$A$1:$I$89,3,0)*0.475*44/12</f>
        <v>1.3668011350925145E-23</v>
      </c>
      <c r="BS192" s="24">
        <f t="shared" si="169"/>
        <v>3.0592174160701112E-2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-6.7984728957526396E-14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348.62416478262719</v>
      </c>
      <c r="T193" s="62">
        <f t="shared" si="142"/>
        <v>371.70674704563288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0.23558791104113116</v>
      </c>
      <c r="AA193" s="23">
        <f>EXP(-LN(2)/25)*AA192+(1-EXP(-LN(2)/25))/(LN(2)/25)*Calculateur!V193*Calculateur!X193*VLOOKUP('Données projet'!$B$9,Paramètres!$A$1:$I$89,3,0)*0.475*44/12</f>
        <v>0.14373033541223382</v>
      </c>
      <c r="AB193" s="23">
        <f>EXP(-LN(2)/2)*AB192+(1-EXP(-LN(2)/2))/(LN(2)/2)*V193*Y193*VLOOKUP('Données projet'!$B$9,Paramètres!$A$1:$I$89,3,0)*0.475*44/12</f>
        <v>1.4056613209996692E-23</v>
      </c>
      <c r="AC193" s="24">
        <f t="shared" si="163"/>
        <v>0.37931824645336498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1.0286385077051818E-13</v>
      </c>
      <c r="AK193" s="14">
        <f t="shared" si="164"/>
        <v>1.5402366592183556E-12</v>
      </c>
      <c r="AL193" s="22">
        <f t="shared" si="165"/>
        <v>2.8617333882306215E-12</v>
      </c>
      <c r="AM193" s="62">
        <f t="shared" si="113"/>
        <v>293.33333333333616</v>
      </c>
      <c r="AN193" s="62">
        <f ca="1">AVERAGE(OFFSET($AM$3,0,0,'Données projet'!$E$10+1,1))-AVERAGE(OFFSET($H$3,0,0,'Données projet'!$E$10+1,1))</f>
        <v>371.7282125501186</v>
      </c>
      <c r="AO193" s="62">
        <f t="shared" si="144"/>
        <v>231.36959598460686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3.1959750256874961E-2</v>
      </c>
      <c r="AW193" s="23">
        <f>EXP(-LN(2)/2)*AW192+(1-EXP(-LN(2)/2))/(LN(2)/2)*AQ193*AT193*VLOOKUP('Données projet'!$B$10,Paramètres!$A$1:$I$89,3,0)*0.475*44/12</f>
        <v>1.0380650438357121E-23</v>
      </c>
      <c r="AX193" s="23">
        <f t="shared" si="166"/>
        <v>3.1959750256874961E-2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9.5769792096689348E-14</v>
      </c>
      <c r="BF193" s="14">
        <f t="shared" si="167"/>
        <v>1.4459910566979609E-12</v>
      </c>
      <c r="BG193" s="22">
        <f t="shared" si="168"/>
        <v>2.6852334783173491E-12</v>
      </c>
      <c r="BH193" s="62">
        <f t="shared" si="116"/>
        <v>293.33333333333599</v>
      </c>
      <c r="BI193" s="62">
        <f ca="1">AVERAGE(OFFSET($BH$3,0,0,'Données projet'!$E$11+1,1))-AVERAGE(OFFSET($H$3,0,0,'Données projet'!$E$11+1,1))</f>
        <v>348.82438445524105</v>
      </c>
      <c r="BJ193" s="62">
        <f t="shared" si="146"/>
        <v>218.26721063098552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2.9755629549504219E-2</v>
      </c>
      <c r="BR193" s="23">
        <f>EXP(-LN(2)/2)*BR192+(1-EXP(-LN(2)/2))/(LN(2)/2)*BL193*BO193*VLOOKUP('Données projet'!$B$11,Paramètres!$A$1:$I$89,3,0)*0.475*44/12</f>
        <v>9.6647435115738747E-24</v>
      </c>
      <c r="BS193" s="24">
        <f t="shared" si="169"/>
        <v>2.9755629549504219E-2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-6.7984728957526396E-14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348.62416478262719</v>
      </c>
      <c r="T194" s="62">
        <f t="shared" si="142"/>
        <v>371.70674704563288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0.23096817580005166</v>
      </c>
      <c r="AA194" s="23">
        <f>EXP(-LN(2)/25)*AA193+(1-EXP(-LN(2)/25))/(LN(2)/25)*Calculateur!V194*Calculateur!X194*VLOOKUP('Données projet'!$B$9,Paramètres!$A$1:$I$89,3,0)*0.475*44/12</f>
        <v>0.13980002183193643</v>
      </c>
      <c r="AB194" s="23">
        <f>EXP(-LN(2)/2)*AB193+(1-EXP(-LN(2)/2))/(LN(2)/2)*V194*Y194*VLOOKUP('Données projet'!$B$9,Paramètres!$A$1:$I$89,3,0)*0.475*44/12</f>
        <v>9.9395265213050644E-24</v>
      </c>
      <c r="AC194" s="24">
        <f t="shared" si="163"/>
        <v>0.37076819763198809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1.0286385077051818E-13</v>
      </c>
      <c r="AK194" s="14">
        <f t="shared" si="164"/>
        <v>1.5402366592183556E-12</v>
      </c>
      <c r="AL194" s="22">
        <f t="shared" si="165"/>
        <v>2.8617333882306215E-12</v>
      </c>
      <c r="AM194" s="62">
        <f t="shared" si="113"/>
        <v>293.33333333333616</v>
      </c>
      <c r="AN194" s="62">
        <f ca="1">AVERAGE(OFFSET($AM$3,0,0,'Données projet'!$E$10+1,1))-AVERAGE(OFFSET($H$3,0,0,'Données projet'!$E$10+1,1))</f>
        <v>371.7282125501186</v>
      </c>
      <c r="AO194" s="62">
        <f t="shared" si="144"/>
        <v>231.36959598460686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3.1085809205410493E-2</v>
      </c>
      <c r="AW194" s="23">
        <f>EXP(-LN(2)/2)*AW193+(1-EXP(-LN(2)/2))/(LN(2)/2)*AQ194*AT194*VLOOKUP('Données projet'!$B$10,Paramètres!$A$1:$I$89,3,0)*0.475*44/12</f>
        <v>7.3402283180894273E-24</v>
      </c>
      <c r="AX194" s="23">
        <f t="shared" si="166"/>
        <v>3.1085809205410493E-2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9.5769792096689348E-14</v>
      </c>
      <c r="BF194" s="14">
        <f t="shared" si="167"/>
        <v>1.4459910566979609E-12</v>
      </c>
      <c r="BG194" s="22">
        <f t="shared" si="168"/>
        <v>2.6852334783173491E-12</v>
      </c>
      <c r="BH194" s="62">
        <f t="shared" si="116"/>
        <v>293.33333333333599</v>
      </c>
      <c r="BI194" s="62">
        <f ca="1">AVERAGE(OFFSET($BH$3,0,0,'Données projet'!$E$11+1,1))-AVERAGE(OFFSET($H$3,0,0,'Données projet'!$E$11+1,1))</f>
        <v>348.82438445524105</v>
      </c>
      <c r="BJ194" s="62">
        <f t="shared" si="146"/>
        <v>218.26721063098552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2.8941960294692474E-2</v>
      </c>
      <c r="BR194" s="23">
        <f>EXP(-LN(2)/2)*BR193+(1-EXP(-LN(2)/2))/(LN(2)/2)*BL194*BO194*VLOOKUP('Données projet'!$B$11,Paramètres!$A$1:$I$89,3,0)*0.475*44/12</f>
        <v>6.8340056754625725E-24</v>
      </c>
      <c r="BS194" s="24">
        <f t="shared" si="169"/>
        <v>2.8941960294692474E-2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-6.7984728957526396E-14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348.62416478262719</v>
      </c>
      <c r="T195" s="62">
        <f t="shared" si="142"/>
        <v>371.70674704563288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0.22643903074928948</v>
      </c>
      <c r="AA195" s="23">
        <f>EXP(-LN(2)/25)*AA194+(1-EXP(-LN(2)/25))/(LN(2)/25)*Calculateur!V195*Calculateur!X195*VLOOKUP('Données projet'!$B$9,Paramètres!$A$1:$I$89,3,0)*0.475*44/12</f>
        <v>0.1359771828831785</v>
      </c>
      <c r="AB195" s="23">
        <f>EXP(-LN(2)/2)*AB194+(1-EXP(-LN(2)/2))/(LN(2)/2)*V195*Y195*VLOOKUP('Données projet'!$B$9,Paramètres!$A$1:$I$89,3,0)*0.475*44/12</f>
        <v>7.028306604998346E-24</v>
      </c>
      <c r="AC195" s="24">
        <f t="shared" si="163"/>
        <v>0.36241621363246801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1.0286385077051818E-13</v>
      </c>
      <c r="AK195" s="14">
        <f t="shared" si="164"/>
        <v>1.5402366592183556E-12</v>
      </c>
      <c r="AL195" s="22">
        <f t="shared" si="165"/>
        <v>2.8617333882306215E-12</v>
      </c>
      <c r="AM195" s="62">
        <f t="shared" si="113"/>
        <v>293.33333333333616</v>
      </c>
      <c r="AN195" s="62">
        <f ca="1">AVERAGE(OFFSET($AM$3,0,0,'Données projet'!$E$10+1,1))-AVERAGE(OFFSET($H$3,0,0,'Données projet'!$E$10+1,1))</f>
        <v>371.7282125501186</v>
      </c>
      <c r="AO195" s="62">
        <f t="shared" si="144"/>
        <v>231.36959598460686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3.0235766117956885E-2</v>
      </c>
      <c r="AW195" s="23">
        <f>EXP(-LN(2)/2)*AW194+(1-EXP(-LN(2)/2))/(LN(2)/2)*AQ195*AT195*VLOOKUP('Données projet'!$B$10,Paramètres!$A$1:$I$89,3,0)*0.475*44/12</f>
        <v>5.1903252191785604E-24</v>
      </c>
      <c r="AX195" s="23">
        <f t="shared" si="166"/>
        <v>3.0235766117956885E-2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9.5769792096689348E-14</v>
      </c>
      <c r="BF195" s="14">
        <f t="shared" si="167"/>
        <v>1.4459910566979609E-12</v>
      </c>
      <c r="BG195" s="22">
        <f t="shared" si="168"/>
        <v>2.6852334783173491E-12</v>
      </c>
      <c r="BH195" s="62">
        <f t="shared" si="116"/>
        <v>293.33333333333599</v>
      </c>
      <c r="BI195" s="62">
        <f ca="1">AVERAGE(OFFSET($BH$3,0,0,'Données projet'!$E$11+1,1))-AVERAGE(OFFSET($H$3,0,0,'Données projet'!$E$11+1,1))</f>
        <v>348.82438445524105</v>
      </c>
      <c r="BJ195" s="62">
        <f t="shared" si="146"/>
        <v>218.26721063098552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2.8150540868442566E-2</v>
      </c>
      <c r="BR195" s="23">
        <f>EXP(-LN(2)/2)*BR194+(1-EXP(-LN(2)/2))/(LN(2)/2)*BL195*BO195*VLOOKUP('Données projet'!$B$11,Paramètres!$A$1:$I$89,3,0)*0.475*44/12</f>
        <v>4.8323717557869373E-24</v>
      </c>
      <c r="BS195" s="24">
        <f t="shared" si="169"/>
        <v>2.8150540868442566E-2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-6.7984728957526396E-14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348.62416478262719</v>
      </c>
      <c r="T196" s="62">
        <f t="shared" si="142"/>
        <v>371.70674704563288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0.22199869947046702</v>
      </c>
      <c r="AA196" s="23">
        <f>EXP(-LN(2)/25)*AA195+(1-EXP(-LN(2)/25))/(LN(2)/25)*Calculateur!V196*Calculateur!X196*VLOOKUP('Données projet'!$B$9,Paramètres!$A$1:$I$89,3,0)*0.475*44/12</f>
        <v>0.13225887966650873</v>
      </c>
      <c r="AB196" s="23">
        <f>EXP(-LN(2)/2)*AB195+(1-EXP(-LN(2)/2))/(LN(2)/2)*V196*Y196*VLOOKUP('Données projet'!$B$9,Paramètres!$A$1:$I$89,3,0)*0.475*44/12</f>
        <v>4.9697632606525322E-24</v>
      </c>
      <c r="AC196" s="24">
        <f t="shared" si="163"/>
        <v>0.35425757913697575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1.0286385077051818E-13</v>
      </c>
      <c r="AK196" s="14">
        <f t="shared" si="164"/>
        <v>1.5402366592183556E-12</v>
      </c>
      <c r="AL196" s="22">
        <f t="shared" si="165"/>
        <v>2.8617333882306215E-12</v>
      </c>
      <c r="AM196" s="62">
        <f t="shared" ref="AM196:AM203" si="193">AL196+(AD196+AE196)*44/12</f>
        <v>293.33333333333616</v>
      </c>
      <c r="AN196" s="62">
        <f ca="1">AVERAGE(OFFSET($AM$3,0,0,'Données projet'!$E$10+1,1))-AVERAGE(OFFSET($H$3,0,0,'Données projet'!$E$10+1,1))</f>
        <v>371.7282125501186</v>
      </c>
      <c r="AO196" s="62">
        <f t="shared" si="144"/>
        <v>231.36959598460686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2.940896750343152E-2</v>
      </c>
      <c r="AW196" s="23">
        <f>EXP(-LN(2)/2)*AW195+(1-EXP(-LN(2)/2))/(LN(2)/2)*AQ196*AT196*VLOOKUP('Données projet'!$B$10,Paramètres!$A$1:$I$89,3,0)*0.475*44/12</f>
        <v>3.6701141590447136E-24</v>
      </c>
      <c r="AX196" s="23">
        <f t="shared" si="166"/>
        <v>2.940896750343152E-2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9.5769792096689348E-14</v>
      </c>
      <c r="BF196" s="14">
        <f t="shared" si="167"/>
        <v>1.4459910566979609E-12</v>
      </c>
      <c r="BG196" s="22">
        <f t="shared" si="168"/>
        <v>2.6852334783173491E-12</v>
      </c>
      <c r="BH196" s="62">
        <f t="shared" ref="BH196:BH203" si="194">BG196+(AY196+AZ196)*44/12</f>
        <v>293.33333333333599</v>
      </c>
      <c r="BI196" s="62">
        <f ca="1">AVERAGE(OFFSET($BH$3,0,0,'Données projet'!$E$11+1,1))-AVERAGE(OFFSET($H$3,0,0,'Données projet'!$E$11+1,1))</f>
        <v>348.82438445524105</v>
      </c>
      <c r="BJ196" s="62">
        <f t="shared" si="146"/>
        <v>218.26721063098552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2.7380762848022398E-2</v>
      </c>
      <c r="BR196" s="23">
        <f>EXP(-LN(2)/2)*BR195+(1-EXP(-LN(2)/2))/(LN(2)/2)*BL196*BO196*VLOOKUP('Données projet'!$B$11,Paramètres!$A$1:$I$89,3,0)*0.475*44/12</f>
        <v>3.4170028377312862E-24</v>
      </c>
      <c r="BS196" s="24">
        <f t="shared" si="169"/>
        <v>2.7380762848022398E-2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-6.7984728957526396E-14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348.62416478262719</v>
      </c>
      <c r="T197" s="62">
        <f t="shared" ref="T197:T203" si="204">$T$3</f>
        <v>371.70674704563288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0.21764544037968761</v>
      </c>
      <c r="AA197" s="23">
        <f>EXP(-LN(2)/25)*AA196+(1-EXP(-LN(2)/25))/(LN(2)/25)*Calculateur!V197*Calculateur!X197*VLOOKUP('Données projet'!$B$9,Paramètres!$A$1:$I$89,3,0)*0.475*44/12</f>
        <v>0.12864225364683585</v>
      </c>
      <c r="AB197" s="23">
        <f>EXP(-LN(2)/2)*AB196+(1-EXP(-LN(2)/2))/(LN(2)/2)*V197*Y197*VLOOKUP('Données projet'!$B$9,Paramètres!$A$1:$I$89,3,0)*0.475*44/12</f>
        <v>3.514153302499173E-24</v>
      </c>
      <c r="AC197" s="24">
        <f t="shared" si="163"/>
        <v>0.34628769402652348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1.0286385077051818E-13</v>
      </c>
      <c r="AK197" s="14">
        <f t="shared" si="164"/>
        <v>1.5402366592183556E-12</v>
      </c>
      <c r="AL197" s="22">
        <f t="shared" si="165"/>
        <v>2.8617333882306215E-12</v>
      </c>
      <c r="AM197" s="62">
        <f t="shared" si="193"/>
        <v>293.33333333333616</v>
      </c>
      <c r="AN197" s="62">
        <f ca="1">AVERAGE(OFFSET($AM$3,0,0,'Données projet'!$E$10+1,1))-AVERAGE(OFFSET($H$3,0,0,'Données projet'!$E$10+1,1))</f>
        <v>371.7282125501186</v>
      </c>
      <c r="AO197" s="62">
        <f t="shared" ref="AO197:AO203" si="205">$AO$3</f>
        <v>231.36959598460686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2.8604777740499798E-2</v>
      </c>
      <c r="AW197" s="23">
        <f>EXP(-LN(2)/2)*AW196+(1-EXP(-LN(2)/2))/(LN(2)/2)*AQ197*AT197*VLOOKUP('Données projet'!$B$10,Paramètres!$A$1:$I$89,3,0)*0.475*44/12</f>
        <v>2.5951626095892802E-24</v>
      </c>
      <c r="AX197" s="23">
        <f t="shared" si="166"/>
        <v>2.8604777740499798E-2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9.5769792096689348E-14</v>
      </c>
      <c r="BF197" s="14">
        <f t="shared" si="167"/>
        <v>1.4459910566979609E-12</v>
      </c>
      <c r="BG197" s="22">
        <f t="shared" si="168"/>
        <v>2.6852334783173491E-12</v>
      </c>
      <c r="BH197" s="62">
        <f t="shared" si="194"/>
        <v>293.33333333333599</v>
      </c>
      <c r="BI197" s="62">
        <f ca="1">AVERAGE(OFFSET($BH$3,0,0,'Données projet'!$E$11+1,1))-AVERAGE(OFFSET($H$3,0,0,'Données projet'!$E$11+1,1))</f>
        <v>348.82438445524105</v>
      </c>
      <c r="BJ197" s="62">
        <f t="shared" ref="BJ197:BJ203" si="206">$BJ$3</f>
        <v>218.26721063098552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2.6632034448051487E-2</v>
      </c>
      <c r="BR197" s="23">
        <f>EXP(-LN(2)/2)*BR196+(1-EXP(-LN(2)/2))/(LN(2)/2)*BL197*BO197*VLOOKUP('Données projet'!$B$11,Paramètres!$A$1:$I$89,3,0)*0.475*44/12</f>
        <v>2.4161858778934687E-24</v>
      </c>
      <c r="BS197" s="24">
        <f t="shared" si="169"/>
        <v>2.6632034448051487E-2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-6.7984728957526396E-14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348.62416478262719</v>
      </c>
      <c r="T198" s="62">
        <f t="shared" si="204"/>
        <v>371.70674704563288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0.21337754604445253</v>
      </c>
      <c r="AA198" s="23">
        <f>EXP(-LN(2)/25)*AA197+(1-EXP(-LN(2)/25))/(LN(2)/25)*Calculateur!V198*Calculateur!X198*VLOOKUP('Données projet'!$B$9,Paramètres!$A$1:$I$89,3,0)*0.475*44/12</f>
        <v>0.12512452445586103</v>
      </c>
      <c r="AB198" s="23">
        <f>EXP(-LN(2)/2)*AB197+(1-EXP(-LN(2)/2))/(LN(2)/2)*V198*Y198*VLOOKUP('Données projet'!$B$9,Paramètres!$A$1:$I$89,3,0)*0.475*44/12</f>
        <v>2.4848816303262661E-24</v>
      </c>
      <c r="AC198" s="24">
        <f t="shared" si="163"/>
        <v>0.33850207050031356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1.0286385077051818E-13</v>
      </c>
      <c r="AK198" s="14">
        <f t="shared" si="164"/>
        <v>1.5402366592183556E-12</v>
      </c>
      <c r="AL198" s="22">
        <f t="shared" si="165"/>
        <v>2.8617333882306215E-12</v>
      </c>
      <c r="AM198" s="62">
        <f t="shared" si="193"/>
        <v>293.33333333333616</v>
      </c>
      <c r="AN198" s="62">
        <f ca="1">AVERAGE(OFFSET($AM$3,0,0,'Données projet'!$E$10+1,1))-AVERAGE(OFFSET($H$3,0,0,'Données projet'!$E$10+1,1))</f>
        <v>371.7282125501186</v>
      </c>
      <c r="AO198" s="62">
        <f t="shared" si="205"/>
        <v>231.36959598460686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2.7822578588925947E-2</v>
      </c>
      <c r="AW198" s="23">
        <f>EXP(-LN(2)/2)*AW197+(1-EXP(-LN(2)/2))/(LN(2)/2)*AQ198*AT198*VLOOKUP('Données projet'!$B$10,Paramètres!$A$1:$I$89,3,0)*0.475*44/12</f>
        <v>1.8350570795223568E-24</v>
      </c>
      <c r="AX198" s="23">
        <f t="shared" si="166"/>
        <v>2.7822578588925947E-2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9.5769792096689348E-14</v>
      </c>
      <c r="BF198" s="14">
        <f t="shared" si="167"/>
        <v>1.4459910566979609E-12</v>
      </c>
      <c r="BG198" s="22">
        <f t="shared" si="168"/>
        <v>2.6852334783173491E-12</v>
      </c>
      <c r="BH198" s="62">
        <f t="shared" si="194"/>
        <v>293.33333333333599</v>
      </c>
      <c r="BI198" s="62">
        <f ca="1">AVERAGE(OFFSET($BH$3,0,0,'Données projet'!$E$11+1,1))-AVERAGE(OFFSET($H$3,0,0,'Données projet'!$E$11+1,1))</f>
        <v>348.82438445524105</v>
      </c>
      <c r="BJ198" s="62">
        <f t="shared" si="206"/>
        <v>218.26721063098552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2.5903780065551697E-2</v>
      </c>
      <c r="BR198" s="23">
        <f>EXP(-LN(2)/2)*BR197+(1-EXP(-LN(2)/2))/(LN(2)/2)*BL198*BO198*VLOOKUP('Données projet'!$B$11,Paramètres!$A$1:$I$89,3,0)*0.475*44/12</f>
        <v>1.7085014188656431E-24</v>
      </c>
      <c r="BS198" s="24">
        <f t="shared" si="169"/>
        <v>2.5903780065551697E-2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-6.7984728957526396E-14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348.62416478262719</v>
      </c>
      <c r="T199" s="62">
        <f t="shared" si="204"/>
        <v>371.70674704563288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0.2091933425139729</v>
      </c>
      <c r="AA199" s="23">
        <f>EXP(-LN(2)/25)*AA198+(1-EXP(-LN(2)/25))/(LN(2)/25)*Calculateur!V199*Calculateur!X199*VLOOKUP('Données projet'!$B$9,Paramètres!$A$1:$I$89,3,0)*0.475*44/12</f>
        <v>0.12170298775460274</v>
      </c>
      <c r="AB199" s="23">
        <f>EXP(-LN(2)/2)*AB198+(1-EXP(-LN(2)/2))/(LN(2)/2)*V199*Y199*VLOOKUP('Données projet'!$B$9,Paramètres!$A$1:$I$89,3,0)*0.475*44/12</f>
        <v>1.7570766512495865E-24</v>
      </c>
      <c r="AC199" s="24">
        <f t="shared" si="163"/>
        <v>0.33089633026857562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1.0286385077051818E-13</v>
      </c>
      <c r="AK199" s="14">
        <f t="shared" si="164"/>
        <v>1.5402366592183556E-12</v>
      </c>
      <c r="AL199" s="22">
        <f t="shared" si="165"/>
        <v>2.8617333882306215E-12</v>
      </c>
      <c r="AM199" s="62">
        <f t="shared" si="193"/>
        <v>293.33333333333616</v>
      </c>
      <c r="AN199" s="62">
        <f ca="1">AVERAGE(OFFSET($AM$3,0,0,'Données projet'!$E$10+1,1))-AVERAGE(OFFSET($H$3,0,0,'Données projet'!$E$10+1,1))</f>
        <v>371.7282125501186</v>
      </c>
      <c r="AO199" s="62">
        <f t="shared" si="205"/>
        <v>231.36959598460686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2.706176871428595E-2</v>
      </c>
      <c r="AW199" s="23">
        <f>EXP(-LN(2)/2)*AW198+(1-EXP(-LN(2)/2))/(LN(2)/2)*AQ199*AT199*VLOOKUP('Données projet'!$B$10,Paramètres!$A$1:$I$89,3,0)*0.475*44/12</f>
        <v>1.2975813047946401E-24</v>
      </c>
      <c r="AX199" s="23">
        <f t="shared" si="166"/>
        <v>2.706176871428595E-2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9.5769792096689348E-14</v>
      </c>
      <c r="BF199" s="14">
        <f t="shared" si="167"/>
        <v>1.4459910566979609E-12</v>
      </c>
      <c r="BG199" s="22">
        <f t="shared" si="168"/>
        <v>2.6852334783173491E-12</v>
      </c>
      <c r="BH199" s="62">
        <f t="shared" si="194"/>
        <v>293.33333333333599</v>
      </c>
      <c r="BI199" s="62">
        <f ca="1">AVERAGE(OFFSET($BH$3,0,0,'Données projet'!$E$11+1,1))-AVERAGE(OFFSET($H$3,0,0,'Données projet'!$E$11+1,1))</f>
        <v>348.82438445524105</v>
      </c>
      <c r="BJ199" s="62">
        <f t="shared" si="206"/>
        <v>218.26721063098552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2.5195439837438598E-2</v>
      </c>
      <c r="BR199" s="23">
        <f>EXP(-LN(2)/2)*BR198+(1-EXP(-LN(2)/2))/(LN(2)/2)*BL199*BO199*VLOOKUP('Données projet'!$B$11,Paramètres!$A$1:$I$89,3,0)*0.475*44/12</f>
        <v>1.2080929389467343E-24</v>
      </c>
      <c r="BS199" s="24">
        <f t="shared" si="169"/>
        <v>2.5195439837438598E-2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-6.7984728957526396E-14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348.62416478262719</v>
      </c>
      <c r="T200" s="62">
        <f t="shared" si="204"/>
        <v>371.70674704563288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0.20509118866261383</v>
      </c>
      <c r="AA200" s="23">
        <f>EXP(-LN(2)/25)*AA199+(1-EXP(-LN(2)/25))/(LN(2)/25)*Calculateur!V200*Calculateur!X200*VLOOKUP('Données projet'!$B$9,Paramètres!$A$1:$I$89,3,0)*0.475*44/12</f>
        <v>0.11837501315437116</v>
      </c>
      <c r="AB200" s="23">
        <f>EXP(-LN(2)/2)*AB199+(1-EXP(-LN(2)/2))/(LN(2)/2)*V200*Y200*VLOOKUP('Données projet'!$B$9,Paramètres!$A$1:$I$89,3,0)*0.475*44/12</f>
        <v>1.242440815163133E-24</v>
      </c>
      <c r="AC200" s="24">
        <f t="shared" si="163"/>
        <v>0.32346620181698499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1.0286385077051818E-13</v>
      </c>
      <c r="AK200" s="14">
        <f t="shared" si="164"/>
        <v>1.5402366592183556E-12</v>
      </c>
      <c r="AL200" s="22">
        <f t="shared" si="165"/>
        <v>2.8617333882306215E-12</v>
      </c>
      <c r="AM200" s="62">
        <f t="shared" si="193"/>
        <v>293.33333333333616</v>
      </c>
      <c r="AN200" s="62">
        <f ca="1">AVERAGE(OFFSET($AM$3,0,0,'Données projet'!$E$10+1,1))-AVERAGE(OFFSET($H$3,0,0,'Données projet'!$E$10+1,1))</f>
        <v>371.7282125501186</v>
      </c>
      <c r="AO200" s="62">
        <f t="shared" si="205"/>
        <v>231.36959598460686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2.6321763225677235E-2</v>
      </c>
      <c r="AW200" s="23">
        <f>EXP(-LN(2)/2)*AW199+(1-EXP(-LN(2)/2))/(LN(2)/2)*AQ200*AT200*VLOOKUP('Données projet'!$B$10,Paramètres!$A$1:$I$89,3,0)*0.475*44/12</f>
        <v>9.1752853976117841E-25</v>
      </c>
      <c r="AX200" s="23">
        <f t="shared" si="166"/>
        <v>2.6321763225677235E-2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9.5769792096689348E-14</v>
      </c>
      <c r="BF200" s="14">
        <f t="shared" si="167"/>
        <v>1.4459910566979609E-12</v>
      </c>
      <c r="BG200" s="22">
        <f t="shared" si="168"/>
        <v>2.6852334783173491E-12</v>
      </c>
      <c r="BH200" s="62">
        <f t="shared" si="194"/>
        <v>293.33333333333599</v>
      </c>
      <c r="BI200" s="62">
        <f ca="1">AVERAGE(OFFSET($BH$3,0,0,'Données projet'!$E$11+1,1))-AVERAGE(OFFSET($H$3,0,0,'Données projet'!$E$11+1,1))</f>
        <v>348.82438445524105</v>
      </c>
      <c r="BJ200" s="62">
        <f t="shared" si="206"/>
        <v>218.26721063098552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2.4506469210113242E-2</v>
      </c>
      <c r="BR200" s="23">
        <f>EXP(-LN(2)/2)*BR199+(1-EXP(-LN(2)/2))/(LN(2)/2)*BL200*BO200*VLOOKUP('Données projet'!$B$11,Paramètres!$A$1:$I$89,3,0)*0.475*44/12</f>
        <v>8.5425070943282156E-25</v>
      </c>
      <c r="BS200" s="24">
        <f t="shared" si="169"/>
        <v>2.4506469210113242E-2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-6.7984728957526396E-14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348.62416478262719</v>
      </c>
      <c r="T201" s="62">
        <f t="shared" si="204"/>
        <v>371.70674704563288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0.20106947554621313</v>
      </c>
      <c r="AA201" s="23">
        <f>EXP(-LN(2)/25)*AA200+(1-EXP(-LN(2)/25))/(LN(2)/25)*Calculateur!V201*Calculateur!X201*VLOOKUP('Données projet'!$B$9,Paramètres!$A$1:$I$89,3,0)*0.475*44/12</f>
        <v>0.11513804219459349</v>
      </c>
      <c r="AB201" s="23">
        <f>EXP(-LN(2)/2)*AB200+(1-EXP(-LN(2)/2))/(LN(2)/2)*V201*Y201*VLOOKUP('Données projet'!$B$9,Paramètres!$A$1:$I$89,3,0)*0.475*44/12</f>
        <v>8.7853832562479325E-25</v>
      </c>
      <c r="AC201" s="24">
        <f t="shared" si="163"/>
        <v>0.31620751774080663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1.0286385077051818E-13</v>
      </c>
      <c r="AK201" s="14">
        <f t="shared" si="164"/>
        <v>1.5402366592183556E-12</v>
      </c>
      <c r="AL201" s="22">
        <f t="shared" si="165"/>
        <v>2.8617333882306215E-12</v>
      </c>
      <c r="AM201" s="62">
        <f t="shared" si="193"/>
        <v>293.33333333333616</v>
      </c>
      <c r="AN201" s="62">
        <f ca="1">AVERAGE(OFFSET($AM$3,0,0,'Données projet'!$E$10+1,1))-AVERAGE(OFFSET($H$3,0,0,'Données projet'!$E$10+1,1))</f>
        <v>371.7282125501186</v>
      </c>
      <c r="AO201" s="62">
        <f t="shared" si="205"/>
        <v>231.36959598460686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2.5601993226069722E-2</v>
      </c>
      <c r="AW201" s="23">
        <f>EXP(-LN(2)/2)*AW200+(1-EXP(-LN(2)/2))/(LN(2)/2)*AQ201*AT201*VLOOKUP('Données projet'!$B$10,Paramètres!$A$1:$I$89,3,0)*0.475*44/12</f>
        <v>6.4879065239732005E-25</v>
      </c>
      <c r="AX201" s="23">
        <f t="shared" si="166"/>
        <v>2.5601993226069722E-2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9.5769792096689348E-14</v>
      </c>
      <c r="BF201" s="14">
        <f t="shared" si="167"/>
        <v>1.4459910566979609E-12</v>
      </c>
      <c r="BG201" s="22">
        <f t="shared" si="168"/>
        <v>2.6852334783173491E-12</v>
      </c>
      <c r="BH201" s="62">
        <f t="shared" si="194"/>
        <v>293.33333333333599</v>
      </c>
      <c r="BI201" s="62">
        <f ca="1">AVERAGE(OFFSET($BH$3,0,0,'Données projet'!$E$11+1,1))-AVERAGE(OFFSET($H$3,0,0,'Données projet'!$E$11+1,1))</f>
        <v>348.82438445524105</v>
      </c>
      <c r="BJ201" s="62">
        <f t="shared" si="206"/>
        <v>218.26721063098552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2.3836338520823491E-2</v>
      </c>
      <c r="BR201" s="23">
        <f>EXP(-LN(2)/2)*BR200+(1-EXP(-LN(2)/2))/(LN(2)/2)*BL201*BO201*VLOOKUP('Données projet'!$B$11,Paramètres!$A$1:$I$89,3,0)*0.475*44/12</f>
        <v>6.0404646947336717E-25</v>
      </c>
      <c r="BS201" s="24">
        <f t="shared" si="169"/>
        <v>2.3836338520823491E-2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-6.7984728957526396E-14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348.62416478262719</v>
      </c>
      <c r="T202" s="62">
        <f t="shared" si="204"/>
        <v>371.70674704563288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0.19712662577102225</v>
      </c>
      <c r="AA202" s="23">
        <f>EXP(-LN(2)/25)*AA201+(1-EXP(-LN(2)/25))/(LN(2)/25)*Calculateur!V202*Calculateur!X202*VLOOKUP('Données projet'!$B$9,Paramètres!$A$1:$I$89,3,0)*0.475*44/12</f>
        <v>0.11198958637593584</v>
      </c>
      <c r="AB202" s="23">
        <f>EXP(-LN(2)/2)*AB201+(1-EXP(-LN(2)/2))/(LN(2)/2)*V202*Y202*VLOOKUP('Données projet'!$B$9,Paramètres!$A$1:$I$89,3,0)*0.475*44/12</f>
        <v>6.2122040758156652E-25</v>
      </c>
      <c r="AC202" s="24">
        <f t="shared" si="163"/>
        <v>0.30911621214695806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1.0286385077051818E-13</v>
      </c>
      <c r="AK202" s="14">
        <f t="shared" si="164"/>
        <v>1.5402366592183556E-12</v>
      </c>
      <c r="AL202" s="22">
        <f t="shared" si="165"/>
        <v>2.8617333882306215E-12</v>
      </c>
      <c r="AM202" s="62">
        <f t="shared" si="193"/>
        <v>293.33333333333616</v>
      </c>
      <c r="AN202" s="62">
        <f ca="1">AVERAGE(OFFSET($AM$3,0,0,'Données projet'!$E$10+1,1))-AVERAGE(OFFSET($H$3,0,0,'Données projet'!$E$10+1,1))</f>
        <v>371.7282125501186</v>
      </c>
      <c r="AO202" s="62">
        <f t="shared" si="205"/>
        <v>231.36959598460686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2.4901905374952536E-2</v>
      </c>
      <c r="AW202" s="23">
        <f>EXP(-LN(2)/2)*AW201+(1-EXP(-LN(2)/2))/(LN(2)/2)*AQ202*AT202*VLOOKUP('Données projet'!$B$10,Paramètres!$A$1:$I$89,3,0)*0.475*44/12</f>
        <v>4.587642698805892E-25</v>
      </c>
      <c r="AX202" s="23">
        <f t="shared" si="166"/>
        <v>2.4901905374952536E-2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9.5769792096689348E-14</v>
      </c>
      <c r="BF202" s="14">
        <f t="shared" si="167"/>
        <v>1.4459910566979609E-12</v>
      </c>
      <c r="BG202" s="22">
        <f t="shared" si="168"/>
        <v>2.6852334783173491E-12</v>
      </c>
      <c r="BH202" s="62">
        <f t="shared" si="194"/>
        <v>293.33333333333599</v>
      </c>
      <c r="BI202" s="62">
        <f ca="1">AVERAGE(OFFSET($BH$3,0,0,'Données projet'!$E$11+1,1))-AVERAGE(OFFSET($H$3,0,0,'Données projet'!$E$11+1,1))</f>
        <v>348.82438445524105</v>
      </c>
      <c r="BJ202" s="62">
        <f t="shared" si="206"/>
        <v>218.26721063098552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2.3184532590473008E-2</v>
      </c>
      <c r="BR202" s="23">
        <f>EXP(-LN(2)/2)*BR201+(1-EXP(-LN(2)/2))/(LN(2)/2)*BL202*BO202*VLOOKUP('Données projet'!$B$11,Paramètres!$A$1:$I$89,3,0)*0.475*44/12</f>
        <v>4.2712535471641078E-25</v>
      </c>
      <c r="BS202" s="24">
        <f t="shared" si="169"/>
        <v>2.3184532590473008E-2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-6.7984728957526396E-14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348.62416478262719</v>
      </c>
      <c r="T203" s="62">
        <f t="shared" si="204"/>
        <v>371.70674704563288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0.19326109287502197</v>
      </c>
      <c r="AA203" s="23">
        <f>EXP(-LN(2)/25)*AA202+(1-EXP(-LN(2)/25))/(LN(2)/25)*Calculateur!V203*Calculateur!X203*VLOOKUP('Données projet'!$B$9,Paramètres!$A$1:$I$89,3,0)*0.475*44/12</f>
        <v>0.10892722524720948</v>
      </c>
      <c r="AB203" s="23">
        <f>EXP(-LN(2)/2)*AB202+(1-EXP(-LN(2)/2))/(LN(2)/2)*V203*Y203*VLOOKUP('Données projet'!$B$9,Paramètres!$A$1:$I$89,3,0)*0.475*44/12</f>
        <v>4.3926916281239663E-25</v>
      </c>
      <c r="AC203" s="24">
        <f t="shared" si="163"/>
        <v>0.30218831812223146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1.0286385077051818E-13</v>
      </c>
      <c r="AK203" s="14">
        <f t="shared" si="164"/>
        <v>1.5402366592183556E-12</v>
      </c>
      <c r="AL203" s="22">
        <f t="shared" si="165"/>
        <v>2.8617333882306215E-12</v>
      </c>
      <c r="AM203" s="62">
        <f t="shared" si="193"/>
        <v>293.33333333333616</v>
      </c>
      <c r="AN203" s="62">
        <f ca="1">AVERAGE(OFFSET($AM$3,0,0,'Données projet'!$E$10+1,1))-AVERAGE(OFFSET($H$3,0,0,'Données projet'!$E$10+1,1))</f>
        <v>371.7282125501186</v>
      </c>
      <c r="AO203" s="62">
        <f t="shared" si="205"/>
        <v>231.36959598460686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2.4220961462940168E-2</v>
      </c>
      <c r="AW203" s="23">
        <f>EXP(-LN(2)/2)*AW202+(1-EXP(-LN(2)/2))/(LN(2)/2)*AQ203*AT203*VLOOKUP('Données projet'!$B$10,Paramètres!$A$1:$I$89,3,0)*0.475*44/12</f>
        <v>3.2439532619866003E-25</v>
      </c>
      <c r="AX203" s="23">
        <f t="shared" si="166"/>
        <v>2.4220961462940168E-2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9.5769792096689348E-14</v>
      </c>
      <c r="BF203" s="14">
        <f t="shared" si="167"/>
        <v>1.4459910566979609E-12</v>
      </c>
      <c r="BG203" s="22">
        <f t="shared" si="168"/>
        <v>2.6852334783173491E-12</v>
      </c>
      <c r="BH203" s="62">
        <f t="shared" si="194"/>
        <v>293.33333333333599</v>
      </c>
      <c r="BI203" s="62">
        <f ca="1">AVERAGE(OFFSET($BH$3,0,0,'Données projet'!$E$11+1,1))-AVERAGE(OFFSET($H$3,0,0,'Données projet'!$E$11+1,1))</f>
        <v>348.82438445524105</v>
      </c>
      <c r="BJ203" s="62">
        <f t="shared" si="206"/>
        <v>218.26721063098552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2.2550550327564943E-2</v>
      </c>
      <c r="BR203" s="23">
        <f>EXP(-LN(2)/2)*BR202+(1-EXP(-LN(2)/2))/(LN(2)/2)*BL203*BO203*VLOOKUP('Données projet'!$B$11,Paramètres!$A$1:$I$89,3,0)*0.475*44/12</f>
        <v>3.0202323473668358E-25</v>
      </c>
      <c r="BS203" s="24">
        <f t="shared" si="169"/>
        <v>2.2550550327564943E-2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1.3239616704988877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1.1852335095914694</v>
      </c>
      <c r="BA205" s="88">
        <f>EXP(LN('Données projet'!B88)/'Données projet'!A88)</f>
        <v>1.1852335095914694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0.94998749999999998</v>
      </c>
      <c r="C6" s="156">
        <f ca="1">IF(OR('Données projet'!B9="",'Données projet'!C9="",'Données projet'!C9=0%),0,Calculateur!S3)</f>
        <v>348.62416478262719</v>
      </c>
      <c r="D6" s="156">
        <f>IF(OR('Données projet'!B9="",'Données projet'!C9="",'Données projet'!C9=0%),0,Calculateur!T3)</f>
        <v>371.70674704563288</v>
      </c>
      <c r="E6" s="156">
        <f ca="1">MIN(C6,D6)</f>
        <v>348.62416478262719</v>
      </c>
      <c r="F6" s="156">
        <f ca="1">E6*B6</f>
        <v>331.18859874143607</v>
      </c>
      <c r="G6" s="156">
        <f ca="1">F6*(100%-'Données projet'!$C$24)*(100%-'Données projet'!$C$25)*(100%-'Données projet'!$C$26)*(100%-'Données projet'!$C$27)</f>
        <v>268.26276498056325</v>
      </c>
      <c r="H6" s="157">
        <f>IF(OR('Données projet'!B9="",'Données projet'!C9="",'Données projet'!C9=0%),0,AVERAGE(Calculateur!$AC$3:$AC$33)*B6)</f>
        <v>5.1161991363463857</v>
      </c>
      <c r="I6" s="158">
        <f>H6*(100%-'Données projet'!$C$24)*(100%-'Données projet'!$C$25)*(100%-'Données projet'!$C$26)*(100%-'Données projet'!$C$27)</f>
        <v>4.1441213004405721</v>
      </c>
      <c r="J6" s="159">
        <f>IF(OR('Données projet'!B9="",'Données projet'!C9="",'Données projet'!C9=0%),0,SUM(Calculateur!$V$3:$V$33)*VLOOKUP('Données projet'!$B$9,Paramètres!$A$1:$I$89,9,0)*B6)</f>
        <v>49.019354999999997</v>
      </c>
      <c r="K6" s="160">
        <f>J6*(100%-'Données projet'!$C$24)*(100%-'Données projet'!$C$25)*(100%-'Données projet'!$C$26)*(100%-'Données projet'!$C$27)</f>
        <v>39.705677549999997</v>
      </c>
      <c r="L6" s="161">
        <f ca="1">G6+I6+K6</f>
        <v>312.11256383100385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1.9998750000000001</v>
      </c>
      <c r="C7" s="156">
        <f ca="1">IF(OR('Données projet'!B10="",'Données projet'!C10="",'Données projet'!C10=0%),0,Calculateur!AN3)</f>
        <v>371.7282125501186</v>
      </c>
      <c r="D7" s="156">
        <f>IF(OR('Données projet'!B10="",'Données projet'!C10="",'Données projet'!C10=0%),0,Calculateur!AO3)</f>
        <v>231.36959598460686</v>
      </c>
      <c r="E7" s="156">
        <f t="shared" ref="E7:E15" ca="1" si="0">MIN(C7,D7)</f>
        <v>231.36959598460686</v>
      </c>
      <c r="F7" s="156">
        <f t="shared" ref="F7:F15" ca="1" si="1">E7*B7</f>
        <v>462.71027076971563</v>
      </c>
      <c r="G7" s="156">
        <f ca="1">F7*(100%-'Données projet'!$C$24)*(100%-'Données projet'!$C$25)*(100%-'Données projet'!$C$26)*(100%-'Données projet'!$C$27)</f>
        <v>374.7953193234697</v>
      </c>
      <c r="H7" s="164">
        <f>IF(OR('Données projet'!B10="",'Données projet'!C10="",'Données projet'!C10=0%),0,AVERAGE(Calculateur!$AX$3:$AX$33)*B7)</f>
        <v>0.98370557971334904</v>
      </c>
      <c r="I7" s="158">
        <f>H7*(100%-'Données projet'!$C$24)*(100%-'Données projet'!$C$25)*(100%-'Données projet'!$C$26)*(100%-'Données projet'!$C$27)</f>
        <v>0.79680151956781275</v>
      </c>
      <c r="J7" s="159">
        <f>IF(OR('Données projet'!B10="",'Données projet'!C10="",'Données projet'!C10=0%),0,SUM(Calculateur!$AQ$3:$AQ$33)*VLOOKUP('Données projet'!$B$10,Paramètres!$A$1:$I$89,9,0)*B7)</f>
        <v>14.49909375</v>
      </c>
      <c r="K7" s="160">
        <f>J7*(100%-'Données projet'!$C$24)*(100%-'Données projet'!$C$25)*(100%-'Données projet'!$C$26)*(100%-'Données projet'!$C$27)</f>
        <v>11.744265937500002</v>
      </c>
      <c r="L7" s="161">
        <f t="shared" ref="L7:L15" ca="1" si="2">G7+I7+K7</f>
        <v>387.33638678053751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pédonculé</v>
      </c>
      <c r="B8" s="163">
        <f>'Données projet'!D11</f>
        <v>0.799875</v>
      </c>
      <c r="C8" s="156">
        <f ca="1">IF(OR('Données projet'!B11="",'Données projet'!C11="",'Données projet'!C11=0%),0,Calculateur!BI3)</f>
        <v>348.82438445524105</v>
      </c>
      <c r="D8" s="156">
        <f>IF(OR('Données projet'!B11="",'Données projet'!C11="",'Données projet'!C11=0%),0,Calculateur!BJ3)</f>
        <v>218.26721063098552</v>
      </c>
      <c r="E8" s="156">
        <f t="shared" ca="1" si="0"/>
        <v>218.26721063098552</v>
      </c>
      <c r="F8" s="156">
        <f t="shared" ca="1" si="1"/>
        <v>174.58648510345955</v>
      </c>
      <c r="G8" s="156">
        <f ca="1">F8*(100%-'Données projet'!$C$24)*(100%-'Données projet'!$C$25)*(100%-'Données projet'!$C$26)*(100%-'Données projet'!$C$27)</f>
        <v>141.41505293380226</v>
      </c>
      <c r="H8" s="164">
        <f>IF(OR('Données projet'!B11="",'Données projet'!C11="",'Données projet'!C11=0%),0,AVERAGE(Calculateur!$BS$3:$BS$33)*B8)</f>
        <v>0.36631117919830003</v>
      </c>
      <c r="I8" s="158">
        <f>H8*(100%-'Données projet'!$C$24)*(100%-'Données projet'!$C$25)*(100%-'Données projet'!$C$26)*(100%-'Données projet'!$C$27)</f>
        <v>0.29671205515062304</v>
      </c>
      <c r="J8" s="159">
        <f>IF(OR('Données projet'!B11="",'Données projet'!C11="",'Données projet'!C11=0%),0,SUM(Calculateur!$BL$3:$BL$33)*VLOOKUP('Données projet'!$B$11,Paramètres!$A$1:$I$89,9,0)*B8)</f>
        <v>5.7990937499999999</v>
      </c>
      <c r="K8" s="160">
        <f>J8*(100%-'Données projet'!$C$24)*(100%-'Données projet'!$C$25)*(100%-'Données projet'!$C$26)*(100%-'Données projet'!$C$27)</f>
        <v>4.6972659375000001</v>
      </c>
      <c r="L8" s="161">
        <f t="shared" ca="1" si="2"/>
        <v>146.40903092645289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968.4853546146112</v>
      </c>
      <c r="G16" s="175">
        <f t="shared" ca="1" si="3"/>
        <v>784.4731372378352</v>
      </c>
      <c r="H16" s="176">
        <f t="shared" si="3"/>
        <v>6.4662158952580349</v>
      </c>
      <c r="I16" s="176">
        <f t="shared" si="3"/>
        <v>5.2376348751590083</v>
      </c>
      <c r="J16" s="177">
        <f t="shared" si="3"/>
        <v>69.317542500000002</v>
      </c>
      <c r="K16" s="177">
        <f t="shared" si="3"/>
        <v>56.147209425</v>
      </c>
      <c r="L16" s="178">
        <f t="shared" ca="1" si="3"/>
        <v>845.85798153799419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pédonculé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9" zoomScale="90" zoomScaleNormal="90" workbookViewId="0">
      <selection activeCell="I19" sqref="I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3314.3756984997212</v>
      </c>
      <c r="U10" s="190">
        <f>'Données projet'!D9</f>
        <v>0.94998749999999998</v>
      </c>
      <c r="V10" s="189">
        <f>U10*T10</f>
        <v>3148.6154838785037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530.68169632012598</v>
      </c>
      <c r="U11" s="190">
        <f>'Données projet'!D10</f>
        <v>1.9998750000000001</v>
      </c>
      <c r="V11" s="189">
        <f t="shared" ref="V11" si="0">U11*T11</f>
        <v>1061.2970574282119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pédonculé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575.53769892530249</v>
      </c>
      <c r="U12" s="190">
        <f>'Données projet'!D11</f>
        <v>0.799875</v>
      </c>
      <c r="V12" s="189">
        <f t="shared" ref="V12:V19" si="1">U12*T12</f>
        <v>460.35821692787636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7940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734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734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17</v>
      </c>
      <c r="B23" s="193">
        <f>'Données projet'!D36</f>
        <v>15</v>
      </c>
      <c r="C23" s="292">
        <v>12</v>
      </c>
      <c r="D23" s="194">
        <f>B23*C23</f>
        <v>180</v>
      </c>
      <c r="E23" s="206"/>
      <c r="F23" s="261"/>
      <c r="H23" s="203">
        <v>3</v>
      </c>
      <c r="I23" s="204">
        <v>734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-34979.393725313785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15</v>
      </c>
      <c r="C24" s="292">
        <v>12</v>
      </c>
      <c r="D24" s="194">
        <f t="shared" ref="D24:D42" si="2">B24*C24</f>
        <v>180</v>
      </c>
      <c r="E24" s="206"/>
      <c r="F24" s="264"/>
      <c r="H24" s="203">
        <v>4</v>
      </c>
      <c r="I24" s="204">
        <v>734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36</v>
      </c>
      <c r="C25" s="292">
        <v>15</v>
      </c>
      <c r="D25" s="194">
        <f t="shared" si="2"/>
        <v>540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-34979.393725313785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54</v>
      </c>
      <c r="C26" s="292">
        <v>17</v>
      </c>
      <c r="D26" s="194">
        <f t="shared" si="2"/>
        <v>918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52</v>
      </c>
      <c r="C27" s="292">
        <v>17</v>
      </c>
      <c r="D27" s="194">
        <f t="shared" si="2"/>
        <v>884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48</v>
      </c>
      <c r="C28" s="292">
        <v>17</v>
      </c>
      <c r="D28" s="194">
        <f t="shared" si="2"/>
        <v>816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57</v>
      </c>
      <c r="C29" s="292">
        <v>20</v>
      </c>
      <c r="D29" s="194">
        <f t="shared" si="2"/>
        <v>1140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47</v>
      </c>
      <c r="C30" s="292">
        <v>25</v>
      </c>
      <c r="D30" s="194">
        <f t="shared" si="2"/>
        <v>1175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48</v>
      </c>
      <c r="C31" s="292">
        <v>30</v>
      </c>
      <c r="D31" s="194">
        <f t="shared" si="2"/>
        <v>1440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60</v>
      </c>
      <c r="B32" s="193">
        <f>'Données projet'!D45</f>
        <v>32</v>
      </c>
      <c r="C32" s="292">
        <v>35</v>
      </c>
      <c r="D32" s="194">
        <f t="shared" si="2"/>
        <v>1120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65</v>
      </c>
      <c r="B33" s="193">
        <f>'Données projet'!D46</f>
        <v>555</v>
      </c>
      <c r="C33" s="292">
        <v>60</v>
      </c>
      <c r="D33" s="194">
        <f t="shared" si="2"/>
        <v>33300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92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92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92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92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92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92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92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92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92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92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92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92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92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92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92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92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92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92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92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285</v>
      </c>
      <c r="C73" s="292">
        <v>150</v>
      </c>
      <c r="D73" s="191">
        <f t="shared" si="4"/>
        <v>42750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pédonculé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292">
        <v>4</v>
      </c>
      <c r="D85" s="191">
        <f>B85*C85</f>
        <v>32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292">
        <v>8</v>
      </c>
      <c r="D86" s="191">
        <f t="shared" ref="D86:D104" si="6">B86*C86</f>
        <v>168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292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292">
        <v>10</v>
      </c>
      <c r="D88" s="191">
        <f t="shared" si="6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292">
        <v>10</v>
      </c>
      <c r="D89" s="191">
        <f t="shared" si="6"/>
        <v>210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292">
        <v>10</v>
      </c>
      <c r="D90" s="191">
        <f t="shared" si="6"/>
        <v>210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292">
        <v>15</v>
      </c>
      <c r="D91" s="191">
        <f t="shared" si="6"/>
        <v>315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292">
        <v>15</v>
      </c>
      <c r="D92" s="191">
        <f t="shared" si="6"/>
        <v>315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292">
        <v>15</v>
      </c>
      <c r="D93" s="191">
        <f t="shared" si="6"/>
        <v>315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292">
        <v>15</v>
      </c>
      <c r="D94" s="191">
        <f t="shared" si="6"/>
        <v>315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292">
        <v>20</v>
      </c>
      <c r="D95" s="191">
        <f t="shared" si="6"/>
        <v>420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292">
        <v>20</v>
      </c>
      <c r="D96" s="191">
        <f t="shared" si="6"/>
        <v>420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292">
        <v>20</v>
      </c>
      <c r="D97" s="191">
        <f t="shared" si="6"/>
        <v>420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292">
        <v>20</v>
      </c>
      <c r="D98" s="191">
        <f t="shared" si="6"/>
        <v>420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292">
        <v>30</v>
      </c>
      <c r="D99" s="191">
        <f t="shared" si="6"/>
        <v>630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292">
        <v>30</v>
      </c>
      <c r="D100" s="191">
        <f t="shared" si="6"/>
        <v>630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292">
        <v>40</v>
      </c>
      <c r="D101" s="191">
        <f t="shared" si="6"/>
        <v>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292">
        <v>50</v>
      </c>
      <c r="D102" s="191">
        <f t="shared" si="6"/>
        <v>950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292">
        <v>70</v>
      </c>
      <c r="D103" s="191">
        <f t="shared" si="6"/>
        <v>1260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285</v>
      </c>
      <c r="C104" s="292">
        <v>150</v>
      </c>
      <c r="D104" s="191">
        <f t="shared" si="6"/>
        <v>42750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2024-01-22T11:41:11Z</dcterms:modified>
</cp:coreProperties>
</file>